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embeddings/oleObject1.bin" ContentType="application/vnd.openxmlformats-officedocument.oleObject"/>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omments2.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drawings/drawing5.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drawings/drawing6.xml" ContentType="application/vnd.openxmlformats-officedocument.drawing+xml"/>
  <Override PartName="/xl/embeddings/oleObject38.bin" ContentType="application/vnd.openxmlformats-officedocument.oleObject"/>
  <Override PartName="/xl/ctrlProps/ctrlProp19.xml" ContentType="application/vnd.ms-excel.controlproperties+xml"/>
  <Override PartName="/xl/ctrlProps/ctrlProp20.xml" ContentType="application/vnd.ms-excel.controlproperties+xml"/>
  <Override PartName="/xl/comments3.xml" ContentType="application/vnd.openxmlformats-officedocument.spreadsheetml.comments+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backupFile="1" codeName="ThisWorkbook"/>
  <mc:AlternateContent xmlns:mc="http://schemas.openxmlformats.org/markup-compatibility/2006">
    <mc:Choice Requires="x15">
      <x15ac:absPath xmlns:x15ac="http://schemas.microsoft.com/office/spreadsheetml/2010/11/ac" url="C:\Users\alexi\Documents\scolaire\IPSA\AeroIpsa\SP02\STABTRAJ\SP02_Super\"/>
    </mc:Choice>
  </mc:AlternateContent>
  <xr:revisionPtr revIDLastSave="0" documentId="13_ncr:1_{A315A5AE-2FB7-4B38-A7B3-6E4CD2DEEA7C}" xr6:coauthVersionLast="47" xr6:coauthVersionMax="47" xr10:uidLastSave="{00000000-0000-0000-0000-000000000000}"/>
  <bookViews>
    <workbookView xWindow="0" yWindow="0" windowWidth="14400" windowHeight="15750" xr2:uid="{00000000-000D-0000-FFFF-FFFF00000000}"/>
  </bookViews>
  <sheets>
    <sheet name="Stabilito" sheetId="6" r:id="rId1"/>
    <sheet name="Trajecto" sheetId="1" r:id="rId2"/>
    <sheet name="Courbes" sheetId="2" r:id="rId3"/>
    <sheet name="Propu" sheetId="4" r:id="rId4"/>
    <sheet name="Calculs" sheetId="3" r:id="rId5"/>
    <sheet name="Abaco" sheetId="8" r:id="rId6"/>
    <sheet name="Info" sheetId="5" r:id="rId7"/>
    <sheet name="Controle" sheetId="7" r:id="rId8"/>
  </sheets>
  <definedNames>
    <definedName name="_xlnm._FilterDatabase" localSheetId="3" hidden="1">Propu!$O$317:$P$345</definedName>
    <definedName name="a_prop">Abaco!$G$43:$G$69</definedName>
    <definedName name="Acc_max">Trajecto!$L$25</definedName>
    <definedName name="acc_x">Calculs!$D$4:$D$1004</definedName>
    <definedName name="acc_xz">Calculs!$F$4:$F$1004</definedName>
    <definedName name="acc_z">Calculs!$E$4:$E$1004</definedName>
    <definedName name="Alt_para">Trajecto!$I$28</definedName>
    <definedName name="alt_prop">Abaco!$J$43:$J$69</definedName>
    <definedName name="Alt_rampe">Trajecto!$C$21</definedName>
    <definedName name="Alt_sat">Trajecto!$I$26</definedName>
    <definedName name="Altitude_culmi">Trajecto!$I$27</definedName>
    <definedName name="b_bal">Abaco!$I$43:$I$69</definedName>
    <definedName name="b_prop">Abaco!$H$43:$H$69</definedName>
    <definedName name="Beta">Calculs!$M$4:$M$1004</definedName>
    <definedName name="Beta_rampe">Trajecto!$C$20</definedName>
    <definedName name="BetaD">Calculs!$N$4:$N$1004</definedName>
    <definedName name="CdP">Propu!$B$3:$Y$4</definedName>
    <definedName name="CdP_P">Propu!$B$4:$Y$4</definedName>
    <definedName name="CdP_t">Propu!$B$3:$Y$3</definedName>
    <definedName name="Club">Stabilito!$C$9</definedName>
    <definedName name="Cn">Stabilito!$H$28</definedName>
    <definedName name="Cn0">Stabilito!$I$28</definedName>
    <definedName name="Cnai" localSheetId="0">Stabilito!$O$19</definedName>
    <definedName name="Cnai0">Stabilito!$P$19</definedName>
    <definedName name="Cnail" localSheetId="0">Stabilito!$O$20</definedName>
    <definedName name="Cnc" localSheetId="0">Stabilito!$O$21</definedName>
    <definedName name="Cni" localSheetId="0">Stabilito!$O$22</definedName>
    <definedName name="Cni0">Stabilito!$P$22</definedName>
    <definedName name="Cnj" localSheetId="0">Stabilito!$O$23</definedName>
    <definedName name="Cno" localSheetId="0">Stabilito!$O$18</definedName>
    <definedName name="Cnr" localSheetId="0">Stabilito!$O$24</definedName>
    <definedName name="Combustion">Propu!$X$2</definedName>
    <definedName name="CritCnmax" localSheetId="0">Stabilito!$J$28</definedName>
    <definedName name="CritCnmin" localSheetId="0">Stabilito!$G$28</definedName>
    <definedName name="CritFinessemax" localSheetId="0">Stabilito!$J$27</definedName>
    <definedName name="CritFinessemin" localSheetId="0">Stabilito!$G$27</definedName>
    <definedName name="CritMsCnmax" localSheetId="0">Stabilito!$J$30</definedName>
    <definedName name="CritMsCnmin" localSheetId="0">Stabilito!$G$30</definedName>
    <definedName name="CritMsmax" localSheetId="0">Stabilito!$J$29</definedName>
    <definedName name="CritMsmin" localSheetId="0">Stabilito!$G$29</definedName>
    <definedName name="Cx">Trajecto!$C$16</definedName>
    <definedName name="Cx_para">Trajecto!$C$30</definedName>
    <definedName name="Cx_satellite">Trajecto!$D$30</definedName>
    <definedName name="D_ail">Stabilito!$C$35</definedName>
    <definedName name="D_can" localSheetId="0">Stabilito!$D$35</definedName>
    <definedName name="D_int" localSheetId="0">Stabilito!$E$34</definedName>
    <definedName name="D_og">Stabilito!$C$24</definedName>
    <definedName name="D_ref">Stabilito!$C$15</definedName>
    <definedName name="D_var">Abaco!$B$43:$B$69</definedName>
    <definedName name="D1j">Stabilito!$M$7</definedName>
    <definedName name="D1r">Stabilito!$O$7</definedName>
    <definedName name="D2j">Stabilito!$M$8</definedName>
    <definedName name="D2r">Stabilito!$O$8</definedName>
    <definedName name="Débit">Calculs!$R$4:$R$1004</definedName>
    <definedName name="Depotage">Propu!$Z$2</definedName>
    <definedName name="Diam_propu">Propu!$T$2</definedName>
    <definedName name="Dt_para">Trajecto!$C$33</definedName>
    <definedName name="Dt_satellite">Trajecto!$D$33</definedName>
    <definedName name="Dx_para">Trajecto!$C$35</definedName>
    <definedName name="Dx_sat">Trajecto!$D$35</definedName>
    <definedName name="E_ail">Stabilito!$C$31</definedName>
    <definedName name="E_can">Stabilito!$D$31</definedName>
    <definedName name="E_int" localSheetId="0">Stabilito!$E$30</definedName>
    <definedName name="ep_ail">Stabilito!$C$32</definedName>
    <definedName name="ep_can">Stabilito!$D$32</definedName>
    <definedName name="ep_int" localSheetId="0">Stabilito!$E$31</definedName>
    <definedName name="Event">Calculs!$Y$4:$Y$1004</definedName>
    <definedName name="Event_para">Calculs!$Z$4:$Z$1004</definedName>
    <definedName name="Event_sat">Calculs!$AA$4:$AA$1004</definedName>
    <definedName name="f_ail" localSheetId="0">Stabilito!$C$36</definedName>
    <definedName name="f_can" localSheetId="0">Stabilito!$D$36</definedName>
    <definedName name="f_int" localSheetId="0">Stabilito!$E$35</definedName>
    <definedName name="Finesse">Stabilito!$H$27</definedName>
    <definedName name="Forme_ogive">Stabilito!$C$22</definedName>
    <definedName name="g">Info!$E$54</definedName>
    <definedName name="i_P">Calculs!$P$4:$P$1004</definedName>
    <definedName name="I_total">Propu!$D$2</definedName>
    <definedName name="ISP">Propu!$F$2</definedName>
    <definedName name="l_j">Stabilito!$M$6</definedName>
    <definedName name="l_r">Stabilito!$O$6</definedName>
    <definedName name="L_rampe">Trajecto!$C$19</definedName>
    <definedName name="Lang">Stabilito!$M$2</definedName>
    <definedName name="Liste_µfu">Propu!$F$317:$F$346</definedName>
    <definedName name="Liste_fusex">Propu!$R$317:$R$346</definedName>
    <definedName name="Liste_H2O">Propu!$C$317:$D$346</definedName>
    <definedName name="Liste_minif">Propu!$L$317:$M$346</definedName>
    <definedName name="Liste_minifT">Propu!$O$317:$O$346</definedName>
    <definedName name="Liste_propu">Propu!$A$317:$A$324</definedName>
    <definedName name="Liste_RC">Propu!$I$317:$J$346</definedName>
    <definedName name="Liste_Type_para">Trajecto!$I$104:$I$106</definedName>
    <definedName name="Long_ogive">Stabilito!$C$23</definedName>
    <definedName name="Long_propu">Propu!$R$2</definedName>
    <definedName name="Long_tot">Stabilito!$C$14</definedName>
    <definedName name="m">Calculs!$S$4:$S$1004</definedName>
    <definedName name="m_ail">Stabilito!$C$28</definedName>
    <definedName name="m_bal">Abaco!$F$43:$F$69</definedName>
    <definedName name="m_can">Stabilito!$D$28</definedName>
    <definedName name="m_int" localSheetId="0">Stabilito!$E$27</definedName>
    <definedName name="m_poudre">Propu!$J$2</definedName>
    <definedName name="m_prop">Abaco!$E$43:$E$69</definedName>
    <definedName name="m_satellite">Trajecto!$D$25</definedName>
    <definedName name="m_tot">Trajecto!$C$11</definedName>
    <definedName name="m_var">Abaco!$D$43:$D$69</definedName>
    <definedName name="m_vide">Trajecto!$C$25</definedName>
    <definedName name="Masse_ail">Controle!$H$63</definedName>
    <definedName name="MassePlein">Stabilito!$M$14</definedName>
    <definedName name="MasseSans">Stabilito!$P$14</definedName>
    <definedName name="MasseVide">Stabilito!$N$14</definedName>
    <definedName name="Matricule">Stabilito!$E$10</definedName>
    <definedName name="Menu_Empennage">Stabilito!$B$111:$B$112</definedName>
    <definedName name="Menu_Lang">Stabilito!$B$94:$B$95</definedName>
    <definedName name="Menu_Ogive">Stabilito!$B$107:$B$109</definedName>
    <definedName name="Menu_sat">Trajecto!$B$105:$B$106</definedName>
    <definedName name="Menu_Transitions">Stabilito!$B$114:$B$115</definedName>
    <definedName name="Menu_Type">Stabilito!$B$97:$B$100</definedName>
    <definedName name="Menu_with_motor">Stabilito!$B$103:$B$105</definedName>
    <definedName name="MpropuPlein">Propu!$H$2</definedName>
    <definedName name="MpropuVide">Propu!$L$2</definedName>
    <definedName name="MS_Cn_max">Stabilito!$I$30</definedName>
    <definedName name="MS_Cn_max0">Stabilito!#REF!</definedName>
    <definedName name="MS_Cn_min">Stabilito!$H$30</definedName>
    <definedName name="MS_Cn_min0">Stabilito!#REF!</definedName>
    <definedName name="MS_max">Stabilito!$I$29</definedName>
    <definedName name="MS_max0">Stabilito!#REF!</definedName>
    <definedName name="MS_min">Stabilito!$H$29</definedName>
    <definedName name="MS_min0">Stabilito!#REF!</definedName>
    <definedName name="n_ail">Stabilito!$C$29</definedName>
    <definedName name="n_can">Stabilito!$D$29</definedName>
    <definedName name="n_int" localSheetId="0">Stabilito!$E$28</definedName>
    <definedName name="Nb_diam">Stabilito!$M$4</definedName>
    <definedName name="Nb_sat">Trajecto!$D$24</definedName>
    <definedName name="Nom">Stabilito!$C$8</definedName>
    <definedName name="p_ail">Stabilito!$C$30</definedName>
    <definedName name="p_can">Stabilito!$D$30</definedName>
    <definedName name="p_int" localSheetId="0">Stabilito!$E$29</definedName>
    <definedName name="pas">Calculs!$A$4:$A$1004</definedName>
    <definedName name="Poids">Calculs!$T$4:$T$1004</definedName>
    <definedName name="Portee_balistique">Trajecto!$J$29</definedName>
    <definedName name="pos_x">Calculs!$J$4:$J$1004</definedName>
    <definedName name="pos_xz">Calculs!$L$4:$L$1004</definedName>
    <definedName name="pos_z">Calculs!$K$4:$K$1004</definedName>
    <definedName name="pos_z_montant">Calculs!$AE$4:$AE$1004</definedName>
    <definedName name="Poussee">Calculs!$Q$4:$Q$1004</definedName>
    <definedName name="Propu">Stabilito!$C$18</definedName>
    <definedName name="Q_ail">Stabilito!$C$33</definedName>
    <definedName name="Q_can">Stabilito!$D$33</definedName>
    <definedName name="Q_int" localSheetId="0">Stabilito!$E$32</definedName>
    <definedName name="Q_var">Abaco!$C$43:$C$69</definedName>
    <definedName name="R_rampe">Calculs!$U$4:$U$1004</definedName>
    <definedName name="Rho">Calculs!$V$4:$V$1004</definedName>
    <definedName name="Rho_moyen">Info!$E$55</definedName>
    <definedName name="S_ail">Controle!$H$64</definedName>
    <definedName name="S_para">Trajecto!$C$29</definedName>
    <definedName name="S_para_croix">Trajecto!$B$48</definedName>
    <definedName name="S_para_rond">Trajecto!$B$56</definedName>
    <definedName name="S_satellite">Trajecto!$D$29</definedName>
    <definedName name="Sref">Trajecto!$C$15</definedName>
    <definedName name="sS">Trajecto!$F$136</definedName>
    <definedName name="t">Calculs!$B$4:$B$1004</definedName>
    <definedName name="T_balistique">Trajecto!$H$29</definedName>
    <definedName name="T_ini">Trajecto!$H$42</definedName>
    <definedName name="T_para">Trajecto!$C$114</definedName>
    <definedName name="T_satellite">Trajecto!$D$27</definedName>
    <definedName name="Temps_culmi">Trajecto!$H$27</definedName>
    <definedName name="Temps_fin_propu">Propu!$X$3</definedName>
    <definedName name="Trainee">Calculs!$W$4:$W$1004</definedName>
    <definedName name="tT_fus">Trajecto!$F$137</definedName>
    <definedName name="tT_sat">Trajecto!$F$154</definedName>
    <definedName name="Type_fusee">Stabilito!$C$11</definedName>
    <definedName name="Type_masquage" localSheetId="5">Stabilito!$C$27</definedName>
    <definedName name="Type_masquage" localSheetId="0">Stabilito!$C$27</definedName>
    <definedName name="Type_propu">Propu!$V$2</definedName>
    <definedName name="V_ini">Trajecto!$K$42</definedName>
    <definedName name="V_ouv_sat">Trajecto!$K$26</definedName>
    <definedName name="V_ouverture">Trajecto!$K$28</definedName>
    <definedName name="V_para">Trajecto!$C$32</definedName>
    <definedName name="V_prop">Abaco!$K$43:$K$69</definedName>
    <definedName name="V_satellite">Trajecto!$D$32</definedName>
    <definedName name="V_vent">Trajecto!$C$31</definedName>
    <definedName name="V_vent_sat">Trajecto!$D$31</definedName>
    <definedName name="Version" localSheetId="0">Stabilito!$Q$37</definedName>
    <definedName name="Version" localSheetId="1">Trajecto!$N$37</definedName>
    <definedName name="Vit_culmi">Trajecto!$K$27</definedName>
    <definedName name="Vit_max">Trajecto!$K$25</definedName>
    <definedName name="vit_x">Calculs!$G$4:$G$1004</definedName>
    <definedName name="vit_xz">Calculs!$I$4:$I$1004</definedName>
    <definedName name="vit_z">Calculs!$H$4:$H$1004</definedName>
    <definedName name="Vsortie_de_rampe">Trajecto!$K$24</definedName>
    <definedName name="X_ail">Stabilito!$C$34</definedName>
    <definedName name="X_can">Stabilito!$D$34</definedName>
    <definedName name="X_culmi">Trajecto!$J$27</definedName>
    <definedName name="X_ini">Trajecto!$J$42</definedName>
    <definedName name="X_int" localSheetId="0">Stabilito!$E$33</definedName>
    <definedName name="X_j">Stabilito!$M$9</definedName>
    <definedName name="X_para">Trajecto!$J$28</definedName>
    <definedName name="X_r">Stabilito!$O$9</definedName>
    <definedName name="X_satellite">Trajecto!$J$26</definedName>
    <definedName name="XcgPlein">Stabilito!$M$15</definedName>
    <definedName name="XcgSans">Stabilito!$P$15</definedName>
    <definedName name="XcgVide">Stabilito!$N$15</definedName>
    <definedName name="XCp" localSheetId="0">Stabilito!$H$31</definedName>
    <definedName name="XCp0">Stabilito!$I$31</definedName>
    <definedName name="XCpa" localSheetId="0">Stabilito!$M$20</definedName>
    <definedName name="XCpai" localSheetId="0">Stabilito!$M$19</definedName>
    <definedName name="XCpai0">Stabilito!$N$19</definedName>
    <definedName name="XCpc" localSheetId="0">Stabilito!$M$21</definedName>
    <definedName name="XCpi" localSheetId="0">Stabilito!$M$22</definedName>
    <definedName name="XCpi0">Stabilito!$N$22</definedName>
    <definedName name="XCpj" localSheetId="0">Stabilito!$M$23</definedName>
    <definedName name="XCpo" localSheetId="0">Stabilito!$M$18</definedName>
    <definedName name="XCpr" localSheetId="0">Stabilito!$M$24</definedName>
    <definedName name="XpropuPlein">Propu!$N$2</definedName>
    <definedName name="XpropuRef">Stabilito!$C$19</definedName>
    <definedName name="XpropuVide">Propu!$P$2</definedName>
    <definedName name="Z_ini">Trajecto!$I$42</definedName>
    <definedName name="_xlnm.Print_Area" localSheetId="5">Abaco!$A$1:$M$37</definedName>
    <definedName name="_xlnm.Print_Area" localSheetId="2">Courbes!$A$1:$K$78</definedName>
    <definedName name="_xlnm.Print_Area" localSheetId="0">Stabilito!$A$1:$Q$37</definedName>
    <definedName name="_xlnm.Print_Area" localSheetId="1">Trajecto!$A$1:$N$36</definedName>
    <definedName name="zZ_fus">Trajecto!$F$138</definedName>
    <definedName name="zZ_sat">Trajecto!$F$155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5" i="1" l="1"/>
  <c r="B43" i="1"/>
  <c r="C10" i="6"/>
  <c r="E10" i="6" s="1"/>
  <c r="C10" i="8" s="1"/>
  <c r="L324" i="4"/>
  <c r="L323" i="4"/>
  <c r="L322" i="4"/>
  <c r="L321" i="4"/>
  <c r="L320" i="4"/>
  <c r="L319" i="4"/>
  <c r="L318" i="4"/>
  <c r="L317" i="4"/>
  <c r="R319" i="4"/>
  <c r="R318" i="4"/>
  <c r="R317" i="4"/>
  <c r="R320" i="4"/>
  <c r="N294" i="4"/>
  <c r="X307" i="4"/>
  <c r="W307" i="4"/>
  <c r="V307" i="4"/>
  <c r="U307" i="4"/>
  <c r="T307" i="4"/>
  <c r="S307" i="4"/>
  <c r="R307" i="4"/>
  <c r="Q307" i="4"/>
  <c r="P307" i="4"/>
  <c r="O307" i="4"/>
  <c r="N307" i="4"/>
  <c r="M307" i="4"/>
  <c r="L307" i="4"/>
  <c r="K307" i="4"/>
  <c r="J307" i="4"/>
  <c r="I307" i="4"/>
  <c r="H307" i="4"/>
  <c r="G307" i="4"/>
  <c r="F307" i="4"/>
  <c r="E307" i="4"/>
  <c r="D307" i="4"/>
  <c r="C307" i="4"/>
  <c r="B307" i="4"/>
  <c r="J304" i="4"/>
  <c r="B304" i="4"/>
  <c r="K25" i="7"/>
  <c r="H6" i="7"/>
  <c r="C20" i="6"/>
  <c r="I321" i="4"/>
  <c r="I320" i="4"/>
  <c r="I319" i="4"/>
  <c r="I318" i="4"/>
  <c r="I317" i="4"/>
  <c r="X151" i="4"/>
  <c r="W151" i="4"/>
  <c r="V151" i="4"/>
  <c r="U151" i="4"/>
  <c r="T151" i="4"/>
  <c r="S151" i="4"/>
  <c r="R151" i="4"/>
  <c r="Q151" i="4"/>
  <c r="P151" i="4"/>
  <c r="O151" i="4"/>
  <c r="N151" i="4"/>
  <c r="M151" i="4"/>
  <c r="L151" i="4"/>
  <c r="K151" i="4"/>
  <c r="J151" i="4"/>
  <c r="I151" i="4"/>
  <c r="H151" i="4"/>
  <c r="G151" i="4"/>
  <c r="F151" i="4"/>
  <c r="E151" i="4"/>
  <c r="D151" i="4"/>
  <c r="C151" i="4"/>
  <c r="B151" i="4"/>
  <c r="J148" i="4"/>
  <c r="B148" i="4"/>
  <c r="D103" i="4"/>
  <c r="E103" i="4"/>
  <c r="F103" i="4"/>
  <c r="G103" i="4"/>
  <c r="H103" i="4"/>
  <c r="I103" i="4"/>
  <c r="J103" i="4"/>
  <c r="K103" i="4"/>
  <c r="L103" i="4"/>
  <c r="M103" i="4"/>
  <c r="N103" i="4"/>
  <c r="O103" i="4"/>
  <c r="P103" i="4"/>
  <c r="Q103" i="4"/>
  <c r="R103" i="4"/>
  <c r="S103" i="4"/>
  <c r="T103" i="4"/>
  <c r="U103" i="4"/>
  <c r="V103" i="4"/>
  <c r="W103" i="4"/>
  <c r="X103" i="4"/>
  <c r="S98" i="4"/>
  <c r="T98" i="4"/>
  <c r="U98" i="4"/>
  <c r="V98" i="4"/>
  <c r="W98" i="4"/>
  <c r="X98" i="4"/>
  <c r="D98" i="4"/>
  <c r="E98" i="4"/>
  <c r="F98" i="4"/>
  <c r="G98" i="4"/>
  <c r="H98" i="4"/>
  <c r="I98" i="4"/>
  <c r="J98" i="4"/>
  <c r="K98" i="4"/>
  <c r="L98" i="4"/>
  <c r="M98" i="4"/>
  <c r="N98" i="4"/>
  <c r="O98" i="4"/>
  <c r="P98" i="4"/>
  <c r="Q98" i="4"/>
  <c r="R98" i="4"/>
  <c r="C103" i="4"/>
  <c r="C98" i="4"/>
  <c r="X104" i="4"/>
  <c r="W104" i="4"/>
  <c r="V104" i="4"/>
  <c r="U104" i="4"/>
  <c r="T105" i="4" s="1"/>
  <c r="T104" i="4"/>
  <c r="S104" i="4"/>
  <c r="R104" i="4"/>
  <c r="Q104" i="4"/>
  <c r="P104" i="4"/>
  <c r="O104" i="4"/>
  <c r="N105" i="4" s="1"/>
  <c r="N104" i="4"/>
  <c r="M104" i="4"/>
  <c r="L104" i="4"/>
  <c r="K104" i="4"/>
  <c r="J104" i="4"/>
  <c r="I105" i="4" s="1"/>
  <c r="I104" i="4"/>
  <c r="H104" i="4"/>
  <c r="G104" i="4"/>
  <c r="G105" i="4" s="1"/>
  <c r="F104" i="4"/>
  <c r="E104" i="4"/>
  <c r="E105" i="4" s="1"/>
  <c r="D104" i="4"/>
  <c r="C104" i="4"/>
  <c r="B104" i="4"/>
  <c r="L102" i="4"/>
  <c r="H102" i="4"/>
  <c r="B102" i="4"/>
  <c r="X99" i="4"/>
  <c r="W99" i="4"/>
  <c r="V99" i="4"/>
  <c r="U99" i="4"/>
  <c r="T99" i="4"/>
  <c r="S99" i="4"/>
  <c r="R100" i="4" s="1"/>
  <c r="R99" i="4"/>
  <c r="Q99" i="4"/>
  <c r="P99" i="4"/>
  <c r="P100" i="4" s="1"/>
  <c r="O99" i="4"/>
  <c r="N99" i="4"/>
  <c r="M99" i="4"/>
  <c r="L99" i="4"/>
  <c r="K99" i="4"/>
  <c r="J99" i="4"/>
  <c r="J100" i="4" s="1"/>
  <c r="I99" i="4"/>
  <c r="H99" i="4"/>
  <c r="G99" i="4"/>
  <c r="F99" i="4"/>
  <c r="E100" i="4"/>
  <c r="E99" i="4"/>
  <c r="D99" i="4"/>
  <c r="C99" i="4"/>
  <c r="B99" i="4"/>
  <c r="L97" i="4"/>
  <c r="H97" i="4"/>
  <c r="B97" i="4"/>
  <c r="X95" i="4"/>
  <c r="W95" i="4"/>
  <c r="V95" i="4"/>
  <c r="U95" i="4"/>
  <c r="T95" i="4"/>
  <c r="S95" i="4"/>
  <c r="R95" i="4"/>
  <c r="Q95" i="4"/>
  <c r="P95" i="4"/>
  <c r="O95" i="4"/>
  <c r="N95" i="4"/>
  <c r="M95" i="4"/>
  <c r="L95" i="4"/>
  <c r="K95" i="4"/>
  <c r="J95" i="4"/>
  <c r="I95" i="4"/>
  <c r="H95" i="4"/>
  <c r="D92" i="4" s="1"/>
  <c r="F92" i="4" s="1"/>
  <c r="G95" i="4"/>
  <c r="F95" i="4"/>
  <c r="E95" i="4"/>
  <c r="D95" i="4"/>
  <c r="C95" i="4"/>
  <c r="B95" i="4"/>
  <c r="J92" i="4"/>
  <c r="B92" i="4"/>
  <c r="O344" i="4"/>
  <c r="O343" i="4"/>
  <c r="O342" i="4"/>
  <c r="O341" i="4"/>
  <c r="Q206" i="4"/>
  <c r="P206" i="4"/>
  <c r="O206" i="4"/>
  <c r="N206" i="4"/>
  <c r="M206" i="4"/>
  <c r="L206" i="4"/>
  <c r="K206" i="4"/>
  <c r="J206" i="4"/>
  <c r="I206" i="4"/>
  <c r="H206" i="4"/>
  <c r="G206" i="4"/>
  <c r="F206" i="4"/>
  <c r="E206" i="4"/>
  <c r="D206" i="4"/>
  <c r="C206" i="4"/>
  <c r="B206" i="4"/>
  <c r="J203" i="4"/>
  <c r="B203" i="4"/>
  <c r="E5" i="7"/>
  <c r="H7" i="7"/>
  <c r="E7" i="7"/>
  <c r="E6" i="7"/>
  <c r="H9" i="7"/>
  <c r="K26" i="7"/>
  <c r="K23" i="7"/>
  <c r="J26" i="7"/>
  <c r="J25" i="7"/>
  <c r="J23" i="7"/>
  <c r="G27" i="7"/>
  <c r="G26" i="7"/>
  <c r="F26" i="7"/>
  <c r="G25" i="7"/>
  <c r="F25" i="7"/>
  <c r="G24" i="7"/>
  <c r="F24" i="7"/>
  <c r="G23" i="7"/>
  <c r="F23" i="7"/>
  <c r="D27" i="7"/>
  <c r="D24" i="7"/>
  <c r="B32" i="6"/>
  <c r="B31" i="6"/>
  <c r="B30" i="6"/>
  <c r="B29" i="6"/>
  <c r="B28" i="6"/>
  <c r="B36" i="6"/>
  <c r="B35" i="6"/>
  <c r="B34" i="6"/>
  <c r="B33" i="6"/>
  <c r="U35" i="7"/>
  <c r="U34" i="7"/>
  <c r="U33" i="7"/>
  <c r="U32" i="7"/>
  <c r="U31" i="7"/>
  <c r="U30" i="7"/>
  <c r="P32" i="7"/>
  <c r="P31" i="7"/>
  <c r="Q34" i="7"/>
  <c r="P29" i="7"/>
  <c r="U20" i="7"/>
  <c r="Q17" i="7"/>
  <c r="U16" i="7"/>
  <c r="U13" i="7"/>
  <c r="Q12" i="7"/>
  <c r="U11" i="7"/>
  <c r="Q3" i="7"/>
  <c r="E17" i="7"/>
  <c r="E16" i="7"/>
  <c r="E15" i="7"/>
  <c r="E13" i="7"/>
  <c r="B53" i="1"/>
  <c r="B51" i="1"/>
  <c r="B56" i="1"/>
  <c r="D29" i="1"/>
  <c r="I69" i="7" s="1"/>
  <c r="D25" i="1"/>
  <c r="E30" i="1" s="1"/>
  <c r="C19" i="1"/>
  <c r="H8" i="7" s="1"/>
  <c r="C161" i="6"/>
  <c r="C162" i="6"/>
  <c r="C160" i="6"/>
  <c r="C159" i="6"/>
  <c r="C158" i="6"/>
  <c r="C26" i="6"/>
  <c r="M21" i="6"/>
  <c r="C140" i="6"/>
  <c r="D25" i="7"/>
  <c r="F110" i="1"/>
  <c r="C114" i="1" s="1"/>
  <c r="C155" i="1"/>
  <c r="C153" i="1"/>
  <c r="C151" i="1"/>
  <c r="N35" i="1"/>
  <c r="C134" i="1"/>
  <c r="B26" i="1"/>
  <c r="J30" i="6"/>
  <c r="E191" i="6" s="1"/>
  <c r="G30" i="6"/>
  <c r="E182" i="6" s="1"/>
  <c r="J29" i="6"/>
  <c r="B188" i="6" s="1"/>
  <c r="G29" i="6"/>
  <c r="J28" i="6"/>
  <c r="C185" i="6" s="1"/>
  <c r="J27" i="6"/>
  <c r="G28" i="6"/>
  <c r="G27" i="6"/>
  <c r="W35" i="6"/>
  <c r="B100" i="6"/>
  <c r="B98" i="6"/>
  <c r="B99" i="6"/>
  <c r="Q241" i="4"/>
  <c r="P241" i="4"/>
  <c r="O241" i="4"/>
  <c r="N241" i="4"/>
  <c r="M241" i="4"/>
  <c r="L241" i="4"/>
  <c r="K241" i="4"/>
  <c r="J241" i="4"/>
  <c r="I241" i="4"/>
  <c r="H241" i="4"/>
  <c r="G241" i="4"/>
  <c r="F241" i="4"/>
  <c r="E241" i="4"/>
  <c r="D241" i="4"/>
  <c r="C241" i="4"/>
  <c r="B241" i="4"/>
  <c r="S240" i="4"/>
  <c r="T240" i="4" s="1"/>
  <c r="U240" i="4" s="1"/>
  <c r="V240" i="4" s="1"/>
  <c r="W240" i="4" s="1"/>
  <c r="S239" i="4"/>
  <c r="T239" i="4" s="1"/>
  <c r="J238" i="4"/>
  <c r="B238" i="4"/>
  <c r="O321" i="4"/>
  <c r="O320" i="4"/>
  <c r="S131" i="4"/>
  <c r="R131" i="4"/>
  <c r="Q131" i="4"/>
  <c r="P131" i="4"/>
  <c r="O131" i="4"/>
  <c r="N131" i="4"/>
  <c r="M131" i="4"/>
  <c r="L131" i="4"/>
  <c r="K131" i="4"/>
  <c r="J131" i="4"/>
  <c r="I131" i="4"/>
  <c r="H131" i="4"/>
  <c r="G131" i="4"/>
  <c r="F131" i="4"/>
  <c r="E131" i="4"/>
  <c r="D131" i="4"/>
  <c r="C131" i="4"/>
  <c r="B131" i="4"/>
  <c r="V130" i="4"/>
  <c r="U131" i="4" s="1"/>
  <c r="T131" i="4"/>
  <c r="J128" i="4"/>
  <c r="B128" i="4"/>
  <c r="R126" i="4"/>
  <c r="Q126" i="4"/>
  <c r="P126" i="4"/>
  <c r="O126" i="4"/>
  <c r="N126" i="4"/>
  <c r="M126" i="4"/>
  <c r="L126" i="4"/>
  <c r="K126" i="4"/>
  <c r="J126" i="4"/>
  <c r="I126" i="4"/>
  <c r="H126" i="4"/>
  <c r="G126" i="4"/>
  <c r="F126" i="4"/>
  <c r="E126" i="4"/>
  <c r="D126" i="4"/>
  <c r="C126" i="4"/>
  <c r="B126" i="4"/>
  <c r="T125" i="4"/>
  <c r="S126" i="4" s="1"/>
  <c r="J123" i="4"/>
  <c r="B123" i="4"/>
  <c r="O340" i="4"/>
  <c r="T256" i="4"/>
  <c r="S256" i="4"/>
  <c r="R256" i="4"/>
  <c r="Q256" i="4"/>
  <c r="P256" i="4"/>
  <c r="O256" i="4"/>
  <c r="N256" i="4"/>
  <c r="M256" i="4"/>
  <c r="L256" i="4"/>
  <c r="K256" i="4"/>
  <c r="J256" i="4"/>
  <c r="I256" i="4"/>
  <c r="H256" i="4"/>
  <c r="G256" i="4"/>
  <c r="F256" i="4"/>
  <c r="E256" i="4"/>
  <c r="D256" i="4"/>
  <c r="C256" i="4"/>
  <c r="B256" i="4"/>
  <c r="V255" i="4"/>
  <c r="W255" i="4" s="1"/>
  <c r="V254" i="4"/>
  <c r="W254" i="4" s="1"/>
  <c r="X254" i="4" s="1"/>
  <c r="J253" i="4"/>
  <c r="B253" i="4"/>
  <c r="O337" i="4"/>
  <c r="Q236" i="4"/>
  <c r="P236" i="4"/>
  <c r="O236" i="4"/>
  <c r="N236" i="4"/>
  <c r="M236" i="4"/>
  <c r="L236" i="4"/>
  <c r="K236" i="4"/>
  <c r="J236" i="4"/>
  <c r="I236" i="4"/>
  <c r="H236" i="4"/>
  <c r="G236" i="4"/>
  <c r="F236" i="4"/>
  <c r="E236" i="4"/>
  <c r="D236" i="4"/>
  <c r="C236" i="4"/>
  <c r="B236" i="4"/>
  <c r="S235" i="4"/>
  <c r="T235" i="4" s="1"/>
  <c r="S234" i="4"/>
  <c r="R236" i="4" s="1"/>
  <c r="J233" i="4"/>
  <c r="B233" i="4"/>
  <c r="O346" i="4"/>
  <c r="Q211" i="4"/>
  <c r="P211" i="4"/>
  <c r="O211" i="4"/>
  <c r="N211" i="4"/>
  <c r="M211" i="4"/>
  <c r="L211" i="4"/>
  <c r="K211" i="4"/>
  <c r="J211" i="4"/>
  <c r="I211" i="4"/>
  <c r="H211" i="4"/>
  <c r="G211" i="4"/>
  <c r="F211" i="4"/>
  <c r="E211" i="4"/>
  <c r="D211" i="4"/>
  <c r="C211" i="4"/>
  <c r="B211" i="4"/>
  <c r="S211" i="4"/>
  <c r="R211" i="4"/>
  <c r="J208" i="4"/>
  <c r="B208" i="4"/>
  <c r="O336" i="4"/>
  <c r="O335" i="4"/>
  <c r="O334" i="4"/>
  <c r="O333" i="4"/>
  <c r="O338" i="4"/>
  <c r="O339" i="4"/>
  <c r="O345" i="4"/>
  <c r="O323" i="4"/>
  <c r="O324" i="4"/>
  <c r="O325" i="4"/>
  <c r="O326" i="4"/>
  <c r="O327" i="4"/>
  <c r="O319" i="4"/>
  <c r="O322" i="4"/>
  <c r="O328" i="4"/>
  <c r="O329" i="4"/>
  <c r="O330" i="4"/>
  <c r="O331" i="4"/>
  <c r="O332" i="4"/>
  <c r="O318" i="4"/>
  <c r="O317" i="4"/>
  <c r="X231" i="4"/>
  <c r="W231" i="4"/>
  <c r="V231" i="4"/>
  <c r="U231" i="4"/>
  <c r="T231" i="4"/>
  <c r="S231" i="4"/>
  <c r="R231" i="4"/>
  <c r="Q231" i="4"/>
  <c r="P231" i="4"/>
  <c r="O231" i="4"/>
  <c r="N231" i="4"/>
  <c r="M231" i="4"/>
  <c r="L231" i="4"/>
  <c r="K231" i="4"/>
  <c r="J231" i="4"/>
  <c r="I231" i="4"/>
  <c r="H231" i="4"/>
  <c r="G231" i="4"/>
  <c r="D228" i="4" s="1"/>
  <c r="F228" i="4" s="1"/>
  <c r="F231" i="4"/>
  <c r="E231" i="4"/>
  <c r="D231" i="4"/>
  <c r="C231" i="4"/>
  <c r="B231" i="4"/>
  <c r="J228" i="4"/>
  <c r="B228" i="4"/>
  <c r="Q226" i="4"/>
  <c r="P226" i="4"/>
  <c r="O226" i="4"/>
  <c r="N226" i="4"/>
  <c r="M226" i="4"/>
  <c r="L226" i="4"/>
  <c r="K226" i="4"/>
  <c r="J226" i="4"/>
  <c r="I226" i="4"/>
  <c r="H226" i="4"/>
  <c r="G226" i="4"/>
  <c r="F226" i="4"/>
  <c r="E226" i="4"/>
  <c r="D226" i="4"/>
  <c r="C226" i="4"/>
  <c r="B226" i="4"/>
  <c r="T225" i="4"/>
  <c r="U225" i="4" s="1"/>
  <c r="R226" i="4"/>
  <c r="T224" i="4"/>
  <c r="U224" i="4" s="1"/>
  <c r="V224" i="4" s="1"/>
  <c r="W224" i="4" s="1"/>
  <c r="J223" i="4"/>
  <c r="B223" i="4"/>
  <c r="V249" i="4"/>
  <c r="W249" i="4" s="1"/>
  <c r="W244" i="4"/>
  <c r="Q251" i="4"/>
  <c r="P251" i="4"/>
  <c r="O251" i="4"/>
  <c r="N251" i="4"/>
  <c r="M251" i="4"/>
  <c r="L251" i="4"/>
  <c r="K251" i="4"/>
  <c r="J251" i="4"/>
  <c r="I251" i="4"/>
  <c r="H251" i="4"/>
  <c r="G251" i="4"/>
  <c r="F251" i="4"/>
  <c r="E251" i="4"/>
  <c r="D251" i="4"/>
  <c r="C251" i="4"/>
  <c r="B251" i="4"/>
  <c r="J248" i="4"/>
  <c r="B248" i="4"/>
  <c r="J246" i="4"/>
  <c r="I246" i="4"/>
  <c r="H246" i="4"/>
  <c r="G246" i="4"/>
  <c r="F246" i="4"/>
  <c r="E246" i="4"/>
  <c r="D246" i="4"/>
  <c r="C246" i="4"/>
  <c r="B246" i="4"/>
  <c r="J243" i="4"/>
  <c r="B243" i="4"/>
  <c r="L194" i="4"/>
  <c r="M194" i="4" s="1"/>
  <c r="R334" i="4"/>
  <c r="R335" i="4"/>
  <c r="R336" i="4"/>
  <c r="R337" i="4"/>
  <c r="R338" i="4"/>
  <c r="R339" i="4"/>
  <c r="S195" i="4"/>
  <c r="T195" i="4"/>
  <c r="U195" i="4" s="1"/>
  <c r="V195" i="4" s="1"/>
  <c r="W195" i="4" s="1"/>
  <c r="X195" i="4" s="1"/>
  <c r="X196" i="4" s="1"/>
  <c r="J196" i="4"/>
  <c r="I196" i="4"/>
  <c r="H196" i="4"/>
  <c r="G196" i="4"/>
  <c r="F196" i="4"/>
  <c r="E196" i="4"/>
  <c r="D196" i="4"/>
  <c r="C196" i="4"/>
  <c r="B196" i="4"/>
  <c r="J193" i="4"/>
  <c r="B193" i="4"/>
  <c r="S200" i="4"/>
  <c r="T200" i="4" s="1"/>
  <c r="S199" i="4"/>
  <c r="T199" i="4" s="1"/>
  <c r="U199" i="4" s="1"/>
  <c r="V199" i="4" s="1"/>
  <c r="W199" i="4" s="1"/>
  <c r="X199" i="4" s="1"/>
  <c r="Q201" i="4"/>
  <c r="P201" i="4"/>
  <c r="O201" i="4"/>
  <c r="N201" i="4"/>
  <c r="M201" i="4"/>
  <c r="L201" i="4"/>
  <c r="K201" i="4"/>
  <c r="J201" i="4"/>
  <c r="I201" i="4"/>
  <c r="H201" i="4"/>
  <c r="G201" i="4"/>
  <c r="F201" i="4"/>
  <c r="E201" i="4"/>
  <c r="D201" i="4"/>
  <c r="C201" i="4"/>
  <c r="B201" i="4"/>
  <c r="J198" i="4"/>
  <c r="B198" i="4"/>
  <c r="B213" i="4"/>
  <c r="B216" i="4"/>
  <c r="C216" i="4"/>
  <c r="D216" i="4"/>
  <c r="E216" i="4"/>
  <c r="F216" i="4"/>
  <c r="G216" i="4"/>
  <c r="H216" i="4"/>
  <c r="I216" i="4"/>
  <c r="J216" i="4"/>
  <c r="K216" i="4"/>
  <c r="L216" i="4"/>
  <c r="M216" i="4"/>
  <c r="N216" i="4"/>
  <c r="O216" i="4"/>
  <c r="P216" i="4"/>
  <c r="Q216" i="4"/>
  <c r="S215" i="4"/>
  <c r="T215" i="4" s="1"/>
  <c r="S214" i="4"/>
  <c r="J213" i="4"/>
  <c r="A2" i="4"/>
  <c r="B133" i="4"/>
  <c r="B4" i="3"/>
  <c r="AC4" i="3" s="1"/>
  <c r="B136" i="4"/>
  <c r="C136" i="4"/>
  <c r="D136" i="4"/>
  <c r="D133" i="4" s="1"/>
  <c r="F133" i="4" s="1"/>
  <c r="E136" i="4"/>
  <c r="F136" i="4"/>
  <c r="G136" i="4"/>
  <c r="H136" i="4"/>
  <c r="I136" i="4"/>
  <c r="J136" i="4"/>
  <c r="K136" i="4"/>
  <c r="L136" i="4"/>
  <c r="M136" i="4"/>
  <c r="N136" i="4"/>
  <c r="O136" i="4"/>
  <c r="P136" i="4"/>
  <c r="Q136" i="4"/>
  <c r="R136" i="4"/>
  <c r="S136" i="4"/>
  <c r="T136" i="4"/>
  <c r="U136" i="4"/>
  <c r="V136" i="4"/>
  <c r="W136" i="4"/>
  <c r="X136" i="4"/>
  <c r="J133" i="4"/>
  <c r="N4" i="3"/>
  <c r="M4" i="3" s="1"/>
  <c r="J4" i="3"/>
  <c r="K4" i="3"/>
  <c r="V4" i="3" s="1"/>
  <c r="I4" i="3"/>
  <c r="B113" i="4"/>
  <c r="C36" i="6"/>
  <c r="M18" i="6"/>
  <c r="B116" i="4"/>
  <c r="C116" i="4"/>
  <c r="D116" i="4"/>
  <c r="E116" i="4"/>
  <c r="F116" i="4"/>
  <c r="G116" i="4"/>
  <c r="H116" i="4"/>
  <c r="I116" i="4"/>
  <c r="J116" i="4"/>
  <c r="K116" i="4"/>
  <c r="L116" i="4"/>
  <c r="M116" i="4"/>
  <c r="N116" i="4"/>
  <c r="O116" i="4"/>
  <c r="P116" i="4"/>
  <c r="Q116" i="4"/>
  <c r="R116" i="4"/>
  <c r="S116" i="4"/>
  <c r="U115" i="4"/>
  <c r="T116" i="4" s="1"/>
  <c r="J113" i="4"/>
  <c r="B166" i="4"/>
  <c r="C166" i="4"/>
  <c r="D166" i="4"/>
  <c r="E166" i="4"/>
  <c r="F166" i="4"/>
  <c r="G166" i="4"/>
  <c r="H166" i="4"/>
  <c r="I166" i="4"/>
  <c r="J166" i="4"/>
  <c r="K166" i="4"/>
  <c r="L166" i="4"/>
  <c r="M166" i="4"/>
  <c r="N166" i="4"/>
  <c r="O166" i="4"/>
  <c r="P166" i="4"/>
  <c r="Q166" i="4"/>
  <c r="R166" i="4"/>
  <c r="T165" i="4"/>
  <c r="S166" i="4" s="1"/>
  <c r="X164" i="4"/>
  <c r="L163" i="4"/>
  <c r="J163" i="4" s="1"/>
  <c r="B48" i="1"/>
  <c r="C29" i="1" s="1"/>
  <c r="E127" i="7" s="1"/>
  <c r="D31" i="1"/>
  <c r="B29" i="4"/>
  <c r="C29" i="4"/>
  <c r="D29" i="4"/>
  <c r="E29" i="4"/>
  <c r="F29" i="4"/>
  <c r="G29" i="4"/>
  <c r="H29" i="4"/>
  <c r="I29" i="4"/>
  <c r="J29" i="4"/>
  <c r="K29" i="4"/>
  <c r="L29" i="4"/>
  <c r="M29" i="4"/>
  <c r="N29" i="4"/>
  <c r="O29" i="4"/>
  <c r="P29" i="4"/>
  <c r="Q29" i="4"/>
  <c r="R29" i="4"/>
  <c r="S29" i="4"/>
  <c r="T29" i="4"/>
  <c r="U29" i="4"/>
  <c r="V29" i="4"/>
  <c r="W29" i="4"/>
  <c r="X29" i="4"/>
  <c r="J26" i="4"/>
  <c r="B34" i="4"/>
  <c r="C34" i="4"/>
  <c r="D34" i="4"/>
  <c r="E34" i="4"/>
  <c r="F34" i="4"/>
  <c r="G34" i="4"/>
  <c r="H34" i="4"/>
  <c r="I34" i="4"/>
  <c r="J34" i="4"/>
  <c r="K34" i="4"/>
  <c r="L34" i="4"/>
  <c r="M34" i="4"/>
  <c r="N34" i="4"/>
  <c r="O34" i="4"/>
  <c r="P34" i="4"/>
  <c r="Q34" i="4"/>
  <c r="R34" i="4"/>
  <c r="S34" i="4"/>
  <c r="T34" i="4"/>
  <c r="U34" i="4"/>
  <c r="V34" i="4"/>
  <c r="W34" i="4"/>
  <c r="X34" i="4"/>
  <c r="J31" i="4"/>
  <c r="B39" i="4"/>
  <c r="C39" i="4"/>
  <c r="D39" i="4"/>
  <c r="E39" i="4"/>
  <c r="F39" i="4"/>
  <c r="G39" i="4"/>
  <c r="H39" i="4"/>
  <c r="I39" i="4"/>
  <c r="J39" i="4"/>
  <c r="K39" i="4"/>
  <c r="L39" i="4"/>
  <c r="M39" i="4"/>
  <c r="N39" i="4"/>
  <c r="O39" i="4"/>
  <c r="P39" i="4"/>
  <c r="Q39" i="4"/>
  <c r="R39" i="4"/>
  <c r="S39" i="4"/>
  <c r="T39" i="4"/>
  <c r="U39" i="4"/>
  <c r="V39" i="4"/>
  <c r="W39" i="4"/>
  <c r="X39" i="4"/>
  <c r="J36" i="4"/>
  <c r="B44" i="4"/>
  <c r="C44" i="4"/>
  <c r="D44" i="4"/>
  <c r="E44" i="4"/>
  <c r="F44" i="4"/>
  <c r="G44" i="4"/>
  <c r="H44" i="4"/>
  <c r="I44" i="4"/>
  <c r="J44" i="4"/>
  <c r="K44" i="4"/>
  <c r="L44" i="4"/>
  <c r="M44" i="4"/>
  <c r="N44" i="4"/>
  <c r="O44" i="4"/>
  <c r="P44" i="4"/>
  <c r="Q44" i="4"/>
  <c r="R44" i="4"/>
  <c r="S44" i="4"/>
  <c r="T44" i="4"/>
  <c r="U44" i="4"/>
  <c r="V44" i="4"/>
  <c r="W44" i="4"/>
  <c r="X44" i="4"/>
  <c r="J41" i="4"/>
  <c r="B49" i="4"/>
  <c r="C49" i="4"/>
  <c r="D49" i="4"/>
  <c r="E49" i="4"/>
  <c r="F49" i="4"/>
  <c r="G49" i="4"/>
  <c r="H49" i="4"/>
  <c r="I49" i="4"/>
  <c r="J49" i="4"/>
  <c r="K49" i="4"/>
  <c r="L49" i="4"/>
  <c r="M49" i="4"/>
  <c r="N49" i="4"/>
  <c r="O49" i="4"/>
  <c r="P49" i="4"/>
  <c r="Q49" i="4"/>
  <c r="R49" i="4"/>
  <c r="S49" i="4"/>
  <c r="T49" i="4"/>
  <c r="U49" i="4"/>
  <c r="V49" i="4"/>
  <c r="W49" i="4"/>
  <c r="X49" i="4"/>
  <c r="J46" i="4"/>
  <c r="B54" i="4"/>
  <c r="C54" i="4"/>
  <c r="D54" i="4"/>
  <c r="E54" i="4"/>
  <c r="F54" i="4"/>
  <c r="G54" i="4"/>
  <c r="H54" i="4"/>
  <c r="I54" i="4"/>
  <c r="J54" i="4"/>
  <c r="K54" i="4"/>
  <c r="L54" i="4"/>
  <c r="M54" i="4"/>
  <c r="N54" i="4"/>
  <c r="O54" i="4"/>
  <c r="P54" i="4"/>
  <c r="Q54" i="4"/>
  <c r="D51" i="4" s="1"/>
  <c r="F51" i="4" s="1"/>
  <c r="R54" i="4"/>
  <c r="S54" i="4"/>
  <c r="T54" i="4"/>
  <c r="U54" i="4"/>
  <c r="V54" i="4"/>
  <c r="W54" i="4"/>
  <c r="X54" i="4"/>
  <c r="J51" i="4"/>
  <c r="B59" i="4"/>
  <c r="C59" i="4"/>
  <c r="D59" i="4"/>
  <c r="E59" i="4"/>
  <c r="F59" i="4"/>
  <c r="G59" i="4"/>
  <c r="H59" i="4"/>
  <c r="I59" i="4"/>
  <c r="J59" i="4"/>
  <c r="K59" i="4"/>
  <c r="L59" i="4"/>
  <c r="M59" i="4"/>
  <c r="N59" i="4"/>
  <c r="O59" i="4"/>
  <c r="P59" i="4"/>
  <c r="Q59" i="4"/>
  <c r="R59" i="4"/>
  <c r="S59" i="4"/>
  <c r="T59" i="4"/>
  <c r="U59" i="4"/>
  <c r="V59" i="4"/>
  <c r="W59" i="4"/>
  <c r="X59" i="4"/>
  <c r="D56" i="4" s="1"/>
  <c r="F56" i="4" s="1"/>
  <c r="J56" i="4"/>
  <c r="B64" i="4"/>
  <c r="C64" i="4"/>
  <c r="D64" i="4"/>
  <c r="E64" i="4"/>
  <c r="F64" i="4"/>
  <c r="G64" i="4"/>
  <c r="H64" i="4"/>
  <c r="I64" i="4"/>
  <c r="J64" i="4"/>
  <c r="K64" i="4"/>
  <c r="L64" i="4"/>
  <c r="M64" i="4"/>
  <c r="N64" i="4"/>
  <c r="O64" i="4"/>
  <c r="P64" i="4"/>
  <c r="Q64" i="4"/>
  <c r="R64" i="4"/>
  <c r="S64" i="4"/>
  <c r="T64" i="4"/>
  <c r="U64" i="4"/>
  <c r="V64" i="4"/>
  <c r="W64" i="4"/>
  <c r="X64" i="4"/>
  <c r="J61" i="4"/>
  <c r="B70" i="4"/>
  <c r="C70" i="4"/>
  <c r="D70" i="4"/>
  <c r="E70" i="4"/>
  <c r="F70" i="4"/>
  <c r="G70" i="4"/>
  <c r="H70" i="4"/>
  <c r="I70" i="4"/>
  <c r="J70" i="4"/>
  <c r="K70" i="4"/>
  <c r="L70" i="4"/>
  <c r="M70" i="4"/>
  <c r="N70" i="4"/>
  <c r="O70" i="4"/>
  <c r="P70" i="4"/>
  <c r="Q70" i="4"/>
  <c r="R70" i="4"/>
  <c r="S70" i="4"/>
  <c r="T70" i="4"/>
  <c r="U70" i="4"/>
  <c r="V70" i="4"/>
  <c r="W70" i="4"/>
  <c r="X70" i="4"/>
  <c r="J67" i="4"/>
  <c r="B75" i="4"/>
  <c r="C75" i="4"/>
  <c r="D75" i="4"/>
  <c r="E75" i="4"/>
  <c r="F75" i="4"/>
  <c r="G75" i="4"/>
  <c r="H75" i="4"/>
  <c r="I75" i="4"/>
  <c r="J75" i="4"/>
  <c r="K75" i="4"/>
  <c r="L75" i="4"/>
  <c r="M75" i="4"/>
  <c r="N75" i="4"/>
  <c r="O75" i="4"/>
  <c r="D72" i="4" s="1"/>
  <c r="F72" i="4" s="1"/>
  <c r="P75" i="4"/>
  <c r="Q75" i="4"/>
  <c r="R75" i="4"/>
  <c r="S75" i="4"/>
  <c r="T75" i="4"/>
  <c r="U75" i="4"/>
  <c r="V75" i="4"/>
  <c r="W75" i="4"/>
  <c r="X75" i="4"/>
  <c r="J72" i="4"/>
  <c r="B80" i="4"/>
  <c r="C80" i="4"/>
  <c r="D80" i="4"/>
  <c r="E80" i="4"/>
  <c r="F80" i="4"/>
  <c r="G80" i="4"/>
  <c r="H80" i="4"/>
  <c r="I80" i="4"/>
  <c r="J80" i="4"/>
  <c r="K80" i="4"/>
  <c r="L80" i="4"/>
  <c r="M80" i="4"/>
  <c r="N80" i="4"/>
  <c r="O80" i="4"/>
  <c r="P80" i="4"/>
  <c r="Q80" i="4"/>
  <c r="R80" i="4"/>
  <c r="S80" i="4"/>
  <c r="T80" i="4"/>
  <c r="U80" i="4"/>
  <c r="V80" i="4"/>
  <c r="W80" i="4"/>
  <c r="D77" i="4" s="1"/>
  <c r="F77" i="4" s="1"/>
  <c r="X80" i="4"/>
  <c r="J77" i="4"/>
  <c r="C84" i="4"/>
  <c r="B84" i="4"/>
  <c r="B85" i="4" s="1"/>
  <c r="D84" i="4"/>
  <c r="E84" i="4"/>
  <c r="F84" i="4"/>
  <c r="E85" i="4" s="1"/>
  <c r="G84" i="4"/>
  <c r="F85" i="4" s="1"/>
  <c r="H84" i="4"/>
  <c r="H85" i="4" s="1"/>
  <c r="I84" i="4"/>
  <c r="J84" i="4"/>
  <c r="K84" i="4"/>
  <c r="L84" i="4"/>
  <c r="L85" i="4" s="1"/>
  <c r="M84" i="4"/>
  <c r="N84" i="4"/>
  <c r="M85" i="4" s="1"/>
  <c r="O84" i="4"/>
  <c r="P84" i="4"/>
  <c r="Q84" i="4"/>
  <c r="P85" i="4" s="1"/>
  <c r="R84" i="4"/>
  <c r="S84" i="4"/>
  <c r="S85" i="4" s="1"/>
  <c r="T84" i="4"/>
  <c r="U84" i="4"/>
  <c r="V84" i="4"/>
  <c r="W84" i="4"/>
  <c r="V85" i="4" s="1"/>
  <c r="X84" i="4"/>
  <c r="W85" i="4" s="1"/>
  <c r="H82" i="4"/>
  <c r="L82" i="4"/>
  <c r="C89" i="4"/>
  <c r="B89" i="4"/>
  <c r="D89" i="4"/>
  <c r="D90" i="4" s="1"/>
  <c r="E89" i="4"/>
  <c r="F89" i="4"/>
  <c r="G89" i="4"/>
  <c r="F90" i="4" s="1"/>
  <c r="H89" i="4"/>
  <c r="I89" i="4"/>
  <c r="J89" i="4"/>
  <c r="J90" i="4" s="1"/>
  <c r="K89" i="4"/>
  <c r="L89" i="4"/>
  <c r="M89" i="4"/>
  <c r="N89" i="4"/>
  <c r="O89" i="4"/>
  <c r="O90" i="4" s="1"/>
  <c r="P89" i="4"/>
  <c r="Q89" i="4"/>
  <c r="R89" i="4"/>
  <c r="S89" i="4"/>
  <c r="R90" i="4" s="1"/>
  <c r="T89" i="4"/>
  <c r="U89" i="4"/>
  <c r="U90" i="4" s="1"/>
  <c r="V89" i="4"/>
  <c r="V90" i="4" s="1"/>
  <c r="W89" i="4"/>
  <c r="X89" i="4"/>
  <c r="X90" i="4" s="1"/>
  <c r="H87" i="4"/>
  <c r="L87" i="4"/>
  <c r="B111" i="4"/>
  <c r="C111" i="4"/>
  <c r="D111" i="4"/>
  <c r="E111" i="4"/>
  <c r="F111" i="4"/>
  <c r="G111" i="4"/>
  <c r="H111" i="4"/>
  <c r="I111" i="4"/>
  <c r="J111" i="4"/>
  <c r="K111" i="4"/>
  <c r="L111" i="4"/>
  <c r="M111" i="4"/>
  <c r="N111" i="4"/>
  <c r="O111" i="4"/>
  <c r="P111" i="4"/>
  <c r="Q111" i="4"/>
  <c r="R111" i="4"/>
  <c r="T110" i="4"/>
  <c r="S111" i="4" s="1"/>
  <c r="J108" i="4"/>
  <c r="B121" i="4"/>
  <c r="C121" i="4"/>
  <c r="D121" i="4"/>
  <c r="E121" i="4"/>
  <c r="F121" i="4"/>
  <c r="G121" i="4"/>
  <c r="H121" i="4"/>
  <c r="I121" i="4"/>
  <c r="J121" i="4"/>
  <c r="K121" i="4"/>
  <c r="L121" i="4"/>
  <c r="M121" i="4"/>
  <c r="N121" i="4"/>
  <c r="O121" i="4"/>
  <c r="P121" i="4"/>
  <c r="Q121" i="4"/>
  <c r="R121" i="4"/>
  <c r="T120" i="4"/>
  <c r="S121" i="4" s="1"/>
  <c r="J118" i="4"/>
  <c r="B141" i="4"/>
  <c r="D138" i="4" s="1"/>
  <c r="F138" i="4" s="1"/>
  <c r="C141" i="4"/>
  <c r="D141" i="4"/>
  <c r="E141" i="4"/>
  <c r="F141" i="4"/>
  <c r="G141" i="4"/>
  <c r="H141" i="4"/>
  <c r="I141" i="4"/>
  <c r="J141" i="4"/>
  <c r="K141" i="4"/>
  <c r="L141" i="4"/>
  <c r="M141" i="4"/>
  <c r="N141" i="4"/>
  <c r="O141" i="4"/>
  <c r="P141" i="4"/>
  <c r="Q141" i="4"/>
  <c r="R141" i="4"/>
  <c r="S141" i="4"/>
  <c r="T141" i="4"/>
  <c r="U141" i="4"/>
  <c r="V141" i="4"/>
  <c r="W141" i="4"/>
  <c r="X141" i="4"/>
  <c r="J138" i="4"/>
  <c r="B146" i="4"/>
  <c r="C146" i="4"/>
  <c r="D146" i="4"/>
  <c r="E146" i="4"/>
  <c r="F146" i="4"/>
  <c r="G146" i="4"/>
  <c r="H146" i="4"/>
  <c r="I146" i="4"/>
  <c r="J146" i="4"/>
  <c r="K146" i="4"/>
  <c r="L146" i="4"/>
  <c r="M146" i="4"/>
  <c r="N146" i="4"/>
  <c r="O146" i="4"/>
  <c r="P146" i="4"/>
  <c r="Q146" i="4"/>
  <c r="R146" i="4"/>
  <c r="S146" i="4"/>
  <c r="T146" i="4"/>
  <c r="U146" i="4"/>
  <c r="V146" i="4"/>
  <c r="W146" i="4"/>
  <c r="X146" i="4"/>
  <c r="J143" i="4"/>
  <c r="B156" i="4"/>
  <c r="C156" i="4"/>
  <c r="D156" i="4"/>
  <c r="E156" i="4"/>
  <c r="F156" i="4"/>
  <c r="G156" i="4"/>
  <c r="H156" i="4"/>
  <c r="I156" i="4"/>
  <c r="D153" i="4" s="1"/>
  <c r="F153" i="4" s="1"/>
  <c r="J156" i="4"/>
  <c r="K156" i="4"/>
  <c r="L156" i="4"/>
  <c r="M156" i="4"/>
  <c r="N156" i="4"/>
  <c r="O156" i="4"/>
  <c r="P156" i="4"/>
  <c r="Q156" i="4"/>
  <c r="R156" i="4"/>
  <c r="S156" i="4"/>
  <c r="T156" i="4"/>
  <c r="U156" i="4"/>
  <c r="V156" i="4"/>
  <c r="W156" i="4"/>
  <c r="X156" i="4"/>
  <c r="J153" i="4"/>
  <c r="B161" i="4"/>
  <c r="C161" i="4"/>
  <c r="D161" i="4"/>
  <c r="E161" i="4"/>
  <c r="F161" i="4"/>
  <c r="G161" i="4"/>
  <c r="H161" i="4"/>
  <c r="I161" i="4"/>
  <c r="J161" i="4"/>
  <c r="K161" i="4"/>
  <c r="L161" i="4"/>
  <c r="M161" i="4"/>
  <c r="N161" i="4"/>
  <c r="O161" i="4"/>
  <c r="P161" i="4"/>
  <c r="Q161" i="4"/>
  <c r="R161" i="4"/>
  <c r="S161" i="4"/>
  <c r="T161" i="4"/>
  <c r="U161" i="4"/>
  <c r="V161" i="4"/>
  <c r="W161" i="4"/>
  <c r="X161" i="4"/>
  <c r="J158" i="4"/>
  <c r="B171" i="4"/>
  <c r="C171" i="4"/>
  <c r="D171" i="4"/>
  <c r="E171" i="4"/>
  <c r="F171" i="4"/>
  <c r="G171" i="4"/>
  <c r="H171" i="4"/>
  <c r="I171" i="4"/>
  <c r="J171" i="4"/>
  <c r="K171" i="4"/>
  <c r="L171" i="4"/>
  <c r="M171" i="4"/>
  <c r="N171" i="4"/>
  <c r="O171" i="4"/>
  <c r="P171" i="4"/>
  <c r="Q171" i="4"/>
  <c r="R171" i="4"/>
  <c r="S171" i="4"/>
  <c r="T171" i="4"/>
  <c r="U171" i="4"/>
  <c r="V171" i="4"/>
  <c r="W171" i="4"/>
  <c r="X171" i="4"/>
  <c r="J168" i="4"/>
  <c r="B176" i="4"/>
  <c r="C176" i="4"/>
  <c r="D176" i="4"/>
  <c r="E176" i="4"/>
  <c r="F176" i="4"/>
  <c r="G176" i="4"/>
  <c r="H176" i="4"/>
  <c r="I176" i="4"/>
  <c r="J176" i="4"/>
  <c r="K176" i="4"/>
  <c r="L176" i="4"/>
  <c r="D173" i="4" s="1"/>
  <c r="F173" i="4" s="1"/>
  <c r="M176" i="4"/>
  <c r="N176" i="4"/>
  <c r="O176" i="4"/>
  <c r="P176" i="4"/>
  <c r="Q176" i="4"/>
  <c r="R176" i="4"/>
  <c r="S176" i="4"/>
  <c r="T176" i="4"/>
  <c r="U176" i="4"/>
  <c r="V176" i="4"/>
  <c r="W176" i="4"/>
  <c r="X176" i="4"/>
  <c r="J173" i="4"/>
  <c r="B181" i="4"/>
  <c r="C181" i="4"/>
  <c r="D181" i="4"/>
  <c r="E181" i="4"/>
  <c r="F181" i="4"/>
  <c r="G181" i="4"/>
  <c r="H181" i="4"/>
  <c r="I181" i="4"/>
  <c r="J181" i="4"/>
  <c r="K181" i="4"/>
  <c r="L181" i="4"/>
  <c r="M181" i="4"/>
  <c r="N181" i="4"/>
  <c r="O181" i="4"/>
  <c r="P181" i="4"/>
  <c r="Q181" i="4"/>
  <c r="R181" i="4"/>
  <c r="S181" i="4"/>
  <c r="T181" i="4"/>
  <c r="U181" i="4"/>
  <c r="V181" i="4"/>
  <c r="W181" i="4"/>
  <c r="X181" i="4"/>
  <c r="J178" i="4"/>
  <c r="B186" i="4"/>
  <c r="D183" i="4" s="1"/>
  <c r="F183" i="4" s="1"/>
  <c r="C186" i="4"/>
  <c r="D186" i="4"/>
  <c r="E186" i="4"/>
  <c r="F186" i="4"/>
  <c r="G186" i="4"/>
  <c r="H186" i="4"/>
  <c r="I186" i="4"/>
  <c r="J186" i="4"/>
  <c r="K186" i="4"/>
  <c r="L186" i="4"/>
  <c r="M186" i="4"/>
  <c r="N186" i="4"/>
  <c r="O186" i="4"/>
  <c r="P186" i="4"/>
  <c r="Q186" i="4"/>
  <c r="R186" i="4"/>
  <c r="S186" i="4"/>
  <c r="T186" i="4"/>
  <c r="U186" i="4"/>
  <c r="V186" i="4"/>
  <c r="W186" i="4"/>
  <c r="X186" i="4"/>
  <c r="J183" i="4"/>
  <c r="B191" i="4"/>
  <c r="C191" i="4"/>
  <c r="D191" i="4"/>
  <c r="E191" i="4"/>
  <c r="F191" i="4"/>
  <c r="G191" i="4"/>
  <c r="H191" i="4"/>
  <c r="I191" i="4"/>
  <c r="J191" i="4"/>
  <c r="K191" i="4"/>
  <c r="L191" i="4"/>
  <c r="M191" i="4"/>
  <c r="N191" i="4"/>
  <c r="O191" i="4"/>
  <c r="P191" i="4"/>
  <c r="Q191" i="4"/>
  <c r="R191" i="4"/>
  <c r="T190" i="4"/>
  <c r="U190" i="4" s="1"/>
  <c r="X189" i="4"/>
  <c r="L188" i="4"/>
  <c r="J188" i="4" s="1"/>
  <c r="B221" i="4"/>
  <c r="C221" i="4"/>
  <c r="D221" i="4"/>
  <c r="E221" i="4"/>
  <c r="F221" i="4"/>
  <c r="G221" i="4"/>
  <c r="H221" i="4"/>
  <c r="I221" i="4"/>
  <c r="J221" i="4"/>
  <c r="K221" i="4"/>
  <c r="L221" i="4"/>
  <c r="M221" i="4"/>
  <c r="N221" i="4"/>
  <c r="O221" i="4"/>
  <c r="P221" i="4"/>
  <c r="Q221" i="4"/>
  <c r="R221" i="4"/>
  <c r="S221" i="4"/>
  <c r="T221" i="4"/>
  <c r="U221" i="4"/>
  <c r="V221" i="4"/>
  <c r="W221" i="4"/>
  <c r="X221" i="4"/>
  <c r="J218" i="4"/>
  <c r="B261" i="4"/>
  <c r="C261" i="4"/>
  <c r="D261" i="4"/>
  <c r="E261" i="4"/>
  <c r="F261" i="4"/>
  <c r="G261" i="4"/>
  <c r="H261" i="4"/>
  <c r="I261" i="4"/>
  <c r="J261" i="4"/>
  <c r="K261" i="4"/>
  <c r="L261" i="4"/>
  <c r="M261" i="4"/>
  <c r="N261" i="4"/>
  <c r="O261" i="4"/>
  <c r="P261" i="4"/>
  <c r="Q261" i="4"/>
  <c r="R261" i="4"/>
  <c r="S261" i="4"/>
  <c r="T261" i="4"/>
  <c r="U261" i="4"/>
  <c r="V261" i="4"/>
  <c r="W261" i="4"/>
  <c r="X261" i="4"/>
  <c r="J258" i="4"/>
  <c r="B266" i="4"/>
  <c r="D263" i="4" s="1"/>
  <c r="F263" i="4" s="1"/>
  <c r="C266" i="4"/>
  <c r="D266" i="4"/>
  <c r="E266" i="4"/>
  <c r="F266" i="4"/>
  <c r="G266" i="4"/>
  <c r="H266" i="4"/>
  <c r="I266" i="4"/>
  <c r="J266" i="4"/>
  <c r="K266" i="4"/>
  <c r="L266" i="4"/>
  <c r="M266" i="4"/>
  <c r="N266" i="4"/>
  <c r="O266" i="4"/>
  <c r="P266" i="4"/>
  <c r="Q266" i="4"/>
  <c r="R266" i="4"/>
  <c r="S266" i="4"/>
  <c r="T266" i="4"/>
  <c r="U266" i="4"/>
  <c r="V266" i="4"/>
  <c r="W266" i="4"/>
  <c r="X266" i="4"/>
  <c r="J263" i="4"/>
  <c r="B272" i="4"/>
  <c r="C272" i="4"/>
  <c r="D272" i="4"/>
  <c r="E272" i="4"/>
  <c r="F272" i="4"/>
  <c r="G272" i="4"/>
  <c r="H272" i="4"/>
  <c r="I272" i="4"/>
  <c r="J272" i="4"/>
  <c r="K272" i="4"/>
  <c r="L272" i="4"/>
  <c r="M272" i="4"/>
  <c r="N272" i="4"/>
  <c r="O272" i="4"/>
  <c r="P272" i="4"/>
  <c r="Q272" i="4"/>
  <c r="R272" i="4"/>
  <c r="S272" i="4"/>
  <c r="T272" i="4"/>
  <c r="U272" i="4"/>
  <c r="V272" i="4"/>
  <c r="W272" i="4"/>
  <c r="X272" i="4"/>
  <c r="J269" i="4"/>
  <c r="B277" i="4"/>
  <c r="C277" i="4"/>
  <c r="D277" i="4"/>
  <c r="E277" i="4"/>
  <c r="F277" i="4"/>
  <c r="G277" i="4"/>
  <c r="H277" i="4"/>
  <c r="I277" i="4"/>
  <c r="J277" i="4"/>
  <c r="K277" i="4"/>
  <c r="L277" i="4"/>
  <c r="M277" i="4"/>
  <c r="N277" i="4"/>
  <c r="O277" i="4"/>
  <c r="P277" i="4"/>
  <c r="Q277" i="4"/>
  <c r="R277" i="4"/>
  <c r="S277" i="4"/>
  <c r="T277" i="4"/>
  <c r="U277" i="4"/>
  <c r="V277" i="4"/>
  <c r="W277" i="4"/>
  <c r="X277" i="4"/>
  <c r="J274" i="4"/>
  <c r="B282" i="4"/>
  <c r="C282" i="4"/>
  <c r="D282" i="4"/>
  <c r="E282" i="4"/>
  <c r="F282" i="4"/>
  <c r="G282" i="4"/>
  <c r="H282" i="4"/>
  <c r="I282" i="4"/>
  <c r="J282" i="4"/>
  <c r="K282" i="4"/>
  <c r="L282" i="4"/>
  <c r="M282" i="4"/>
  <c r="N282" i="4"/>
  <c r="O282" i="4"/>
  <c r="P282" i="4"/>
  <c r="Q282" i="4"/>
  <c r="R282" i="4"/>
  <c r="S282" i="4"/>
  <c r="T282" i="4"/>
  <c r="U282" i="4"/>
  <c r="V282" i="4"/>
  <c r="W282" i="4"/>
  <c r="X282" i="4"/>
  <c r="J279" i="4"/>
  <c r="B287" i="4"/>
  <c r="C287" i="4"/>
  <c r="D287" i="4"/>
  <c r="E287" i="4"/>
  <c r="F287" i="4"/>
  <c r="G287" i="4"/>
  <c r="H287" i="4"/>
  <c r="I287" i="4"/>
  <c r="J287" i="4"/>
  <c r="K287" i="4"/>
  <c r="L287" i="4"/>
  <c r="M287" i="4"/>
  <c r="N287" i="4"/>
  <c r="O287" i="4"/>
  <c r="P287" i="4"/>
  <c r="Q287" i="4"/>
  <c r="R287" i="4"/>
  <c r="S287" i="4"/>
  <c r="T287" i="4"/>
  <c r="U287" i="4"/>
  <c r="V287" i="4"/>
  <c r="W287" i="4"/>
  <c r="X287" i="4"/>
  <c r="J284" i="4"/>
  <c r="B292" i="4"/>
  <c r="C292" i="4"/>
  <c r="D292" i="4"/>
  <c r="E292" i="4"/>
  <c r="F292" i="4"/>
  <c r="G292" i="4"/>
  <c r="H292" i="4"/>
  <c r="I292" i="4"/>
  <c r="J292" i="4"/>
  <c r="K292" i="4"/>
  <c r="L292" i="4"/>
  <c r="M292" i="4"/>
  <c r="N292" i="4"/>
  <c r="O292" i="4"/>
  <c r="P292" i="4"/>
  <c r="Q292" i="4"/>
  <c r="R292" i="4"/>
  <c r="S292" i="4"/>
  <c r="T292" i="4"/>
  <c r="U292" i="4"/>
  <c r="V292" i="4"/>
  <c r="W292" i="4"/>
  <c r="X292" i="4"/>
  <c r="J289" i="4"/>
  <c r="B297" i="4"/>
  <c r="C297" i="4"/>
  <c r="D297" i="4"/>
  <c r="E297" i="4"/>
  <c r="F297" i="4"/>
  <c r="G297" i="4"/>
  <c r="H297" i="4"/>
  <c r="I297" i="4"/>
  <c r="J297" i="4"/>
  <c r="K297" i="4"/>
  <c r="L297" i="4"/>
  <c r="M297" i="4"/>
  <c r="N297" i="4"/>
  <c r="O297" i="4"/>
  <c r="P297" i="4"/>
  <c r="Q297" i="4"/>
  <c r="R297" i="4"/>
  <c r="S297" i="4"/>
  <c r="T297" i="4"/>
  <c r="U297" i="4"/>
  <c r="V297" i="4"/>
  <c r="W297" i="4"/>
  <c r="X297" i="4"/>
  <c r="J294" i="4"/>
  <c r="B302" i="4"/>
  <c r="C302" i="4"/>
  <c r="D302" i="4"/>
  <c r="E302" i="4"/>
  <c r="F302" i="4"/>
  <c r="G302" i="4"/>
  <c r="H302" i="4"/>
  <c r="I302" i="4"/>
  <c r="J302" i="4"/>
  <c r="K302" i="4"/>
  <c r="L302" i="4"/>
  <c r="M302" i="4"/>
  <c r="N302" i="4"/>
  <c r="O302" i="4"/>
  <c r="P302" i="4"/>
  <c r="Q302" i="4"/>
  <c r="R302" i="4"/>
  <c r="S302" i="4"/>
  <c r="T302" i="4"/>
  <c r="U302" i="4"/>
  <c r="V302" i="4"/>
  <c r="W302" i="4"/>
  <c r="X302" i="4"/>
  <c r="J299" i="4"/>
  <c r="B312" i="4"/>
  <c r="C312" i="4"/>
  <c r="D312" i="4"/>
  <c r="E312" i="4"/>
  <c r="F312" i="4"/>
  <c r="G312" i="4"/>
  <c r="H312" i="4"/>
  <c r="I312" i="4"/>
  <c r="J312" i="4"/>
  <c r="K312" i="4"/>
  <c r="L312" i="4"/>
  <c r="M312" i="4"/>
  <c r="N312" i="4"/>
  <c r="O312" i="4"/>
  <c r="P312" i="4"/>
  <c r="Q312" i="4"/>
  <c r="R312" i="4"/>
  <c r="S312" i="4"/>
  <c r="T312" i="4"/>
  <c r="U312" i="4"/>
  <c r="V312" i="4"/>
  <c r="W312" i="4"/>
  <c r="X312" i="4"/>
  <c r="J309" i="4"/>
  <c r="A316" i="4"/>
  <c r="B26" i="4"/>
  <c r="N26" i="4"/>
  <c r="B31" i="4"/>
  <c r="N31" i="4"/>
  <c r="B36" i="4"/>
  <c r="N36" i="4"/>
  <c r="B41" i="4"/>
  <c r="N41" i="4"/>
  <c r="B46" i="4"/>
  <c r="N46" i="4"/>
  <c r="B51" i="4"/>
  <c r="N51" i="4"/>
  <c r="B56" i="4"/>
  <c r="N56" i="4"/>
  <c r="B61" i="4"/>
  <c r="N61" i="4"/>
  <c r="B67" i="4"/>
  <c r="B72" i="4"/>
  <c r="B77" i="4"/>
  <c r="B82" i="4"/>
  <c r="B87" i="4"/>
  <c r="B108" i="4"/>
  <c r="B118" i="4"/>
  <c r="B138" i="4"/>
  <c r="B143" i="4"/>
  <c r="B153" i="4"/>
  <c r="B158" i="4"/>
  <c r="B163" i="4"/>
  <c r="B168" i="4"/>
  <c r="B173" i="4"/>
  <c r="B178" i="4"/>
  <c r="B183" i="4"/>
  <c r="B188" i="4"/>
  <c r="B218" i="4"/>
  <c r="B258" i="4"/>
  <c r="B263" i="4"/>
  <c r="B269" i="4"/>
  <c r="B274" i="4"/>
  <c r="B279" i="4"/>
  <c r="B284" i="4"/>
  <c r="B289" i="4"/>
  <c r="B294" i="4"/>
  <c r="B299" i="4"/>
  <c r="B309" i="4"/>
  <c r="E116" i="7"/>
  <c r="F85" i="7"/>
  <c r="H118" i="7"/>
  <c r="H111" i="7"/>
  <c r="E102" i="7"/>
  <c r="E103" i="7"/>
  <c r="E104" i="7"/>
  <c r="E100" i="7"/>
  <c r="H105" i="7"/>
  <c r="J105" i="7"/>
  <c r="J101" i="7"/>
  <c r="J97" i="7"/>
  <c r="F97" i="7"/>
  <c r="J92" i="7"/>
  <c r="J88" i="7"/>
  <c r="J86" i="7"/>
  <c r="J84" i="7"/>
  <c r="F90" i="7"/>
  <c r="F82" i="7"/>
  <c r="D85" i="7"/>
  <c r="D83" i="7"/>
  <c r="D81" i="7"/>
  <c r="D80" i="7"/>
  <c r="B20" i="6"/>
  <c r="F321" i="4"/>
  <c r="F320" i="4"/>
  <c r="C21" i="5"/>
  <c r="C20" i="5"/>
  <c r="C26" i="5"/>
  <c r="C22" i="5"/>
  <c r="C17" i="5"/>
  <c r="C19" i="5"/>
  <c r="C16" i="5"/>
  <c r="C15" i="5"/>
  <c r="L2" i="6"/>
  <c r="C317" i="4"/>
  <c r="F317" i="4"/>
  <c r="C318" i="4"/>
  <c r="F318" i="4"/>
  <c r="C319" i="4"/>
  <c r="F319" i="4"/>
  <c r="C320" i="4"/>
  <c r="C321" i="4"/>
  <c r="C322" i="4"/>
  <c r="C323" i="4"/>
  <c r="C324" i="4"/>
  <c r="B146" i="2"/>
  <c r="B37" i="1"/>
  <c r="B37" i="6"/>
  <c r="B16" i="8"/>
  <c r="B76" i="2"/>
  <c r="B12" i="8"/>
  <c r="B108" i="1"/>
  <c r="F42" i="5"/>
  <c r="B73" i="8"/>
  <c r="B80" i="8"/>
  <c r="C5" i="8"/>
  <c r="B78" i="8"/>
  <c r="B76" i="8"/>
  <c r="B75" i="8"/>
  <c r="B11" i="8"/>
  <c r="C4" i="8"/>
  <c r="C17" i="8"/>
  <c r="C15" i="8"/>
  <c r="C13" i="8"/>
  <c r="B13" i="8"/>
  <c r="C9" i="8"/>
  <c r="C8" i="8"/>
  <c r="B8" i="8"/>
  <c r="C7" i="8"/>
  <c r="N37" i="6"/>
  <c r="C53" i="5"/>
  <c r="C55" i="5"/>
  <c r="T18" i="6"/>
  <c r="S17" i="6"/>
  <c r="S19" i="6"/>
  <c r="S18" i="6"/>
  <c r="S13" i="6"/>
  <c r="S14" i="6"/>
  <c r="S12" i="6"/>
  <c r="T16" i="6"/>
  <c r="T11" i="6"/>
  <c r="L39" i="6"/>
  <c r="B94" i="1"/>
  <c r="B79" i="2"/>
  <c r="H64" i="7"/>
  <c r="H63" i="7" s="1"/>
  <c r="E59" i="7"/>
  <c r="E55" i="7"/>
  <c r="H52" i="7"/>
  <c r="E45" i="7"/>
  <c r="D45" i="7"/>
  <c r="E44" i="7"/>
  <c r="D44" i="7"/>
  <c r="E46" i="7"/>
  <c r="D46" i="7"/>
  <c r="E43" i="7"/>
  <c r="D43" i="7"/>
  <c r="E41" i="7"/>
  <c r="E50" i="7"/>
  <c r="E48" i="7"/>
  <c r="E47" i="7"/>
  <c r="H50" i="7"/>
  <c r="E51" i="7"/>
  <c r="C31" i="7"/>
  <c r="C5" i="5"/>
  <c r="C6" i="5"/>
  <c r="C7" i="5"/>
  <c r="C8" i="5"/>
  <c r="C10" i="5"/>
  <c r="C11" i="5"/>
  <c r="C12" i="5"/>
  <c r="C13" i="5"/>
  <c r="C23" i="5"/>
  <c r="C25" i="5"/>
  <c r="C28" i="5"/>
  <c r="C33" i="5"/>
  <c r="F34" i="5"/>
  <c r="F35" i="5"/>
  <c r="F36" i="5"/>
  <c r="F37" i="5"/>
  <c r="F38" i="5"/>
  <c r="F39" i="5"/>
  <c r="F40" i="5"/>
  <c r="C54" i="5"/>
  <c r="A1" i="4"/>
  <c r="A3" i="4"/>
  <c r="A4" i="4"/>
  <c r="B77" i="2"/>
  <c r="B78" i="2"/>
  <c r="B131" i="2"/>
  <c r="B133" i="2"/>
  <c r="B134" i="2"/>
  <c r="B135" i="2"/>
  <c r="B137" i="2"/>
  <c r="B138" i="2"/>
  <c r="B140" i="2"/>
  <c r="B141" i="2"/>
  <c r="B144" i="2"/>
  <c r="C4" i="1"/>
  <c r="C6" i="1"/>
  <c r="C7" i="1"/>
  <c r="C24" i="1" s="1"/>
  <c r="B8" i="1"/>
  <c r="C8" i="1"/>
  <c r="C9" i="1"/>
  <c r="B11" i="1"/>
  <c r="B12" i="1"/>
  <c r="C12" i="1"/>
  <c r="C14" i="1"/>
  <c r="C18" i="1"/>
  <c r="B19" i="1"/>
  <c r="B20" i="1"/>
  <c r="C23" i="1"/>
  <c r="G23" i="1"/>
  <c r="H23" i="1"/>
  <c r="J23" i="1"/>
  <c r="K23" i="1"/>
  <c r="F24" i="1"/>
  <c r="B25" i="1"/>
  <c r="F25" i="1"/>
  <c r="B27" i="1"/>
  <c r="F26" i="1"/>
  <c r="H26" i="1"/>
  <c r="F28" i="1"/>
  <c r="B31" i="1"/>
  <c r="F29" i="1"/>
  <c r="B32" i="1"/>
  <c r="B33" i="1"/>
  <c r="H33" i="1"/>
  <c r="B34" i="1"/>
  <c r="F34" i="1"/>
  <c r="B35" i="1"/>
  <c r="F35" i="1"/>
  <c r="F36" i="1"/>
  <c r="A40" i="1"/>
  <c r="F40" i="1"/>
  <c r="H40" i="1"/>
  <c r="J40" i="1"/>
  <c r="K40" i="1"/>
  <c r="F42" i="1"/>
  <c r="M42" i="1"/>
  <c r="F43" i="1"/>
  <c r="F44" i="1"/>
  <c r="F45" i="1"/>
  <c r="F47" i="1"/>
  <c r="F48" i="1"/>
  <c r="F49" i="1"/>
  <c r="L49" i="1"/>
  <c r="F50" i="1"/>
  <c r="H50" i="1"/>
  <c r="F51" i="1"/>
  <c r="I51" i="1"/>
  <c r="L51" i="1"/>
  <c r="M51" i="1"/>
  <c r="B103" i="1"/>
  <c r="B110" i="1"/>
  <c r="B111" i="1"/>
  <c r="B112" i="1"/>
  <c r="B113" i="1"/>
  <c r="B114" i="1"/>
  <c r="B118" i="1"/>
  <c r="C143" i="1"/>
  <c r="C145" i="1"/>
  <c r="C147" i="1"/>
  <c r="B149" i="1"/>
  <c r="C4" i="6"/>
  <c r="C6" i="6"/>
  <c r="L6" i="6"/>
  <c r="C7" i="6"/>
  <c r="L7" i="6"/>
  <c r="B8" i="6"/>
  <c r="L8" i="6"/>
  <c r="L9" i="6"/>
  <c r="B12" i="6"/>
  <c r="M11" i="6"/>
  <c r="N11" i="6"/>
  <c r="P11" i="6"/>
  <c r="B13" i="6"/>
  <c r="L12" i="6"/>
  <c r="B14" i="6"/>
  <c r="L13" i="6"/>
  <c r="B15" i="6"/>
  <c r="L14" i="6"/>
  <c r="L15" i="6"/>
  <c r="C17" i="6"/>
  <c r="B19" i="6"/>
  <c r="L18" i="6"/>
  <c r="L19" i="6"/>
  <c r="C21" i="6"/>
  <c r="L20" i="6"/>
  <c r="B22" i="6"/>
  <c r="L21" i="6"/>
  <c r="B23" i="6"/>
  <c r="L22" i="6"/>
  <c r="B24" i="6"/>
  <c r="D26" i="6"/>
  <c r="F26" i="6"/>
  <c r="H26" i="6"/>
  <c r="E27" i="6"/>
  <c r="F28" i="6"/>
  <c r="F29" i="6"/>
  <c r="F30" i="6"/>
  <c r="E31" i="6"/>
  <c r="E32" i="6"/>
  <c r="D36" i="6"/>
  <c r="B92" i="6"/>
  <c r="B97" i="6"/>
  <c r="B103" i="6"/>
  <c r="B104" i="6"/>
  <c r="B105" i="6"/>
  <c r="B107" i="6"/>
  <c r="B108" i="6"/>
  <c r="B109" i="6"/>
  <c r="B114" i="6"/>
  <c r="B115" i="6"/>
  <c r="B117" i="6"/>
  <c r="B118" i="6"/>
  <c r="B119" i="6"/>
  <c r="B121" i="6"/>
  <c r="C124" i="6"/>
  <c r="E124" i="6"/>
  <c r="C125" i="6"/>
  <c r="C126" i="6" s="1"/>
  <c r="C127" i="6" s="1"/>
  <c r="C128" i="6" s="1"/>
  <c r="C129" i="6" s="1"/>
  <c r="D125" i="6"/>
  <c r="E125" i="6" s="1"/>
  <c r="C130" i="6"/>
  <c r="C131" i="6"/>
  <c r="E131" i="6"/>
  <c r="B137" i="6"/>
  <c r="B140" i="6"/>
  <c r="B143" i="6"/>
  <c r="B146" i="6"/>
  <c r="B155" i="6"/>
  <c r="E175" i="6"/>
  <c r="C176" i="6"/>
  <c r="F176" i="6"/>
  <c r="G176" i="6"/>
  <c r="D176" i="6" s="1"/>
  <c r="E176" i="6" s="1"/>
  <c r="H176" i="6"/>
  <c r="C177" i="6"/>
  <c r="F177" i="6"/>
  <c r="G177" i="6"/>
  <c r="D177" i="6" s="1"/>
  <c r="E177" i="6" s="1"/>
  <c r="H177" i="6"/>
  <c r="C178" i="6"/>
  <c r="F178" i="6"/>
  <c r="G178" i="6"/>
  <c r="H178" i="6"/>
  <c r="C179" i="6"/>
  <c r="F179" i="6"/>
  <c r="G179" i="6"/>
  <c r="D179" i="6" s="1"/>
  <c r="E179" i="6" s="1"/>
  <c r="H179" i="6"/>
  <c r="C180" i="6"/>
  <c r="D180" i="6"/>
  <c r="E180" i="6" s="1"/>
  <c r="F180" i="6"/>
  <c r="G180" i="6"/>
  <c r="H180" i="6"/>
  <c r="U120" i="4"/>
  <c r="T121" i="4" s="1"/>
  <c r="U85" i="4"/>
  <c r="O85" i="4"/>
  <c r="R216" i="4"/>
  <c r="V115" i="4"/>
  <c r="J87" i="4"/>
  <c r="S90" i="4"/>
  <c r="Q90" i="4"/>
  <c r="K90" i="4"/>
  <c r="I90" i="4"/>
  <c r="G90" i="4"/>
  <c r="T214" i="4"/>
  <c r="U214" i="4" s="1"/>
  <c r="V214" i="4" s="1"/>
  <c r="W214" i="4" s="1"/>
  <c r="D269" i="4"/>
  <c r="F269" i="4" s="1"/>
  <c r="X85" i="4"/>
  <c r="T85" i="4"/>
  <c r="R85" i="4"/>
  <c r="J85" i="4"/>
  <c r="D85" i="4"/>
  <c r="L90" i="4"/>
  <c r="D36" i="4"/>
  <c r="F36" i="4" s="1"/>
  <c r="D31" i="4"/>
  <c r="F31" i="4" s="1"/>
  <c r="U165" i="4"/>
  <c r="T166" i="4" s="1"/>
  <c r="R201" i="4"/>
  <c r="K196" i="4"/>
  <c r="T211" i="4"/>
  <c r="S226" i="4"/>
  <c r="S251" i="4"/>
  <c r="L246" i="4"/>
  <c r="K246" i="4"/>
  <c r="R251" i="4"/>
  <c r="U116" i="4"/>
  <c r="W115" i="4"/>
  <c r="X115" i="4" s="1"/>
  <c r="V116" i="4"/>
  <c r="U211" i="4"/>
  <c r="M246" i="4"/>
  <c r="V250" i="4"/>
  <c r="T251" i="4"/>
  <c r="V211" i="4"/>
  <c r="N246" i="4"/>
  <c r="X245" i="4"/>
  <c r="W211" i="4"/>
  <c r="X211" i="4"/>
  <c r="O246" i="4"/>
  <c r="P246" i="4"/>
  <c r="Q246" i="4"/>
  <c r="R246" i="4"/>
  <c r="S246" i="4"/>
  <c r="T246" i="4"/>
  <c r="U246" i="4"/>
  <c r="X244" i="4"/>
  <c r="V246" i="4"/>
  <c r="W130" i="4"/>
  <c r="V131" i="4" s="1"/>
  <c r="U125" i="4"/>
  <c r="V125" i="4" s="1"/>
  <c r="R241" i="4"/>
  <c r="P14" i="6"/>
  <c r="E11" i="7" s="1"/>
  <c r="C133" i="6"/>
  <c r="D161" i="6"/>
  <c r="E161" i="6" s="1"/>
  <c r="D158" i="6"/>
  <c r="E158" i="6" s="1"/>
  <c r="D162" i="6"/>
  <c r="E162" i="6" s="1"/>
  <c r="D160" i="6"/>
  <c r="E160" i="6" s="1"/>
  <c r="D159" i="6"/>
  <c r="E159" i="6" s="1"/>
  <c r="S206" i="4"/>
  <c r="R206" i="4"/>
  <c r="T206" i="4"/>
  <c r="U206" i="4"/>
  <c r="X205" i="4"/>
  <c r="W206" i="4" s="1"/>
  <c r="V206" i="4"/>
  <c r="X100" i="4"/>
  <c r="L105" i="4"/>
  <c r="C105" i="4"/>
  <c r="K105" i="4"/>
  <c r="O105" i="4"/>
  <c r="S100" i="4"/>
  <c r="U100" i="4"/>
  <c r="H100" i="4"/>
  <c r="Q100" i="4"/>
  <c r="Q105" i="4"/>
  <c r="I38" i="7" l="1"/>
  <c r="B81" i="8"/>
  <c r="L4" i="3"/>
  <c r="H4" i="3"/>
  <c r="E8" i="7"/>
  <c r="C198" i="6"/>
  <c r="C197" i="6"/>
  <c r="B197" i="6" s="1"/>
  <c r="C182" i="6"/>
  <c r="E188" i="6"/>
  <c r="B189" i="6"/>
  <c r="C184" i="6"/>
  <c r="E192" i="6"/>
  <c r="D284" i="4"/>
  <c r="F284" i="4" s="1"/>
  <c r="N194" i="4"/>
  <c r="L196" i="4"/>
  <c r="C90" i="4"/>
  <c r="D67" i="4"/>
  <c r="F67" i="4" s="1"/>
  <c r="D46" i="4"/>
  <c r="F46" i="4" s="1"/>
  <c r="W90" i="4"/>
  <c r="D168" i="4"/>
  <c r="F168" i="4" s="1"/>
  <c r="J82" i="4"/>
  <c r="J105" i="4"/>
  <c r="N90" i="4"/>
  <c r="H69" i="7"/>
  <c r="G100" i="4"/>
  <c r="X246" i="4"/>
  <c r="S191" i="4"/>
  <c r="U251" i="4"/>
  <c r="V120" i="4"/>
  <c r="W120" i="4" s="1"/>
  <c r="X120" i="4" s="1"/>
  <c r="G85" i="4"/>
  <c r="T90" i="4"/>
  <c r="C136" i="6"/>
  <c r="V165" i="4"/>
  <c r="U166" i="4" s="1"/>
  <c r="D143" i="4"/>
  <c r="F143" i="4" s="1"/>
  <c r="Q85" i="4"/>
  <c r="T234" i="4"/>
  <c r="U234" i="4" s="1"/>
  <c r="V234" i="4" s="1"/>
  <c r="W234" i="4" s="1"/>
  <c r="L100" i="4"/>
  <c r="P105" i="4"/>
  <c r="R105" i="4"/>
  <c r="N85" i="4"/>
  <c r="S105" i="4"/>
  <c r="D274" i="4"/>
  <c r="F274" i="4" s="1"/>
  <c r="D218" i="4"/>
  <c r="F218" i="4" s="1"/>
  <c r="M20" i="6"/>
  <c r="K85" i="4"/>
  <c r="X105" i="4"/>
  <c r="B79" i="8"/>
  <c r="C148" i="6"/>
  <c r="D178" i="4"/>
  <c r="F178" i="4" s="1"/>
  <c r="P90" i="4"/>
  <c r="I85" i="4"/>
  <c r="T126" i="4"/>
  <c r="V100" i="4"/>
  <c r="D279" i="4"/>
  <c r="F279" i="4" s="1"/>
  <c r="D258" i="4"/>
  <c r="F258" i="4" s="1"/>
  <c r="M90" i="4"/>
  <c r="D61" i="4"/>
  <c r="F61" i="4" s="1"/>
  <c r="D41" i="4"/>
  <c r="F41" i="4" s="1"/>
  <c r="D158" i="4"/>
  <c r="F158" i="4" s="1"/>
  <c r="H90" i="4"/>
  <c r="B105" i="4"/>
  <c r="U256" i="4"/>
  <c r="E90" i="4"/>
  <c r="B100" i="4"/>
  <c r="D26" i="4"/>
  <c r="F26" i="4" s="1"/>
  <c r="E185" i="6"/>
  <c r="W116" i="4"/>
  <c r="X116" i="4"/>
  <c r="U239" i="4"/>
  <c r="V239" i="4" s="1"/>
  <c r="W239" i="4" s="1"/>
  <c r="X239" i="4" s="1"/>
  <c r="S241" i="4"/>
  <c r="U126" i="4"/>
  <c r="W125" i="4"/>
  <c r="S216" i="4"/>
  <c r="U215" i="4"/>
  <c r="T216" i="4" s="1"/>
  <c r="D309" i="4"/>
  <c r="F309" i="4" s="1"/>
  <c r="D299" i="4"/>
  <c r="F299" i="4" s="1"/>
  <c r="D294" i="4"/>
  <c r="F294" i="4" s="1"/>
  <c r="D208" i="4"/>
  <c r="F208" i="4" s="1"/>
  <c r="B90" i="4"/>
  <c r="U121" i="4"/>
  <c r="U110" i="4"/>
  <c r="J97" i="4"/>
  <c r="F100" i="4"/>
  <c r="N100" i="4"/>
  <c r="T100" i="4"/>
  <c r="V105" i="4"/>
  <c r="T241" i="4"/>
  <c r="C100" i="4"/>
  <c r="W100" i="4"/>
  <c r="H105" i="4"/>
  <c r="U105" i="4"/>
  <c r="D126" i="6"/>
  <c r="W250" i="4"/>
  <c r="X250" i="4" s="1"/>
  <c r="X251" i="4" s="1"/>
  <c r="D289" i="4"/>
  <c r="F289" i="4" s="1"/>
  <c r="X130" i="4"/>
  <c r="W246" i="4"/>
  <c r="C85" i="4"/>
  <c r="B199" i="6"/>
  <c r="D100" i="4"/>
  <c r="J102" i="4"/>
  <c r="F105" i="4"/>
  <c r="M105" i="4"/>
  <c r="E186" i="6"/>
  <c r="E187" i="6"/>
  <c r="J24" i="7"/>
  <c r="D304" i="4"/>
  <c r="F304" i="4" s="1"/>
  <c r="U200" i="4"/>
  <c r="S201" i="4"/>
  <c r="T191" i="4"/>
  <c r="V190" i="4"/>
  <c r="T226" i="4"/>
  <c r="V225" i="4"/>
  <c r="X255" i="4"/>
  <c r="V256" i="4"/>
  <c r="X240" i="4"/>
  <c r="V241" i="4"/>
  <c r="U235" i="4"/>
  <c r="S236" i="4"/>
  <c r="D113" i="4"/>
  <c r="F113" i="4" s="1"/>
  <c r="K100" i="4"/>
  <c r="M100" i="4"/>
  <c r="O100" i="4"/>
  <c r="D105" i="4"/>
  <c r="W105" i="4"/>
  <c r="I100" i="4"/>
  <c r="X206" i="4"/>
  <c r="D203" i="4" s="1"/>
  <c r="F203" i="4" s="1"/>
  <c r="B2" i="4"/>
  <c r="M24" i="6"/>
  <c r="K24" i="7"/>
  <c r="F94" i="7"/>
  <c r="M23" i="6"/>
  <c r="B59" i="8"/>
  <c r="C59" i="8" s="1"/>
  <c r="C15" i="1"/>
  <c r="H51" i="7" s="1"/>
  <c r="B61" i="8"/>
  <c r="C61" i="8" s="1"/>
  <c r="D178" i="6"/>
  <c r="E178" i="6" s="1"/>
  <c r="E56" i="7"/>
  <c r="B63" i="8"/>
  <c r="C63" i="8" s="1"/>
  <c r="E40" i="7"/>
  <c r="O23" i="6"/>
  <c r="O24" i="6"/>
  <c r="B55" i="8"/>
  <c r="C55" i="8" s="1"/>
  <c r="B65" i="8"/>
  <c r="C65" i="8" s="1"/>
  <c r="B69" i="8"/>
  <c r="C69" i="8" s="1"/>
  <c r="B64" i="8"/>
  <c r="C64" i="8" s="1"/>
  <c r="B67" i="8"/>
  <c r="C67" i="8" s="1"/>
  <c r="H27" i="6"/>
  <c r="H45" i="7" s="1"/>
  <c r="C16" i="8"/>
  <c r="B68" i="8"/>
  <c r="C68" i="8" s="1"/>
  <c r="B56" i="8"/>
  <c r="C56" i="8" s="1"/>
  <c r="B58" i="8"/>
  <c r="C58" i="8" s="1"/>
  <c r="B62" i="8"/>
  <c r="C62" i="8" s="1"/>
  <c r="O18" i="6"/>
  <c r="D35" i="6"/>
  <c r="O21" i="6" s="1"/>
  <c r="B54" i="8"/>
  <c r="C54" i="8" s="1"/>
  <c r="D26" i="7"/>
  <c r="B53" i="8"/>
  <c r="C53" i="8" s="1"/>
  <c r="B60" i="8"/>
  <c r="C60" i="8" s="1"/>
  <c r="B66" i="8"/>
  <c r="C66" i="8" s="1"/>
  <c r="B52" i="8"/>
  <c r="C52" i="8" s="1"/>
  <c r="B57" i="8"/>
  <c r="C57" i="8" s="1"/>
  <c r="T14" i="6"/>
  <c r="C173" i="6"/>
  <c r="C172" i="6"/>
  <c r="C195" i="6"/>
  <c r="A317" i="4" a="1"/>
  <c r="A341" i="4" s="1"/>
  <c r="D148" i="4"/>
  <c r="F148" i="4" s="1"/>
  <c r="E107" i="7"/>
  <c r="H28" i="1"/>
  <c r="H67" i="7"/>
  <c r="H17" i="7"/>
  <c r="B107" i="1"/>
  <c r="E24" i="1"/>
  <c r="B109" i="1"/>
  <c r="H48" i="1"/>
  <c r="B158" i="1"/>
  <c r="B132" i="1"/>
  <c r="G4" i="3"/>
  <c r="C139" i="6"/>
  <c r="C134" i="6"/>
  <c r="C143" i="6"/>
  <c r="C146" i="6"/>
  <c r="AD4" i="3"/>
  <c r="E190" i="6"/>
  <c r="D32" i="1"/>
  <c r="I68" i="7" s="1"/>
  <c r="C11" i="8"/>
  <c r="AE4" i="3"/>
  <c r="T19" i="6"/>
  <c r="C142" i="6"/>
  <c r="C141" i="6"/>
  <c r="C145" i="6"/>
  <c r="I71" i="7"/>
  <c r="H5" i="7"/>
  <c r="B77" i="8"/>
  <c r="C196" i="6"/>
  <c r="B196" i="6" s="1"/>
  <c r="C147" i="6"/>
  <c r="E42" i="7"/>
  <c r="E193" i="6"/>
  <c r="E189" i="6"/>
  <c r="C183" i="6"/>
  <c r="J90" i="7"/>
  <c r="F118" i="7" s="1"/>
  <c r="C132" i="6"/>
  <c r="F27" i="7"/>
  <c r="H41" i="7"/>
  <c r="C137" i="6"/>
  <c r="C135" i="6"/>
  <c r="C138" i="6"/>
  <c r="E33" i="6"/>
  <c r="C144" i="6"/>
  <c r="T17" i="6"/>
  <c r="E14" i="7"/>
  <c r="B201" i="6"/>
  <c r="C201" i="6" s="1"/>
  <c r="B186" i="6"/>
  <c r="B200" i="6"/>
  <c r="C200" i="6" s="1"/>
  <c r="E183" i="6"/>
  <c r="B187" i="6"/>
  <c r="E184" i="6"/>
  <c r="B202" i="6"/>
  <c r="Q3" i="4"/>
  <c r="Y4" i="4"/>
  <c r="T3" i="4"/>
  <c r="C163" i="6" l="1"/>
  <c r="C166" i="6"/>
  <c r="C167" i="6"/>
  <c r="E4" i="7"/>
  <c r="V215" i="4"/>
  <c r="W215" i="4" s="1"/>
  <c r="V121" i="4"/>
  <c r="U241" i="4"/>
  <c r="D82" i="4"/>
  <c r="F82" i="4" s="1"/>
  <c r="D97" i="4"/>
  <c r="F97" i="4" s="1"/>
  <c r="D243" i="4"/>
  <c r="F243" i="4" s="1"/>
  <c r="W251" i="4"/>
  <c r="W165" i="4"/>
  <c r="D87" i="4"/>
  <c r="F87" i="4" s="1"/>
  <c r="O194" i="4"/>
  <c r="M196" i="4"/>
  <c r="V166" i="4"/>
  <c r="X165" i="4"/>
  <c r="V126" i="4"/>
  <c r="X125" i="4"/>
  <c r="V251" i="4"/>
  <c r="D248" i="4" s="1"/>
  <c r="F248" i="4" s="1"/>
  <c r="X131" i="4"/>
  <c r="W131" i="4"/>
  <c r="D128" i="4" s="1"/>
  <c r="V110" i="4"/>
  <c r="T111" i="4"/>
  <c r="D102" i="4"/>
  <c r="F102" i="4" s="1"/>
  <c r="E126" i="6"/>
  <c r="D127" i="6"/>
  <c r="W121" i="4"/>
  <c r="X121" i="4"/>
  <c r="W225" i="4"/>
  <c r="U226" i="4"/>
  <c r="X256" i="4"/>
  <c r="W256" i="4"/>
  <c r="D253" i="4" s="1"/>
  <c r="T201" i="4"/>
  <c r="V200" i="4"/>
  <c r="T236" i="4"/>
  <c r="V235" i="4"/>
  <c r="X241" i="4"/>
  <c r="W241" i="4"/>
  <c r="U191" i="4"/>
  <c r="W190" i="4"/>
  <c r="D157" i="6"/>
  <c r="D137" i="6"/>
  <c r="W4" i="3"/>
  <c r="D139" i="6"/>
  <c r="D133" i="6"/>
  <c r="E133" i="6" s="1"/>
  <c r="D156" i="6"/>
  <c r="D135" i="6"/>
  <c r="E135" i="6" s="1"/>
  <c r="E52" i="7"/>
  <c r="D140" i="6"/>
  <c r="E30" i="6"/>
  <c r="E34" i="6"/>
  <c r="D138" i="6"/>
  <c r="D145" i="6"/>
  <c r="D148" i="6"/>
  <c r="D143" i="6"/>
  <c r="D141" i="6"/>
  <c r="D134" i="6"/>
  <c r="E134" i="6" s="1"/>
  <c r="O20" i="6"/>
  <c r="I28" i="6" s="1"/>
  <c r="D136" i="6"/>
  <c r="E136" i="6" s="1"/>
  <c r="D147" i="6"/>
  <c r="E57" i="7"/>
  <c r="D142" i="6"/>
  <c r="D155" i="6"/>
  <c r="D132" i="6"/>
  <c r="E132" i="6" s="1"/>
  <c r="C168" i="6"/>
  <c r="C169" i="6" s="1"/>
  <c r="D168" i="6"/>
  <c r="D169" i="6" s="1"/>
  <c r="D144" i="6"/>
  <c r="E53" i="7"/>
  <c r="D146" i="6"/>
  <c r="S27" i="6"/>
  <c r="H12" i="7"/>
  <c r="I16" i="7"/>
  <c r="K51" i="1"/>
  <c r="R28" i="1"/>
  <c r="A323" i="4"/>
  <c r="A330" i="4"/>
  <c r="A331" i="4"/>
  <c r="A343" i="4"/>
  <c r="A339" i="4"/>
  <c r="A327" i="4"/>
  <c r="A338" i="4"/>
  <c r="A320" i="4"/>
  <c r="A332" i="4"/>
  <c r="A337" i="4"/>
  <c r="A340" i="4"/>
  <c r="A318" i="4"/>
  <c r="A333" i="4"/>
  <c r="A328" i="4"/>
  <c r="A342" i="4"/>
  <c r="A325" i="4"/>
  <c r="A336" i="4"/>
  <c r="A317" i="4"/>
  <c r="A346" i="4"/>
  <c r="A322" i="4"/>
  <c r="A329" i="4"/>
  <c r="A321" i="4"/>
  <c r="A326" i="4"/>
  <c r="A345" i="4"/>
  <c r="A319" i="4"/>
  <c r="A324" i="4"/>
  <c r="A335" i="4"/>
  <c r="A344" i="4"/>
  <c r="A334" i="4"/>
  <c r="B4" i="4"/>
  <c r="V4" i="4"/>
  <c r="Q4" i="4"/>
  <c r="D4" i="4"/>
  <c r="J2" i="4"/>
  <c r="V3" i="4"/>
  <c r="I3" i="4"/>
  <c r="L2" i="4"/>
  <c r="Z2" i="4"/>
  <c r="T2" i="4"/>
  <c r="N2" i="4"/>
  <c r="O4" i="4"/>
  <c r="K4" i="4"/>
  <c r="Y3" i="4"/>
  <c r="K3" i="4"/>
  <c r="M4" i="4"/>
  <c r="L4" i="4"/>
  <c r="P2" i="4"/>
  <c r="G3" i="4"/>
  <c r="G4" i="4"/>
  <c r="P4" i="4"/>
  <c r="F3" i="4"/>
  <c r="B3" i="4"/>
  <c r="H4" i="4"/>
  <c r="X3" i="4"/>
  <c r="U4" i="4"/>
  <c r="T4" i="4"/>
  <c r="N4" i="4"/>
  <c r="R2" i="4"/>
  <c r="I4" i="4"/>
  <c r="S3" i="4"/>
  <c r="P3" i="4"/>
  <c r="U3" i="4"/>
  <c r="F4" i="4"/>
  <c r="W3" i="4"/>
  <c r="J3" i="4"/>
  <c r="H2" i="4"/>
  <c r="H3" i="4"/>
  <c r="X2" i="4"/>
  <c r="C3" i="4"/>
  <c r="X4" i="4"/>
  <c r="R4" i="4"/>
  <c r="J4" i="4"/>
  <c r="N3" i="4"/>
  <c r="R3" i="4"/>
  <c r="E4" i="4"/>
  <c r="S4" i="4"/>
  <c r="W4" i="4"/>
  <c r="C4" i="4"/>
  <c r="L3" i="4"/>
  <c r="O3" i="4"/>
  <c r="D3" i="4"/>
  <c r="E3" i="4"/>
  <c r="V2" i="4"/>
  <c r="M3" i="4"/>
  <c r="D166" i="6" l="1"/>
  <c r="E166" i="6" s="1"/>
  <c r="D167" i="6"/>
  <c r="E167" i="6" s="1"/>
  <c r="D163" i="6"/>
  <c r="E163" i="6" s="1"/>
  <c r="E28" i="6"/>
  <c r="D164" i="6"/>
  <c r="E164" i="6" s="1"/>
  <c r="D165" i="6"/>
  <c r="E165" i="6" s="1"/>
  <c r="A5" i="3"/>
  <c r="B5" i="3" s="1"/>
  <c r="Z5" i="3" s="1"/>
  <c r="N12" i="6"/>
  <c r="N14" i="6"/>
  <c r="I41" i="7" s="1"/>
  <c r="N13" i="6"/>
  <c r="C206" i="6"/>
  <c r="C205" i="6"/>
  <c r="C207" i="6"/>
  <c r="C209" i="6"/>
  <c r="C208" i="6"/>
  <c r="C210" i="6"/>
  <c r="N196" i="4"/>
  <c r="P194" i="4"/>
  <c r="D238" i="4"/>
  <c r="U216" i="4"/>
  <c r="F108" i="1"/>
  <c r="F107" i="1"/>
  <c r="F106" i="1"/>
  <c r="H18" i="7"/>
  <c r="F109" i="1"/>
  <c r="F105" i="1"/>
  <c r="E101" i="7"/>
  <c r="C171" i="6"/>
  <c r="C170" i="6"/>
  <c r="E49" i="7"/>
  <c r="E18" i="7"/>
  <c r="T13" i="6"/>
  <c r="T12" i="6"/>
  <c r="C174" i="6"/>
  <c r="M13" i="6"/>
  <c r="D171" i="6"/>
  <c r="B50" i="8"/>
  <c r="C50" i="8" s="1"/>
  <c r="D174" i="6"/>
  <c r="B45" i="8"/>
  <c r="C45" i="8" s="1"/>
  <c r="B51" i="8"/>
  <c r="C51" i="8" s="1"/>
  <c r="B43" i="8"/>
  <c r="C43" i="8" s="1"/>
  <c r="B44" i="8"/>
  <c r="C44" i="8" s="1"/>
  <c r="B46" i="8"/>
  <c r="C46" i="8" s="1"/>
  <c r="D172" i="6"/>
  <c r="D170" i="6"/>
  <c r="D173" i="6"/>
  <c r="B48" i="8"/>
  <c r="C48" i="8" s="1"/>
  <c r="B49" i="8"/>
  <c r="C49" i="8" s="1"/>
  <c r="B47" i="8"/>
  <c r="C47" i="8" s="1"/>
  <c r="D59" i="8"/>
  <c r="E59" i="8" s="1"/>
  <c r="D68" i="8"/>
  <c r="F68" i="8" s="1"/>
  <c r="I68" i="8" s="1"/>
  <c r="D61" i="8"/>
  <c r="F61" i="8" s="1"/>
  <c r="I61" i="8" s="1"/>
  <c r="D49" i="8"/>
  <c r="E49" i="8" s="1"/>
  <c r="D53" i="8"/>
  <c r="E53" i="8" s="1"/>
  <c r="M14" i="6"/>
  <c r="M12" i="6"/>
  <c r="D54" i="8"/>
  <c r="E54" i="8" s="1"/>
  <c r="H54" i="8" s="1"/>
  <c r="D65" i="8"/>
  <c r="E65" i="8" s="1"/>
  <c r="D66" i="8"/>
  <c r="E66" i="8" s="1"/>
  <c r="H66" i="8" s="1"/>
  <c r="D55" i="8"/>
  <c r="F55" i="8" s="1"/>
  <c r="I55" i="8" s="1"/>
  <c r="D64" i="8"/>
  <c r="E64" i="8" s="1"/>
  <c r="H64" i="8" s="1"/>
  <c r="D44" i="8"/>
  <c r="E44" i="8" s="1"/>
  <c r="D67" i="8"/>
  <c r="E67" i="8" s="1"/>
  <c r="H67" i="8" s="1"/>
  <c r="D58" i="8"/>
  <c r="F58" i="8" s="1"/>
  <c r="I58" i="8" s="1"/>
  <c r="D69" i="8"/>
  <c r="F69" i="8" s="1"/>
  <c r="I69" i="8" s="1"/>
  <c r="D57" i="8"/>
  <c r="E57" i="8" s="1"/>
  <c r="D46" i="8"/>
  <c r="F46" i="8" s="1"/>
  <c r="D62" i="8"/>
  <c r="F62" i="8" s="1"/>
  <c r="I62" i="8" s="1"/>
  <c r="D43" i="8"/>
  <c r="E43" i="8" s="1"/>
  <c r="D50" i="8"/>
  <c r="F50" i="8" s="1"/>
  <c r="D48" i="8"/>
  <c r="F48" i="8" s="1"/>
  <c r="D47" i="8"/>
  <c r="E47" i="8" s="1"/>
  <c r="D45" i="8"/>
  <c r="E45" i="8" s="1"/>
  <c r="D52" i="8"/>
  <c r="F52" i="8" s="1"/>
  <c r="I52" i="8" s="1"/>
  <c r="D63" i="8"/>
  <c r="E63" i="8" s="1"/>
  <c r="H63" i="8" s="1"/>
  <c r="D56" i="8"/>
  <c r="F56" i="8" s="1"/>
  <c r="I56" i="8" s="1"/>
  <c r="D60" i="8"/>
  <c r="E60" i="8" s="1"/>
  <c r="D51" i="8"/>
  <c r="E51" i="8" s="1"/>
  <c r="W166" i="4"/>
  <c r="X166" i="4"/>
  <c r="E127" i="6"/>
  <c r="D128" i="6"/>
  <c r="W110" i="4"/>
  <c r="U111" i="4"/>
  <c r="X126" i="4"/>
  <c r="W126" i="4"/>
  <c r="D123" i="4" s="1"/>
  <c r="D118" i="4"/>
  <c r="F118" i="4" s="1"/>
  <c r="D163" i="4"/>
  <c r="F163" i="4" s="1"/>
  <c r="W235" i="4"/>
  <c r="U236" i="4"/>
  <c r="W200" i="4"/>
  <c r="U201" i="4"/>
  <c r="X215" i="4"/>
  <c r="V216" i="4"/>
  <c r="V226" i="4"/>
  <c r="X225" i="4"/>
  <c r="X190" i="4"/>
  <c r="V191" i="4"/>
  <c r="I31" i="6"/>
  <c r="C154" i="6" s="1"/>
  <c r="E29" i="6"/>
  <c r="C191" i="6"/>
  <c r="D153" i="6"/>
  <c r="C192" i="6"/>
  <c r="C11" i="1" l="1"/>
  <c r="S4" i="3" s="1"/>
  <c r="T4" i="3" s="1"/>
  <c r="U4" i="3" s="1"/>
  <c r="P15" i="6"/>
  <c r="M15" i="6" s="1"/>
  <c r="J42" i="7" s="1"/>
  <c r="E35" i="6"/>
  <c r="O22" i="6" s="1"/>
  <c r="O19" i="6" s="1"/>
  <c r="H28" i="6" s="1"/>
  <c r="C190" i="6" s="1"/>
  <c r="M22" i="6"/>
  <c r="C164" i="6"/>
  <c r="C165" i="6"/>
  <c r="AC5" i="3"/>
  <c r="P5" i="3"/>
  <c r="Q5" i="3" s="1"/>
  <c r="A6" i="3"/>
  <c r="B6" i="3" s="1"/>
  <c r="AC6" i="3" s="1"/>
  <c r="I50" i="8"/>
  <c r="E50" i="8"/>
  <c r="E110" i="7"/>
  <c r="E48" i="8"/>
  <c r="C25" i="1"/>
  <c r="C32" i="1" s="1"/>
  <c r="K49" i="1" s="1"/>
  <c r="AA5" i="3"/>
  <c r="AD5" i="3"/>
  <c r="F66" i="8"/>
  <c r="I66" i="8" s="1"/>
  <c r="E55" i="8"/>
  <c r="H55" i="8" s="1"/>
  <c r="H65" i="8"/>
  <c r="F65" i="8"/>
  <c r="I65" i="8" s="1"/>
  <c r="F63" i="8"/>
  <c r="I63" i="8" s="1"/>
  <c r="H57" i="8"/>
  <c r="F57" i="8"/>
  <c r="I57" i="8" s="1"/>
  <c r="F64" i="8"/>
  <c r="I64" i="8" s="1"/>
  <c r="F44" i="8"/>
  <c r="I44" i="8" s="1"/>
  <c r="I46" i="8"/>
  <c r="H43" i="8"/>
  <c r="C204" i="6"/>
  <c r="H44" i="8"/>
  <c r="I48" i="8"/>
  <c r="H45" i="8"/>
  <c r="H53" i="8"/>
  <c r="F107" i="7"/>
  <c r="E58" i="7"/>
  <c r="H65" i="7" s="1"/>
  <c r="H60" i="8"/>
  <c r="F53" i="8"/>
  <c r="I53" i="8" s="1"/>
  <c r="H59" i="8"/>
  <c r="J41" i="7"/>
  <c r="E52" i="8"/>
  <c r="H52" i="8" s="1"/>
  <c r="F51" i="8"/>
  <c r="I51" i="8" s="1"/>
  <c r="F67" i="8"/>
  <c r="I67" i="8" s="1"/>
  <c r="E68" i="8"/>
  <c r="H68" i="8" s="1"/>
  <c r="F59" i="8"/>
  <c r="I59" i="8" s="1"/>
  <c r="F49" i="8"/>
  <c r="I49" i="8" s="1"/>
  <c r="E69" i="8"/>
  <c r="H69" i="8" s="1"/>
  <c r="F54" i="8"/>
  <c r="I54" i="8" s="1"/>
  <c r="Q194" i="4"/>
  <c r="O196" i="4"/>
  <c r="H49" i="8"/>
  <c r="C12" i="8"/>
  <c r="E46" i="8"/>
  <c r="H47" i="8"/>
  <c r="H51" i="8"/>
  <c r="F60" i="8"/>
  <c r="I60" i="8" s="1"/>
  <c r="F45" i="8"/>
  <c r="I45" i="8" s="1"/>
  <c r="F43" i="8"/>
  <c r="I43" i="8" s="1"/>
  <c r="E62" i="8"/>
  <c r="H62" i="8" s="1"/>
  <c r="E61" i="8"/>
  <c r="F47" i="8"/>
  <c r="I47" i="8" s="1"/>
  <c r="E56" i="8"/>
  <c r="H56" i="8" s="1"/>
  <c r="E58" i="8"/>
  <c r="V111" i="4"/>
  <c r="X110" i="4"/>
  <c r="E128" i="6"/>
  <c r="D129" i="6"/>
  <c r="X200" i="4"/>
  <c r="V201" i="4"/>
  <c r="W226" i="4"/>
  <c r="X226" i="4"/>
  <c r="X191" i="4"/>
  <c r="W191" i="4"/>
  <c r="W216" i="4"/>
  <c r="X216" i="4"/>
  <c r="V236" i="4"/>
  <c r="X235" i="4"/>
  <c r="C153" i="6"/>
  <c r="N15" i="6" l="1"/>
  <c r="I42" i="7" s="1"/>
  <c r="H42" i="7"/>
  <c r="E108" i="7"/>
  <c r="D23" i="7"/>
  <c r="M19" i="6"/>
  <c r="H31" i="6" s="1"/>
  <c r="H29" i="6" s="1"/>
  <c r="H47" i="7" s="1"/>
  <c r="AA6" i="3"/>
  <c r="H48" i="8"/>
  <c r="P29" i="1"/>
  <c r="A7" i="3"/>
  <c r="B7" i="3" s="1"/>
  <c r="P7" i="3" s="1"/>
  <c r="Q7" i="3" s="1"/>
  <c r="AD6" i="3"/>
  <c r="P6" i="3"/>
  <c r="Q6" i="3" s="1"/>
  <c r="H71" i="7"/>
  <c r="Z6" i="3"/>
  <c r="H68" i="7"/>
  <c r="H16" i="7"/>
  <c r="P28" i="1"/>
  <c r="H50" i="8"/>
  <c r="C149" i="6"/>
  <c r="H46" i="8"/>
  <c r="H46" i="7"/>
  <c r="D152" i="6"/>
  <c r="H13" i="7"/>
  <c r="H58" i="8"/>
  <c r="R194" i="4"/>
  <c r="P196" i="4"/>
  <c r="F108" i="7"/>
  <c r="D213" i="4"/>
  <c r="F213" i="4" s="1"/>
  <c r="B191" i="6"/>
  <c r="C194" i="6"/>
  <c r="H61" i="8"/>
  <c r="D223" i="4"/>
  <c r="F223" i="4" s="1"/>
  <c r="X111" i="4"/>
  <c r="W111" i="4"/>
  <c r="D108" i="4" s="1"/>
  <c r="D188" i="4"/>
  <c r="F188" i="4" s="1"/>
  <c r="D130" i="6"/>
  <c r="E130" i="6" s="1"/>
  <c r="E129" i="6"/>
  <c r="S28" i="6"/>
  <c r="C193" i="6"/>
  <c r="X236" i="4"/>
  <c r="W236" i="4"/>
  <c r="W201" i="4"/>
  <c r="X201" i="4"/>
  <c r="D198" i="4" s="1"/>
  <c r="D2" i="4"/>
  <c r="C155" i="6" l="1"/>
  <c r="I29" i="6"/>
  <c r="I47" i="7" s="1"/>
  <c r="C150" i="6"/>
  <c r="B192" i="6"/>
  <c r="B193" i="6"/>
  <c r="H32" i="6"/>
  <c r="I32" i="6"/>
  <c r="C157" i="6"/>
  <c r="C152" i="6"/>
  <c r="C151" i="6"/>
  <c r="G57" i="8"/>
  <c r="G65" i="8"/>
  <c r="G49" i="8"/>
  <c r="G59" i="8"/>
  <c r="G51" i="8"/>
  <c r="G64" i="8"/>
  <c r="G54" i="8"/>
  <c r="G63" i="8"/>
  <c r="G44" i="8"/>
  <c r="G45" i="8"/>
  <c r="G53" i="8"/>
  <c r="G43" i="8"/>
  <c r="G60" i="8"/>
  <c r="G47" i="8"/>
  <c r="G66" i="8"/>
  <c r="G67" i="8"/>
  <c r="G48" i="8"/>
  <c r="K48" i="8" s="1"/>
  <c r="M48" i="8" s="1"/>
  <c r="G52" i="8"/>
  <c r="J52" i="8" s="1"/>
  <c r="G68" i="8"/>
  <c r="J68" i="8" s="1"/>
  <c r="G56" i="8"/>
  <c r="J56" i="8" s="1"/>
  <c r="G50" i="8"/>
  <c r="K50" i="8" s="1"/>
  <c r="G61" i="8"/>
  <c r="K61" i="8" s="1"/>
  <c r="M61" i="8" s="1"/>
  <c r="G46" i="8"/>
  <c r="K46" i="8" s="1"/>
  <c r="M46" i="8" s="1"/>
  <c r="G62" i="8"/>
  <c r="J62" i="8" s="1"/>
  <c r="G58" i="8"/>
  <c r="K58" i="8" s="1"/>
  <c r="M58" i="8" s="1"/>
  <c r="G69" i="8"/>
  <c r="J69" i="8" s="1"/>
  <c r="G55" i="8"/>
  <c r="K55" i="8" s="1"/>
  <c r="M55" i="8" s="1"/>
  <c r="F198" i="4"/>
  <c r="A8" i="3"/>
  <c r="B8" i="3" s="1"/>
  <c r="Z8" i="3" s="1"/>
  <c r="Z7" i="3"/>
  <c r="AD7" i="3"/>
  <c r="AA7" i="3"/>
  <c r="AC7" i="3"/>
  <c r="H14" i="7"/>
  <c r="B194" i="6"/>
  <c r="H30" i="6"/>
  <c r="H48" i="7" s="1"/>
  <c r="B190" i="6"/>
  <c r="S194" i="4"/>
  <c r="Q196" i="4"/>
  <c r="F108" i="4"/>
  <c r="D233" i="4"/>
  <c r="F233" i="4" s="1"/>
  <c r="F2" i="4"/>
  <c r="S29" i="6" l="1"/>
  <c r="I30" i="6"/>
  <c r="I48" i="7" s="1"/>
  <c r="I14" i="7"/>
  <c r="C156" i="6"/>
  <c r="J58" i="8"/>
  <c r="L58" i="8" s="1"/>
  <c r="J61" i="8"/>
  <c r="L61" i="8" s="1"/>
  <c r="J46" i="8"/>
  <c r="L46" i="8" s="1"/>
  <c r="J50" i="8"/>
  <c r="L50" i="8" s="1"/>
  <c r="K62" i="8"/>
  <c r="M62" i="8" s="1"/>
  <c r="K69" i="8"/>
  <c r="M69" i="8" s="1"/>
  <c r="J55" i="8"/>
  <c r="L55" i="8" s="1"/>
  <c r="R5" i="3"/>
  <c r="S5" i="3" s="1"/>
  <c r="T5" i="3" s="1"/>
  <c r="R6" i="3"/>
  <c r="R7" i="3"/>
  <c r="K67" i="8"/>
  <c r="M67" i="8" s="1"/>
  <c r="J67" i="8"/>
  <c r="K43" i="8"/>
  <c r="M43" i="8" s="1"/>
  <c r="J43" i="8"/>
  <c r="J48" i="8"/>
  <c r="L48" i="8" s="1"/>
  <c r="J44" i="8"/>
  <c r="K44" i="8"/>
  <c r="M44" i="8" s="1"/>
  <c r="K54" i="8"/>
  <c r="M54" i="8" s="1"/>
  <c r="J54" i="8"/>
  <c r="K51" i="8"/>
  <c r="M51" i="8" s="1"/>
  <c r="J51" i="8"/>
  <c r="K65" i="8"/>
  <c r="M65" i="8" s="1"/>
  <c r="J65" i="8"/>
  <c r="K66" i="8"/>
  <c r="M66" i="8" s="1"/>
  <c r="J66" i="8"/>
  <c r="J47" i="8"/>
  <c r="K47" i="8"/>
  <c r="M47" i="8" s="1"/>
  <c r="J60" i="8"/>
  <c r="K60" i="8"/>
  <c r="M60" i="8" s="1"/>
  <c r="J53" i="8"/>
  <c r="K53" i="8"/>
  <c r="M53" i="8" s="1"/>
  <c r="K56" i="8"/>
  <c r="M56" i="8" s="1"/>
  <c r="J45" i="8"/>
  <c r="K45" i="8"/>
  <c r="M45" i="8" s="1"/>
  <c r="J63" i="8"/>
  <c r="K63" i="8"/>
  <c r="M63" i="8" s="1"/>
  <c r="K52" i="8"/>
  <c r="M52" i="8" s="1"/>
  <c r="J64" i="8"/>
  <c r="K64" i="8"/>
  <c r="M64" i="8" s="1"/>
  <c r="K68" i="8"/>
  <c r="M68" i="8" s="1"/>
  <c r="J59" i="8"/>
  <c r="K59" i="8"/>
  <c r="K49" i="8"/>
  <c r="M49" i="8" s="1"/>
  <c r="J49" i="8"/>
  <c r="J57" i="8"/>
  <c r="K57" i="8"/>
  <c r="M57" i="8" s="1"/>
  <c r="AC8" i="3"/>
  <c r="A9" i="3"/>
  <c r="B9" i="3" s="1"/>
  <c r="P9" i="3" s="1"/>
  <c r="Q9" i="3" s="1"/>
  <c r="R9" i="3" s="1"/>
  <c r="P8" i="3"/>
  <c r="Q8" i="3" s="1"/>
  <c r="R8" i="3" s="1"/>
  <c r="AD8" i="3"/>
  <c r="AA8" i="3"/>
  <c r="M50" i="8"/>
  <c r="H15" i="7"/>
  <c r="R196" i="4"/>
  <c r="T194" i="4"/>
  <c r="S30" i="6" l="1"/>
  <c r="H33" i="6"/>
  <c r="I15" i="7"/>
  <c r="L49" i="8"/>
  <c r="L65" i="8"/>
  <c r="L67" i="8"/>
  <c r="L51" i="8"/>
  <c r="S6" i="3"/>
  <c r="T6" i="3" s="1"/>
  <c r="L66" i="8"/>
  <c r="L43" i="8"/>
  <c r="L56" i="8"/>
  <c r="L68" i="8"/>
  <c r="L69" i="8"/>
  <c r="L62" i="8"/>
  <c r="L52" i="8"/>
  <c r="L54" i="8"/>
  <c r="L44" i="8"/>
  <c r="L57" i="8"/>
  <c r="L63" i="8"/>
  <c r="L45" i="8"/>
  <c r="L53" i="8"/>
  <c r="L60" i="8"/>
  <c r="L47" i="8"/>
  <c r="L59" i="8"/>
  <c r="M59" i="8"/>
  <c r="L64" i="8"/>
  <c r="AG5" i="3"/>
  <c r="AH5" i="3"/>
  <c r="D5" i="3"/>
  <c r="E5" i="3"/>
  <c r="H5" i="3" s="1"/>
  <c r="K5" i="3" s="1"/>
  <c r="AC9" i="3"/>
  <c r="AA9" i="3"/>
  <c r="AD9" i="3"/>
  <c r="Z9" i="3"/>
  <c r="A10" i="3"/>
  <c r="B10" i="3" s="1"/>
  <c r="A11" i="3" s="1"/>
  <c r="B11" i="3" s="1"/>
  <c r="AC11" i="3" s="1"/>
  <c r="U194" i="4"/>
  <c r="S196" i="4"/>
  <c r="S7" i="3" l="1"/>
  <c r="T7" i="3" s="1"/>
  <c r="V5" i="3"/>
  <c r="AE5" i="3"/>
  <c r="G5" i="3"/>
  <c r="F5" i="3"/>
  <c r="AA10" i="3"/>
  <c r="Z10" i="3"/>
  <c r="AD11" i="3"/>
  <c r="A12" i="3"/>
  <c r="B12" i="3" s="1"/>
  <c r="A13" i="3" s="1"/>
  <c r="B13" i="3" s="1"/>
  <c r="Z11" i="3"/>
  <c r="P11" i="3"/>
  <c r="Q11" i="3" s="1"/>
  <c r="R11" i="3" s="1"/>
  <c r="AA11" i="3"/>
  <c r="AD10" i="3"/>
  <c r="P10" i="3"/>
  <c r="Q10" i="3" s="1"/>
  <c r="R10" i="3" s="1"/>
  <c r="AC10" i="3"/>
  <c r="T196" i="4"/>
  <c r="V194" i="4"/>
  <c r="S8" i="3" l="1"/>
  <c r="T8" i="3" s="1"/>
  <c r="I5" i="3"/>
  <c r="W5" i="3" s="1"/>
  <c r="J5" i="3"/>
  <c r="L5" i="3" s="1"/>
  <c r="M5" i="3"/>
  <c r="N5" i="3" s="1"/>
  <c r="P12" i="3"/>
  <c r="Q12" i="3" s="1"/>
  <c r="R12" i="3" s="1"/>
  <c r="AC12" i="3"/>
  <c r="AA12" i="3"/>
  <c r="AD12" i="3"/>
  <c r="Z12" i="3"/>
  <c r="U196" i="4"/>
  <c r="W194" i="4"/>
  <c r="P13" i="3"/>
  <c r="Q13" i="3" s="1"/>
  <c r="R13" i="3" s="1"/>
  <c r="A14" i="3"/>
  <c r="B14" i="3" s="1"/>
  <c r="AC13" i="3"/>
  <c r="AD13" i="3"/>
  <c r="AA13" i="3"/>
  <c r="Z13" i="3"/>
  <c r="S9" i="3" l="1"/>
  <c r="T9" i="3" s="1"/>
  <c r="U5" i="3"/>
  <c r="D6" i="3" s="1"/>
  <c r="G6" i="3" s="1"/>
  <c r="J6" i="3" s="1"/>
  <c r="AG6" i="3"/>
  <c r="AH6" i="3"/>
  <c r="V196" i="4"/>
  <c r="W196" i="4"/>
  <c r="A15" i="3"/>
  <c r="B15" i="3" s="1"/>
  <c r="P14" i="3"/>
  <c r="Q14" i="3" s="1"/>
  <c r="R14" i="3" s="1"/>
  <c r="AD14" i="3"/>
  <c r="AA14" i="3"/>
  <c r="Z14" i="3"/>
  <c r="AC14" i="3"/>
  <c r="S10" i="3" l="1"/>
  <c r="T10" i="3" s="1"/>
  <c r="E6" i="3"/>
  <c r="H6" i="3" s="1"/>
  <c r="K6" i="3" s="1"/>
  <c r="L6" i="3" s="1"/>
  <c r="D193" i="4"/>
  <c r="AA15" i="3"/>
  <c r="P15" i="3"/>
  <c r="Q15" i="3" s="1"/>
  <c r="R15" i="3" s="1"/>
  <c r="AC15" i="3"/>
  <c r="Z15" i="3"/>
  <c r="AD15" i="3"/>
  <c r="A16" i="3"/>
  <c r="B16" i="3" s="1"/>
  <c r="M6" i="3" l="1"/>
  <c r="N6" i="3" s="1"/>
  <c r="S11" i="3"/>
  <c r="T11" i="3" s="1"/>
  <c r="V6" i="3"/>
  <c r="AE6" i="3"/>
  <c r="F6" i="3"/>
  <c r="I6" i="3"/>
  <c r="F193" i="4"/>
  <c r="AA16" i="3"/>
  <c r="AD16" i="3"/>
  <c r="AC16" i="3"/>
  <c r="P16" i="3"/>
  <c r="Q16" i="3" s="1"/>
  <c r="R16" i="3" s="1"/>
  <c r="Z16" i="3"/>
  <c r="A17" i="3"/>
  <c r="B17" i="3" s="1"/>
  <c r="Y5" i="3"/>
  <c r="U6" i="3" l="1"/>
  <c r="N36" i="1"/>
  <c r="M37" i="6"/>
  <c r="S12" i="3"/>
  <c r="S13" i="3" s="1"/>
  <c r="W6" i="3"/>
  <c r="P17" i="3"/>
  <c r="Q17" i="3" s="1"/>
  <c r="R17" i="3" s="1"/>
  <c r="A18" i="3"/>
  <c r="B18" i="3" s="1"/>
  <c r="AC17" i="3"/>
  <c r="Z17" i="3"/>
  <c r="AD17" i="3"/>
  <c r="AA17" i="3"/>
  <c r="E7" i="3" l="1"/>
  <c r="H7" i="3" s="1"/>
  <c r="K7" i="3" s="1"/>
  <c r="T12" i="3"/>
  <c r="AH7" i="3"/>
  <c r="AG7" i="3"/>
  <c r="D7" i="3"/>
  <c r="G7" i="3" s="1"/>
  <c r="M7" i="3" s="1"/>
  <c r="N7" i="3" s="1"/>
  <c r="S14" i="3"/>
  <c r="T13" i="3"/>
  <c r="AA18" i="3"/>
  <c r="P18" i="3"/>
  <c r="Q18" i="3" s="1"/>
  <c r="R18" i="3" s="1"/>
  <c r="AC18" i="3"/>
  <c r="A19" i="3"/>
  <c r="B19" i="3" s="1"/>
  <c r="AD18" i="3"/>
  <c r="Z18" i="3"/>
  <c r="J7" i="3" l="1"/>
  <c r="L7" i="3" s="1"/>
  <c r="I7" i="3"/>
  <c r="F7" i="3"/>
  <c r="S15" i="3"/>
  <c r="T14" i="3"/>
  <c r="P19" i="3"/>
  <c r="Q19" i="3" s="1"/>
  <c r="R19" i="3" s="1"/>
  <c r="A20" i="3"/>
  <c r="B20" i="3" s="1"/>
  <c r="Z19" i="3"/>
  <c r="AD19" i="3"/>
  <c r="AA19" i="3"/>
  <c r="AC19" i="3"/>
  <c r="V7" i="3"/>
  <c r="AE7" i="3"/>
  <c r="W7" i="3" l="1"/>
  <c r="AH8" i="3" s="1"/>
  <c r="T15" i="3"/>
  <c r="S16" i="3"/>
  <c r="U7" i="3"/>
  <c r="Y6" i="3"/>
  <c r="P20" i="3"/>
  <c r="Q20" i="3" s="1"/>
  <c r="R20" i="3" s="1"/>
  <c r="A21" i="3"/>
  <c r="B21" i="3" s="1"/>
  <c r="AA20" i="3"/>
  <c r="Z20" i="3"/>
  <c r="AD20" i="3"/>
  <c r="AC20" i="3"/>
  <c r="AG8" i="3" l="1"/>
  <c r="D8" i="3"/>
  <c r="G8" i="3" s="1"/>
  <c r="T16" i="3"/>
  <c r="S17" i="3"/>
  <c r="E8" i="3"/>
  <c r="H8" i="3" s="1"/>
  <c r="K8" i="3" s="1"/>
  <c r="AD21" i="3"/>
  <c r="P21" i="3"/>
  <c r="Q21" i="3" s="1"/>
  <c r="R21" i="3" s="1"/>
  <c r="AC21" i="3"/>
  <c r="AA21" i="3"/>
  <c r="Z21" i="3"/>
  <c r="A22" i="3"/>
  <c r="B22" i="3" s="1"/>
  <c r="T17" i="3" l="1"/>
  <c r="S18" i="3"/>
  <c r="F8" i="3"/>
  <c r="AC22" i="3"/>
  <c r="A23" i="3"/>
  <c r="B23" i="3" s="1"/>
  <c r="AD22" i="3"/>
  <c r="AA22" i="3"/>
  <c r="Z22" i="3"/>
  <c r="P22" i="3"/>
  <c r="Q22" i="3" s="1"/>
  <c r="R22" i="3" s="1"/>
  <c r="I8" i="3"/>
  <c r="J8" i="3"/>
  <c r="M8" i="3"/>
  <c r="N8" i="3" s="1"/>
  <c r="V8" i="3"/>
  <c r="AE8" i="3"/>
  <c r="S19" i="3" l="1"/>
  <c r="T18" i="3"/>
  <c r="W8" i="3"/>
  <c r="A24" i="3"/>
  <c r="B24" i="3" s="1"/>
  <c r="Z23" i="3"/>
  <c r="AA23" i="3"/>
  <c r="AC23" i="3"/>
  <c r="AD23" i="3"/>
  <c r="P23" i="3"/>
  <c r="Q23" i="3" s="1"/>
  <c r="R23" i="3" s="1"/>
  <c r="L8" i="3"/>
  <c r="S20" i="3" l="1"/>
  <c r="T19" i="3"/>
  <c r="U8" i="3"/>
  <c r="D9" i="3" s="1"/>
  <c r="AH9" i="3"/>
  <c r="AG9" i="3"/>
  <c r="Y7" i="3"/>
  <c r="AA24" i="3"/>
  <c r="Z24" i="3"/>
  <c r="AC24" i="3"/>
  <c r="AD24" i="3"/>
  <c r="A25" i="3"/>
  <c r="B25" i="3" s="1"/>
  <c r="P24" i="3"/>
  <c r="Q24" i="3" s="1"/>
  <c r="R24" i="3" s="1"/>
  <c r="S21" i="3" l="1"/>
  <c r="T20" i="3"/>
  <c r="E9" i="3"/>
  <c r="H9" i="3" s="1"/>
  <c r="K9" i="3" s="1"/>
  <c r="P25" i="3"/>
  <c r="Q25" i="3" s="1"/>
  <c r="R25" i="3" s="1"/>
  <c r="Z25" i="3"/>
  <c r="A26" i="3"/>
  <c r="B26" i="3" s="1"/>
  <c r="AC25" i="3"/>
  <c r="AA25" i="3"/>
  <c r="AD25" i="3"/>
  <c r="G9" i="3"/>
  <c r="T21" i="3" l="1"/>
  <c r="S22" i="3"/>
  <c r="F9" i="3"/>
  <c r="AD26" i="3"/>
  <c r="P26" i="3"/>
  <c r="Q26" i="3" s="1"/>
  <c r="R26" i="3" s="1"/>
  <c r="A27" i="3"/>
  <c r="B27" i="3" s="1"/>
  <c r="AA26" i="3"/>
  <c r="Z26" i="3"/>
  <c r="AC26" i="3"/>
  <c r="V9" i="3"/>
  <c r="AE9" i="3"/>
  <c r="I9" i="3"/>
  <c r="J9" i="3"/>
  <c r="M9" i="3"/>
  <c r="N9" i="3" s="1"/>
  <c r="T22" i="3" l="1"/>
  <c r="S23" i="3"/>
  <c r="W9" i="3"/>
  <c r="P27" i="3"/>
  <c r="Q27" i="3" s="1"/>
  <c r="R27" i="3" s="1"/>
  <c r="Z27" i="3"/>
  <c r="AA27" i="3"/>
  <c r="AD27" i="3"/>
  <c r="A28" i="3"/>
  <c r="B28" i="3" s="1"/>
  <c r="AC27" i="3"/>
  <c r="L9" i="3"/>
  <c r="S24" i="3" l="1"/>
  <c r="T23" i="3"/>
  <c r="Z28" i="3"/>
  <c r="P28" i="3"/>
  <c r="Q28" i="3" s="1"/>
  <c r="R28" i="3" s="1"/>
  <c r="A29" i="3"/>
  <c r="B29" i="3" s="1"/>
  <c r="AA28" i="3"/>
  <c r="AC28" i="3"/>
  <c r="AD28" i="3"/>
  <c r="AH10" i="3"/>
  <c r="U9" i="3"/>
  <c r="E10" i="3" s="1"/>
  <c r="H10" i="3" s="1"/>
  <c r="AG10" i="3"/>
  <c r="Y8" i="3"/>
  <c r="S25" i="3" l="1"/>
  <c r="T24" i="3"/>
  <c r="K10" i="3"/>
  <c r="AC29" i="3"/>
  <c r="P29" i="3"/>
  <c r="Q29" i="3" s="1"/>
  <c r="R29" i="3" s="1"/>
  <c r="A30" i="3"/>
  <c r="B30" i="3" s="1"/>
  <c r="AD29" i="3"/>
  <c r="Z29" i="3"/>
  <c r="AA29" i="3"/>
  <c r="D10" i="3"/>
  <c r="T25" i="3" l="1"/>
  <c r="S26" i="3"/>
  <c r="Z30" i="3"/>
  <c r="P30" i="3"/>
  <c r="Q30" i="3" s="1"/>
  <c r="R30" i="3" s="1"/>
  <c r="AC30" i="3"/>
  <c r="AA30" i="3"/>
  <c r="AD30" i="3"/>
  <c r="A31" i="3"/>
  <c r="B31" i="3" s="1"/>
  <c r="F10" i="3"/>
  <c r="G10" i="3"/>
  <c r="V10" i="3"/>
  <c r="AE10" i="3"/>
  <c r="T26" i="3" l="1"/>
  <c r="S27" i="3"/>
  <c r="I10" i="3"/>
  <c r="W10" i="3" s="1"/>
  <c r="J10" i="3"/>
  <c r="M10" i="3"/>
  <c r="N10" i="3" s="1"/>
  <c r="AC31" i="3"/>
  <c r="A32" i="3"/>
  <c r="B32" i="3" s="1"/>
  <c r="Z31" i="3"/>
  <c r="P31" i="3"/>
  <c r="Q31" i="3" s="1"/>
  <c r="R31" i="3" s="1"/>
  <c r="AD31" i="3"/>
  <c r="AA31" i="3"/>
  <c r="S28" i="3" l="1"/>
  <c r="T27" i="3"/>
  <c r="A33" i="3"/>
  <c r="B33" i="3" s="1"/>
  <c r="Z32" i="3"/>
  <c r="P32" i="3"/>
  <c r="Q32" i="3" s="1"/>
  <c r="R32" i="3" s="1"/>
  <c r="AD32" i="3"/>
  <c r="AC32" i="3"/>
  <c r="AA32" i="3"/>
  <c r="L10" i="3"/>
  <c r="S29" i="3" l="1"/>
  <c r="T28" i="3"/>
  <c r="P33" i="3"/>
  <c r="Q33" i="3" s="1"/>
  <c r="R33" i="3" s="1"/>
  <c r="AC33" i="3"/>
  <c r="A34" i="3"/>
  <c r="B34" i="3" s="1"/>
  <c r="AA33" i="3"/>
  <c r="Z33" i="3"/>
  <c r="AD33" i="3"/>
  <c r="AG11" i="3"/>
  <c r="AH11" i="3"/>
  <c r="U10" i="3"/>
  <c r="E11" i="3" s="1"/>
  <c r="H11" i="3" s="1"/>
  <c r="Y9" i="3"/>
  <c r="T29" i="3" l="1"/>
  <c r="S30" i="3"/>
  <c r="K11" i="3"/>
  <c r="Z34" i="3"/>
  <c r="P34" i="3"/>
  <c r="Q34" i="3" s="1"/>
  <c r="R34" i="3" s="1"/>
  <c r="AC34" i="3"/>
  <c r="A35" i="3"/>
  <c r="B35" i="3" s="1"/>
  <c r="AA34" i="3"/>
  <c r="D11" i="3"/>
  <c r="S31" i="3" l="1"/>
  <c r="T30" i="3"/>
  <c r="V11" i="3"/>
  <c r="AE11" i="3"/>
  <c r="A36" i="3"/>
  <c r="B36" i="3" s="1"/>
  <c r="Z35" i="3"/>
  <c r="AD35" i="3"/>
  <c r="AA35" i="3"/>
  <c r="AC35" i="3"/>
  <c r="P35" i="3"/>
  <c r="Q35" i="3" s="1"/>
  <c r="R35" i="3" s="1"/>
  <c r="F11" i="3"/>
  <c r="G11" i="3"/>
  <c r="T31" i="3" l="1"/>
  <c r="S32" i="3"/>
  <c r="AD36" i="3"/>
  <c r="AA36" i="3"/>
  <c r="P36" i="3"/>
  <c r="Q36" i="3" s="1"/>
  <c r="R36" i="3" s="1"/>
  <c r="Z36" i="3"/>
  <c r="A37" i="3"/>
  <c r="B37" i="3" s="1"/>
  <c r="AC36" i="3"/>
  <c r="I11" i="3"/>
  <c r="W11" i="3" s="1"/>
  <c r="J11" i="3"/>
  <c r="M11" i="3"/>
  <c r="N11" i="3" s="1"/>
  <c r="T32" i="3" l="1"/>
  <c r="S33" i="3"/>
  <c r="AD37" i="3"/>
  <c r="Z37" i="3"/>
  <c r="AA37" i="3"/>
  <c r="AC37" i="3"/>
  <c r="P37" i="3"/>
  <c r="Q37" i="3" s="1"/>
  <c r="R37" i="3" s="1"/>
  <c r="A38" i="3"/>
  <c r="B38" i="3" s="1"/>
  <c r="L11" i="3"/>
  <c r="S34" i="3" l="1"/>
  <c r="T33" i="3"/>
  <c r="P38" i="3"/>
  <c r="Q38" i="3" s="1"/>
  <c r="R38" i="3" s="1"/>
  <c r="A39" i="3"/>
  <c r="B39" i="3" s="1"/>
  <c r="AC38" i="3"/>
  <c r="AA38" i="3"/>
  <c r="AD38" i="3"/>
  <c r="Z38" i="3"/>
  <c r="AH12" i="3"/>
  <c r="U11" i="3"/>
  <c r="E12" i="3" s="1"/>
  <c r="H12" i="3" s="1"/>
  <c r="AG12" i="3"/>
  <c r="Y10" i="3"/>
  <c r="S35" i="3" l="1"/>
  <c r="T34" i="3"/>
  <c r="D12" i="3"/>
  <c r="G12" i="3" s="1"/>
  <c r="K12" i="3"/>
  <c r="AC39" i="3"/>
  <c r="P39" i="3"/>
  <c r="Q39" i="3" s="1"/>
  <c r="R39" i="3" s="1"/>
  <c r="AD39" i="3"/>
  <c r="Z39" i="3"/>
  <c r="A40" i="3"/>
  <c r="B40" i="3" s="1"/>
  <c r="AA39" i="3"/>
  <c r="T35" i="3" l="1"/>
  <c r="S36" i="3"/>
  <c r="F12" i="3"/>
  <c r="P40" i="3"/>
  <c r="Q40" i="3" s="1"/>
  <c r="R40" i="3" s="1"/>
  <c r="AA40" i="3"/>
  <c r="A41" i="3"/>
  <c r="B41" i="3" s="1"/>
  <c r="AC40" i="3"/>
  <c r="Z40" i="3"/>
  <c r="AD40" i="3"/>
  <c r="V12" i="3"/>
  <c r="AE12" i="3"/>
  <c r="I12" i="3"/>
  <c r="J12" i="3"/>
  <c r="M12" i="3"/>
  <c r="N12" i="3" s="1"/>
  <c r="T36" i="3" l="1"/>
  <c r="S37" i="3"/>
  <c r="W12" i="3"/>
  <c r="P41" i="3"/>
  <c r="Q41" i="3" s="1"/>
  <c r="R41" i="3" s="1"/>
  <c r="AC41" i="3"/>
  <c r="A42" i="3"/>
  <c r="B42" i="3" s="1"/>
  <c r="AA41" i="3"/>
  <c r="Z41" i="3"/>
  <c r="AD41" i="3"/>
  <c r="L12" i="3"/>
  <c r="S38" i="3" l="1"/>
  <c r="T37" i="3"/>
  <c r="AG13" i="3"/>
  <c r="U12" i="3"/>
  <c r="E13" i="3" s="1"/>
  <c r="H13" i="3" s="1"/>
  <c r="AH13" i="3"/>
  <c r="Y11" i="3"/>
  <c r="P42" i="3"/>
  <c r="Q42" i="3" s="1"/>
  <c r="R42" i="3" s="1"/>
  <c r="Z42" i="3"/>
  <c r="AA42" i="3"/>
  <c r="A43" i="3"/>
  <c r="B43" i="3" s="1"/>
  <c r="AD42" i="3"/>
  <c r="AC42" i="3"/>
  <c r="S39" i="3" l="1"/>
  <c r="T38" i="3"/>
  <c r="D13" i="3"/>
  <c r="F13" i="3" s="1"/>
  <c r="K13" i="3"/>
  <c r="AC43" i="3"/>
  <c r="P43" i="3"/>
  <c r="Q43" i="3" s="1"/>
  <c r="R43" i="3" s="1"/>
  <c r="AD43" i="3"/>
  <c r="Z43" i="3"/>
  <c r="A44" i="3"/>
  <c r="B44" i="3" s="1"/>
  <c r="AA43" i="3"/>
  <c r="S40" i="3" l="1"/>
  <c r="T39" i="3"/>
  <c r="G13" i="3"/>
  <c r="I13" i="3" s="1"/>
  <c r="AA44" i="3"/>
  <c r="P44" i="3"/>
  <c r="Q44" i="3" s="1"/>
  <c r="R44" i="3" s="1"/>
  <c r="A45" i="3"/>
  <c r="B45" i="3" s="1"/>
  <c r="Z44" i="3"/>
  <c r="AC44" i="3"/>
  <c r="V13" i="3"/>
  <c r="AE13" i="3"/>
  <c r="S41" i="3" l="1"/>
  <c r="T40" i="3"/>
  <c r="J13" i="3"/>
  <c r="L13" i="3" s="1"/>
  <c r="M13" i="3"/>
  <c r="N13" i="3" s="1"/>
  <c r="P45" i="3"/>
  <c r="Q45" i="3" s="1"/>
  <c r="R45" i="3" s="1"/>
  <c r="A46" i="3"/>
  <c r="B46" i="3" s="1"/>
  <c r="AA45" i="3"/>
  <c r="AD45" i="3"/>
  <c r="Z45" i="3"/>
  <c r="AC45" i="3"/>
  <c r="W13" i="3"/>
  <c r="T41" i="3" l="1"/>
  <c r="S42" i="3"/>
  <c r="P46" i="3"/>
  <c r="Q46" i="3" s="1"/>
  <c r="R46" i="3" s="1"/>
  <c r="AA46" i="3"/>
  <c r="AD46" i="3"/>
  <c r="A47" i="3"/>
  <c r="B47" i="3" s="1"/>
  <c r="Z46" i="3"/>
  <c r="AC46" i="3"/>
  <c r="AH14" i="3"/>
  <c r="AG14" i="3"/>
  <c r="U13" i="3"/>
  <c r="D14" i="3" s="1"/>
  <c r="Y12" i="3"/>
  <c r="S43" i="3" l="1"/>
  <c r="T42" i="3"/>
  <c r="E14" i="3"/>
  <c r="H14" i="3" s="1"/>
  <c r="K14" i="3" s="1"/>
  <c r="AD47" i="3"/>
  <c r="AA47" i="3"/>
  <c r="P47" i="3"/>
  <c r="Q47" i="3" s="1"/>
  <c r="R47" i="3" s="1"/>
  <c r="A48" i="3"/>
  <c r="B48" i="3" s="1"/>
  <c r="Z47" i="3"/>
  <c r="AC47" i="3"/>
  <c r="G14" i="3"/>
  <c r="S44" i="3" l="1"/>
  <c r="T43" i="3"/>
  <c r="F14" i="3"/>
  <c r="AC48" i="3"/>
  <c r="Z48" i="3"/>
  <c r="AA48" i="3"/>
  <c r="A49" i="3"/>
  <c r="B49" i="3" s="1"/>
  <c r="AD48" i="3"/>
  <c r="P48" i="3"/>
  <c r="Q48" i="3" s="1"/>
  <c r="R48" i="3" s="1"/>
  <c r="V14" i="3"/>
  <c r="AE14" i="3"/>
  <c r="I14" i="3"/>
  <c r="J14" i="3"/>
  <c r="M14" i="3"/>
  <c r="N14" i="3" s="1"/>
  <c r="S45" i="3" l="1"/>
  <c r="T44" i="3"/>
  <c r="A50" i="3"/>
  <c r="B50" i="3" s="1"/>
  <c r="P49" i="3"/>
  <c r="Q49" i="3" s="1"/>
  <c r="R49" i="3" s="1"/>
  <c r="AC49" i="3"/>
  <c r="AD49" i="3"/>
  <c r="AA49" i="3"/>
  <c r="Z49" i="3"/>
  <c r="W14" i="3"/>
  <c r="L14" i="3"/>
  <c r="T45" i="3" l="1"/>
  <c r="S46" i="3"/>
  <c r="U14" i="3"/>
  <c r="E15" i="3" s="1"/>
  <c r="H15" i="3" s="1"/>
  <c r="AG15" i="3"/>
  <c r="AH15" i="3"/>
  <c r="Y13" i="3"/>
  <c r="Z50" i="3"/>
  <c r="AA50" i="3"/>
  <c r="P50" i="3"/>
  <c r="Q50" i="3" s="1"/>
  <c r="R50" i="3" s="1"/>
  <c r="A51" i="3"/>
  <c r="B51" i="3" s="1"/>
  <c r="AD50" i="3"/>
  <c r="AC50" i="3"/>
  <c r="T46" i="3" l="1"/>
  <c r="S47" i="3"/>
  <c r="D15" i="3"/>
  <c r="F15" i="3" s="1"/>
  <c r="AD51" i="3"/>
  <c r="A52" i="3"/>
  <c r="B52" i="3" s="1"/>
  <c r="P51" i="3"/>
  <c r="Q51" i="3" s="1"/>
  <c r="R51" i="3" s="1"/>
  <c r="AA51" i="3"/>
  <c r="Z51" i="3"/>
  <c r="AC51" i="3"/>
  <c r="K15" i="3"/>
  <c r="T47" i="3" l="1"/>
  <c r="S48" i="3"/>
  <c r="G15" i="3"/>
  <c r="I15" i="3" s="1"/>
  <c r="A53" i="3"/>
  <c r="B53" i="3" s="1"/>
  <c r="AC52" i="3"/>
  <c r="P52" i="3"/>
  <c r="Q52" i="3" s="1"/>
  <c r="R52" i="3" s="1"/>
  <c r="AA52" i="3"/>
  <c r="AD52" i="3"/>
  <c r="Z52" i="3"/>
  <c r="V15" i="3"/>
  <c r="AE15" i="3"/>
  <c r="T48" i="3" l="1"/>
  <c r="S49" i="3"/>
  <c r="J15" i="3"/>
  <c r="L15" i="3" s="1"/>
  <c r="M15" i="3"/>
  <c r="N15" i="3" s="1"/>
  <c r="A54" i="3"/>
  <c r="B54" i="3" s="1"/>
  <c r="AD53" i="3"/>
  <c r="P53" i="3"/>
  <c r="Q53" i="3" s="1"/>
  <c r="R53" i="3" s="1"/>
  <c r="AA53" i="3"/>
  <c r="AC53" i="3"/>
  <c r="Z53" i="3"/>
  <c r="W15" i="3"/>
  <c r="S50" i="3" l="1"/>
  <c r="T49" i="3"/>
  <c r="AC54" i="3"/>
  <c r="P54" i="3"/>
  <c r="Q54" i="3" s="1"/>
  <c r="R54" i="3" s="1"/>
  <c r="A55" i="3"/>
  <c r="B55" i="3" s="1"/>
  <c r="AA54" i="3"/>
  <c r="Z54" i="3"/>
  <c r="AD54" i="3"/>
  <c r="U15" i="3"/>
  <c r="D16" i="3" s="1"/>
  <c r="AG16" i="3"/>
  <c r="AH16" i="3"/>
  <c r="Y14" i="3"/>
  <c r="S51" i="3" l="1"/>
  <c r="T50" i="3"/>
  <c r="E16" i="3"/>
  <c r="H16" i="3" s="1"/>
  <c r="K16" i="3" s="1"/>
  <c r="G16" i="3"/>
  <c r="P55" i="3"/>
  <c r="Q55" i="3" s="1"/>
  <c r="R55" i="3" s="1"/>
  <c r="A56" i="3"/>
  <c r="B56" i="3" s="1"/>
  <c r="AC55" i="3"/>
  <c r="AA55" i="3"/>
  <c r="Z55" i="3"/>
  <c r="AD55" i="3"/>
  <c r="T51" i="3" l="1"/>
  <c r="S52" i="3"/>
  <c r="F16" i="3"/>
  <c r="P56" i="3"/>
  <c r="Q56" i="3" s="1"/>
  <c r="R56" i="3" s="1"/>
  <c r="AA56" i="3"/>
  <c r="A57" i="3"/>
  <c r="B57" i="3" s="1"/>
  <c r="AD56" i="3"/>
  <c r="Z56" i="3"/>
  <c r="AC56" i="3"/>
  <c r="I16" i="3"/>
  <c r="J16" i="3"/>
  <c r="M16" i="3"/>
  <c r="N16" i="3" s="1"/>
  <c r="V16" i="3"/>
  <c r="AE16" i="3"/>
  <c r="S53" i="3" l="1"/>
  <c r="T52" i="3"/>
  <c r="AD57" i="3"/>
  <c r="AA57" i="3"/>
  <c r="A58" i="3"/>
  <c r="B58" i="3" s="1"/>
  <c r="AC57" i="3"/>
  <c r="P57" i="3"/>
  <c r="Q57" i="3" s="1"/>
  <c r="R57" i="3" s="1"/>
  <c r="Z57" i="3"/>
  <c r="L16" i="3"/>
  <c r="W16" i="3"/>
  <c r="S54" i="3" l="1"/>
  <c r="T53" i="3"/>
  <c r="Z58" i="3"/>
  <c r="AD58" i="3"/>
  <c r="AA58" i="3"/>
  <c r="P58" i="3"/>
  <c r="Q58" i="3" s="1"/>
  <c r="R58" i="3" s="1"/>
  <c r="A59" i="3"/>
  <c r="B59" i="3" s="1"/>
  <c r="AC58" i="3"/>
  <c r="U16" i="3"/>
  <c r="D17" i="3" s="1"/>
  <c r="AG17" i="3"/>
  <c r="AH17" i="3"/>
  <c r="Y15" i="3"/>
  <c r="S55" i="3" l="1"/>
  <c r="T54" i="3"/>
  <c r="G17" i="3"/>
  <c r="P59" i="3"/>
  <c r="Q59" i="3" s="1"/>
  <c r="R59" i="3" s="1"/>
  <c r="A60" i="3"/>
  <c r="B60" i="3" s="1"/>
  <c r="AC59" i="3"/>
  <c r="AD59" i="3"/>
  <c r="Z59" i="3"/>
  <c r="AA59" i="3"/>
  <c r="E17" i="3"/>
  <c r="H17" i="3" s="1"/>
  <c r="S56" i="3" l="1"/>
  <c r="T55" i="3"/>
  <c r="AC60" i="3"/>
  <c r="AD60" i="3"/>
  <c r="Z60" i="3"/>
  <c r="P60" i="3"/>
  <c r="Q60" i="3" s="1"/>
  <c r="R60" i="3" s="1"/>
  <c r="A61" i="3"/>
  <c r="B61" i="3" s="1"/>
  <c r="AA60" i="3"/>
  <c r="F17" i="3"/>
  <c r="I17" i="3"/>
  <c r="J17" i="3"/>
  <c r="M17" i="3"/>
  <c r="N17" i="3" s="1"/>
  <c r="K17" i="3"/>
  <c r="S57" i="3" l="1"/>
  <c r="T56" i="3"/>
  <c r="A62" i="3"/>
  <c r="B62" i="3" s="1"/>
  <c r="Z61" i="3"/>
  <c r="AD61" i="3"/>
  <c r="AC61" i="3"/>
  <c r="P61" i="3"/>
  <c r="Q61" i="3" s="1"/>
  <c r="R61" i="3" s="1"/>
  <c r="AA61" i="3"/>
  <c r="V17" i="3"/>
  <c r="W17" i="3" s="1"/>
  <c r="AE17" i="3"/>
  <c r="L17" i="3"/>
  <c r="S58" i="3" l="1"/>
  <c r="T57" i="3"/>
  <c r="AD62" i="3"/>
  <c r="P62" i="3"/>
  <c r="Q62" i="3" s="1"/>
  <c r="R62" i="3" s="1"/>
  <c r="Z62" i="3"/>
  <c r="AA62" i="3"/>
  <c r="AC62" i="3"/>
  <c r="A63" i="3"/>
  <c r="B63" i="3" s="1"/>
  <c r="U17" i="3"/>
  <c r="E18" i="3" s="1"/>
  <c r="H18" i="3" s="1"/>
  <c r="AG18" i="3"/>
  <c r="AH18" i="3"/>
  <c r="Y16" i="3"/>
  <c r="S59" i="3" l="1"/>
  <c r="T58" i="3"/>
  <c r="D18" i="3"/>
  <c r="G18" i="3" s="1"/>
  <c r="K18" i="3"/>
  <c r="AC63" i="3"/>
  <c r="AA63" i="3"/>
  <c r="A64" i="3"/>
  <c r="B64" i="3" s="1"/>
  <c r="AD63" i="3"/>
  <c r="P63" i="3"/>
  <c r="Q63" i="3" s="1"/>
  <c r="R63" i="3" s="1"/>
  <c r="Z63" i="3"/>
  <c r="T59" i="3" l="1"/>
  <c r="S60" i="3"/>
  <c r="F18" i="3"/>
  <c r="I18" i="3"/>
  <c r="J18" i="3"/>
  <c r="M18" i="3"/>
  <c r="N18" i="3" s="1"/>
  <c r="A65" i="3"/>
  <c r="B65" i="3" s="1"/>
  <c r="Z64" i="3"/>
  <c r="AA64" i="3"/>
  <c r="AC64" i="3"/>
  <c r="AD64" i="3"/>
  <c r="P64" i="3"/>
  <c r="Q64" i="3" s="1"/>
  <c r="R64" i="3" s="1"/>
  <c r="V18" i="3"/>
  <c r="AE18" i="3"/>
  <c r="T60" i="3" l="1"/>
  <c r="S61" i="3"/>
  <c r="Z65" i="3"/>
  <c r="AA65" i="3"/>
  <c r="A66" i="3"/>
  <c r="B66" i="3" s="1"/>
  <c r="AC65" i="3"/>
  <c r="P65" i="3"/>
  <c r="Q65" i="3" s="1"/>
  <c r="R65" i="3" s="1"/>
  <c r="AD65" i="3"/>
  <c r="L18" i="3"/>
  <c r="W18" i="3"/>
  <c r="T61" i="3" l="1"/>
  <c r="S62" i="3"/>
  <c r="A67" i="3"/>
  <c r="B67" i="3" s="1"/>
  <c r="P66" i="3"/>
  <c r="Q66" i="3" s="1"/>
  <c r="R66" i="3" s="1"/>
  <c r="AC66" i="3"/>
  <c r="Z66" i="3"/>
  <c r="AD66" i="3"/>
  <c r="AA66" i="3"/>
  <c r="U18" i="3"/>
  <c r="D19" i="3" s="1"/>
  <c r="AH19" i="3"/>
  <c r="AG19" i="3"/>
  <c r="Y17" i="3"/>
  <c r="S63" i="3" l="1"/>
  <c r="T62" i="3"/>
  <c r="G19" i="3"/>
  <c r="E19" i="3"/>
  <c r="H19" i="3" s="1"/>
  <c r="AA67" i="3"/>
  <c r="Z67" i="3"/>
  <c r="AD67" i="3"/>
  <c r="AC67" i="3"/>
  <c r="P67" i="3"/>
  <c r="Q67" i="3" s="1"/>
  <c r="R67" i="3" s="1"/>
  <c r="A68" i="3"/>
  <c r="B68" i="3" s="1"/>
  <c r="T63" i="3" l="1"/>
  <c r="S64" i="3"/>
  <c r="F19" i="3"/>
  <c r="AD68" i="3"/>
  <c r="AC68" i="3"/>
  <c r="Z68" i="3"/>
  <c r="AA68" i="3"/>
  <c r="A69" i="3"/>
  <c r="B69" i="3" s="1"/>
  <c r="P68" i="3"/>
  <c r="Q68" i="3" s="1"/>
  <c r="R68" i="3" s="1"/>
  <c r="I19" i="3"/>
  <c r="J19" i="3"/>
  <c r="M19" i="3"/>
  <c r="N19" i="3" s="1"/>
  <c r="K19" i="3"/>
  <c r="S65" i="3" l="1"/>
  <c r="T64" i="3"/>
  <c r="Z69" i="3"/>
  <c r="AC69" i="3"/>
  <c r="P69" i="3"/>
  <c r="Q69" i="3" s="1"/>
  <c r="R69" i="3" s="1"/>
  <c r="AA69" i="3"/>
  <c r="AD69" i="3"/>
  <c r="A70" i="3"/>
  <c r="B70" i="3" s="1"/>
  <c r="V19" i="3"/>
  <c r="W19" i="3" s="1"/>
  <c r="AE19" i="3"/>
  <c r="L19" i="3"/>
  <c r="T65" i="3" l="1"/>
  <c r="S66" i="3"/>
  <c r="AH20" i="3"/>
  <c r="U19" i="3"/>
  <c r="E20" i="3" s="1"/>
  <c r="H20" i="3" s="1"/>
  <c r="AG20" i="3"/>
  <c r="Y18" i="3"/>
  <c r="A71" i="3"/>
  <c r="B71" i="3" s="1"/>
  <c r="AC70" i="3"/>
  <c r="AA70" i="3"/>
  <c r="AD70" i="3"/>
  <c r="P70" i="3"/>
  <c r="Q70" i="3" s="1"/>
  <c r="R70" i="3" s="1"/>
  <c r="Z70" i="3"/>
  <c r="S67" i="3" l="1"/>
  <c r="T66" i="3"/>
  <c r="D20" i="3"/>
  <c r="G20" i="3" s="1"/>
  <c r="K20" i="3"/>
  <c r="AA71" i="3"/>
  <c r="A72" i="3"/>
  <c r="B72" i="3" s="1"/>
  <c r="AC71" i="3"/>
  <c r="Z71" i="3"/>
  <c r="AD71" i="3"/>
  <c r="P71" i="3"/>
  <c r="Q71" i="3" s="1"/>
  <c r="R71" i="3" s="1"/>
  <c r="S68" i="3" l="1"/>
  <c r="T67" i="3"/>
  <c r="F20" i="3"/>
  <c r="A73" i="3"/>
  <c r="B73" i="3" s="1"/>
  <c r="Z72" i="3"/>
  <c r="P72" i="3"/>
  <c r="Q72" i="3" s="1"/>
  <c r="R72" i="3" s="1"/>
  <c r="AD72" i="3"/>
  <c r="AA72" i="3"/>
  <c r="AC72" i="3"/>
  <c r="V20" i="3"/>
  <c r="AE20" i="3"/>
  <c r="I20" i="3"/>
  <c r="J20" i="3"/>
  <c r="M20" i="3"/>
  <c r="N20" i="3" s="1"/>
  <c r="S69" i="3" l="1"/>
  <c r="T68" i="3"/>
  <c r="AC73" i="3"/>
  <c r="A74" i="3"/>
  <c r="B74" i="3" s="1"/>
  <c r="Z73" i="3"/>
  <c r="AA73" i="3"/>
  <c r="AD73" i="3"/>
  <c r="P73" i="3"/>
  <c r="Q73" i="3" s="1"/>
  <c r="R73" i="3" s="1"/>
  <c r="L20" i="3"/>
  <c r="W20" i="3"/>
  <c r="T69" i="3" l="1"/>
  <c r="S70" i="3"/>
  <c r="AD74" i="3"/>
  <c r="P74" i="3"/>
  <c r="Q74" i="3" s="1"/>
  <c r="R74" i="3" s="1"/>
  <c r="AC74" i="3"/>
  <c r="A75" i="3"/>
  <c r="B75" i="3" s="1"/>
  <c r="AA74" i="3"/>
  <c r="Z74" i="3"/>
  <c r="AG21" i="3"/>
  <c r="U20" i="3"/>
  <c r="E21" i="3" s="1"/>
  <c r="H21" i="3" s="1"/>
  <c r="AH21" i="3"/>
  <c r="Y19" i="3"/>
  <c r="T70" i="3" l="1"/>
  <c r="S71" i="3"/>
  <c r="D21" i="3"/>
  <c r="G21" i="3" s="1"/>
  <c r="K21" i="3"/>
  <c r="P75" i="3"/>
  <c r="Q75" i="3" s="1"/>
  <c r="R75" i="3" s="1"/>
  <c r="Z75" i="3"/>
  <c r="A76" i="3"/>
  <c r="B76" i="3" s="1"/>
  <c r="AA75" i="3"/>
  <c r="AC75" i="3"/>
  <c r="AD75" i="3"/>
  <c r="S72" i="3" l="1"/>
  <c r="T71" i="3"/>
  <c r="F21" i="3"/>
  <c r="AC76" i="3"/>
  <c r="Z76" i="3"/>
  <c r="AD76" i="3"/>
  <c r="AA76" i="3"/>
  <c r="A77" i="3"/>
  <c r="B77" i="3" s="1"/>
  <c r="P76" i="3"/>
  <c r="Q76" i="3" s="1"/>
  <c r="R76" i="3" s="1"/>
  <c r="I21" i="3"/>
  <c r="J21" i="3"/>
  <c r="M21" i="3"/>
  <c r="N21" i="3" s="1"/>
  <c r="V21" i="3"/>
  <c r="AE21" i="3"/>
  <c r="S73" i="3" l="1"/>
  <c r="T72" i="3"/>
  <c r="W21" i="3"/>
  <c r="A78" i="3"/>
  <c r="B78" i="3" s="1"/>
  <c r="AA77" i="3"/>
  <c r="Z77" i="3"/>
  <c r="P77" i="3"/>
  <c r="Q77" i="3" s="1"/>
  <c r="R77" i="3" s="1"/>
  <c r="AD77" i="3"/>
  <c r="AC77" i="3"/>
  <c r="L21" i="3"/>
  <c r="T73" i="3" l="1"/>
  <c r="S74" i="3"/>
  <c r="AG22" i="3"/>
  <c r="U21" i="3"/>
  <c r="D22" i="3" s="1"/>
  <c r="AH22" i="3"/>
  <c r="Y20" i="3"/>
  <c r="A79" i="3"/>
  <c r="B79" i="3" s="1"/>
  <c r="AD78" i="3"/>
  <c r="P78" i="3"/>
  <c r="Q78" i="3" s="1"/>
  <c r="R78" i="3" s="1"/>
  <c r="AC78" i="3"/>
  <c r="AA78" i="3"/>
  <c r="Z78" i="3"/>
  <c r="S75" i="3" l="1"/>
  <c r="T74" i="3"/>
  <c r="G22" i="3"/>
  <c r="E22" i="3"/>
  <c r="H22" i="3" s="1"/>
  <c r="P79" i="3"/>
  <c r="Q79" i="3" s="1"/>
  <c r="R79" i="3" s="1"/>
  <c r="A80" i="3"/>
  <c r="B80" i="3" s="1"/>
  <c r="Z79" i="3"/>
  <c r="AC79" i="3"/>
  <c r="AA79" i="3"/>
  <c r="AD79" i="3"/>
  <c r="T75" i="3" l="1"/>
  <c r="S76" i="3"/>
  <c r="AA80" i="3"/>
  <c r="A81" i="3"/>
  <c r="B81" i="3" s="1"/>
  <c r="AD80" i="3"/>
  <c r="AC80" i="3"/>
  <c r="P80" i="3"/>
  <c r="Q80" i="3" s="1"/>
  <c r="R80" i="3" s="1"/>
  <c r="Z80" i="3"/>
  <c r="I22" i="3"/>
  <c r="J22" i="3"/>
  <c r="M22" i="3"/>
  <c r="N22" i="3" s="1"/>
  <c r="K22" i="3"/>
  <c r="F22" i="3"/>
  <c r="S77" i="3" l="1"/>
  <c r="T76" i="3"/>
  <c r="L22" i="3"/>
  <c r="Z81" i="3"/>
  <c r="AC81" i="3"/>
  <c r="A82" i="3"/>
  <c r="B82" i="3" s="1"/>
  <c r="AA81" i="3"/>
  <c r="AD81" i="3"/>
  <c r="P81" i="3"/>
  <c r="Q81" i="3" s="1"/>
  <c r="R81" i="3" s="1"/>
  <c r="V22" i="3"/>
  <c r="W22" i="3" s="1"/>
  <c r="AE22" i="3"/>
  <c r="T77" i="3" l="1"/>
  <c r="S78" i="3"/>
  <c r="U22" i="3"/>
  <c r="E23" i="3" s="1"/>
  <c r="H23" i="3" s="1"/>
  <c r="AH23" i="3"/>
  <c r="AG23" i="3"/>
  <c r="Y21" i="3"/>
  <c r="A83" i="3"/>
  <c r="B83" i="3" s="1"/>
  <c r="P82" i="3"/>
  <c r="Q82" i="3" s="1"/>
  <c r="R82" i="3" s="1"/>
  <c r="AC82" i="3"/>
  <c r="AA82" i="3"/>
  <c r="Z82" i="3"/>
  <c r="AD82" i="3"/>
  <c r="S79" i="3" l="1"/>
  <c r="T78" i="3"/>
  <c r="AA83" i="3"/>
  <c r="AC83" i="3"/>
  <c r="P83" i="3"/>
  <c r="Q83" i="3" s="1"/>
  <c r="R83" i="3" s="1"/>
  <c r="Z83" i="3"/>
  <c r="AD83" i="3"/>
  <c r="A84" i="3"/>
  <c r="B84" i="3" s="1"/>
  <c r="K23" i="3"/>
  <c r="D23" i="3"/>
  <c r="S80" i="3" l="1"/>
  <c r="T79" i="3"/>
  <c r="AA84" i="3"/>
  <c r="Z84" i="3"/>
  <c r="A85" i="3"/>
  <c r="B85" i="3" s="1"/>
  <c r="P84" i="3"/>
  <c r="Q84" i="3" s="1"/>
  <c r="R84" i="3" s="1"/>
  <c r="AD84" i="3"/>
  <c r="AC84" i="3"/>
  <c r="V23" i="3"/>
  <c r="AE23" i="3"/>
  <c r="F23" i="3"/>
  <c r="G23" i="3"/>
  <c r="T80" i="3" l="1"/>
  <c r="S81" i="3"/>
  <c r="A86" i="3"/>
  <c r="B86" i="3" s="1"/>
  <c r="P85" i="3"/>
  <c r="Q85" i="3" s="1"/>
  <c r="R85" i="3" s="1"/>
  <c r="AA85" i="3"/>
  <c r="AC85" i="3"/>
  <c r="Z85" i="3"/>
  <c r="AD85" i="3"/>
  <c r="I23" i="3"/>
  <c r="W23" i="3" s="1"/>
  <c r="J23" i="3"/>
  <c r="M23" i="3"/>
  <c r="N23" i="3" s="1"/>
  <c r="T81" i="3" l="1"/>
  <c r="S82" i="3"/>
  <c r="AC86" i="3"/>
  <c r="Z86" i="3"/>
  <c r="P86" i="3"/>
  <c r="Q86" i="3" s="1"/>
  <c r="R86" i="3" s="1"/>
  <c r="AA86" i="3"/>
  <c r="A87" i="3"/>
  <c r="B87" i="3" s="1"/>
  <c r="AD86" i="3"/>
  <c r="L23" i="3"/>
  <c r="T82" i="3" l="1"/>
  <c r="S83" i="3"/>
  <c r="P87" i="3"/>
  <c r="Q87" i="3" s="1"/>
  <c r="R87" i="3" s="1"/>
  <c r="Z87" i="3"/>
  <c r="A88" i="3"/>
  <c r="B88" i="3" s="1"/>
  <c r="AD87" i="3"/>
  <c r="AC87" i="3"/>
  <c r="AA87" i="3"/>
  <c r="AG24" i="3"/>
  <c r="AH24" i="3"/>
  <c r="U23" i="3"/>
  <c r="E24" i="3" s="1"/>
  <c r="H24" i="3" s="1"/>
  <c r="Y22" i="3"/>
  <c r="T83" i="3" l="1"/>
  <c r="S84" i="3"/>
  <c r="D24" i="3"/>
  <c r="G24" i="3" s="1"/>
  <c r="A89" i="3"/>
  <c r="B89" i="3" s="1"/>
  <c r="P88" i="3"/>
  <c r="Q88" i="3" s="1"/>
  <c r="R88" i="3" s="1"/>
  <c r="AC88" i="3"/>
  <c r="Z88" i="3"/>
  <c r="AA88" i="3"/>
  <c r="AD88" i="3"/>
  <c r="K24" i="3"/>
  <c r="T84" i="3" l="1"/>
  <c r="S85" i="3"/>
  <c r="F24" i="3"/>
  <c r="AD89" i="3"/>
  <c r="AC89" i="3"/>
  <c r="P89" i="3"/>
  <c r="Q89" i="3" s="1"/>
  <c r="R89" i="3" s="1"/>
  <c r="Z89" i="3"/>
  <c r="AA89" i="3"/>
  <c r="A90" i="3"/>
  <c r="B90" i="3" s="1"/>
  <c r="V24" i="3"/>
  <c r="AE24" i="3"/>
  <c r="I24" i="3"/>
  <c r="J24" i="3"/>
  <c r="M24" i="3"/>
  <c r="N24" i="3" s="1"/>
  <c r="T85" i="3" l="1"/>
  <c r="S86" i="3"/>
  <c r="A91" i="3"/>
  <c r="B91" i="3" s="1"/>
  <c r="P90" i="3"/>
  <c r="Q90" i="3" s="1"/>
  <c r="R90" i="3" s="1"/>
  <c r="AC90" i="3"/>
  <c r="Z90" i="3"/>
  <c r="AA90" i="3"/>
  <c r="AD90" i="3"/>
  <c r="L24" i="3"/>
  <c r="W24" i="3"/>
  <c r="T86" i="3" l="1"/>
  <c r="S87" i="3"/>
  <c r="P91" i="3"/>
  <c r="Q91" i="3" s="1"/>
  <c r="R91" i="3" s="1"/>
  <c r="AD91" i="3"/>
  <c r="AA91" i="3"/>
  <c r="A92" i="3"/>
  <c r="B92" i="3" s="1"/>
  <c r="AC91" i="3"/>
  <c r="Z91" i="3"/>
  <c r="AH25" i="3"/>
  <c r="AG25" i="3"/>
  <c r="U24" i="3"/>
  <c r="D25" i="3" s="1"/>
  <c r="Y23" i="3"/>
  <c r="S88" i="3" l="1"/>
  <c r="T87" i="3"/>
  <c r="E25" i="3"/>
  <c r="H25" i="3" s="1"/>
  <c r="K25" i="3" s="1"/>
  <c r="G25" i="3"/>
  <c r="AA92" i="3"/>
  <c r="AD92" i="3"/>
  <c r="AC92" i="3"/>
  <c r="P92" i="3"/>
  <c r="Q92" i="3" s="1"/>
  <c r="R92" i="3" s="1"/>
  <c r="Z92" i="3"/>
  <c r="A93" i="3"/>
  <c r="B93" i="3" s="1"/>
  <c r="T88" i="3" l="1"/>
  <c r="S89" i="3"/>
  <c r="F25" i="3"/>
  <c r="Z93" i="3"/>
  <c r="AA93" i="3"/>
  <c r="P93" i="3"/>
  <c r="Q93" i="3" s="1"/>
  <c r="R93" i="3" s="1"/>
  <c r="A94" i="3"/>
  <c r="B94" i="3" s="1"/>
  <c r="AD93" i="3"/>
  <c r="AC93" i="3"/>
  <c r="I25" i="3"/>
  <c r="J25" i="3"/>
  <c r="M25" i="3"/>
  <c r="N25" i="3" s="1"/>
  <c r="V25" i="3"/>
  <c r="AE25" i="3"/>
  <c r="S90" i="3" l="1"/>
  <c r="T89" i="3"/>
  <c r="W25" i="3"/>
  <c r="AC94" i="3"/>
  <c r="Z94" i="3"/>
  <c r="AA94" i="3"/>
  <c r="AD94" i="3"/>
  <c r="A95" i="3"/>
  <c r="B95" i="3" s="1"/>
  <c r="P94" i="3"/>
  <c r="Q94" i="3" s="1"/>
  <c r="R94" i="3" s="1"/>
  <c r="L25" i="3"/>
  <c r="S91" i="3" l="1"/>
  <c r="T90" i="3"/>
  <c r="U25" i="3"/>
  <c r="E26" i="3" s="1"/>
  <c r="H26" i="3" s="1"/>
  <c r="AH26" i="3"/>
  <c r="AG26" i="3"/>
  <c r="Y24" i="3"/>
  <c r="Z95" i="3"/>
  <c r="A96" i="3"/>
  <c r="B96" i="3" s="1"/>
  <c r="P95" i="3"/>
  <c r="Q95" i="3" s="1"/>
  <c r="R95" i="3" s="1"/>
  <c r="AC95" i="3"/>
  <c r="AD95" i="3"/>
  <c r="AA95" i="3"/>
  <c r="T91" i="3" l="1"/>
  <c r="S92" i="3"/>
  <c r="D26" i="3"/>
  <c r="G26" i="3" s="1"/>
  <c r="K26" i="3"/>
  <c r="Z96" i="3"/>
  <c r="P96" i="3"/>
  <c r="Q96" i="3" s="1"/>
  <c r="R96" i="3" s="1"/>
  <c r="AC96" i="3"/>
  <c r="AA96" i="3"/>
  <c r="AD96" i="3"/>
  <c r="A97" i="3"/>
  <c r="B97" i="3" s="1"/>
  <c r="S93" i="3" l="1"/>
  <c r="T92" i="3"/>
  <c r="F26" i="3"/>
  <c r="I26" i="3"/>
  <c r="J26" i="3"/>
  <c r="M26" i="3"/>
  <c r="N26" i="3" s="1"/>
  <c r="A98" i="3"/>
  <c r="B98" i="3" s="1"/>
  <c r="P97" i="3"/>
  <c r="Q97" i="3" s="1"/>
  <c r="R97" i="3" s="1"/>
  <c r="AD97" i="3"/>
  <c r="AA97" i="3"/>
  <c r="Z97" i="3"/>
  <c r="AC97" i="3"/>
  <c r="V26" i="3"/>
  <c r="AE26" i="3"/>
  <c r="T93" i="3" l="1"/>
  <c r="S94" i="3"/>
  <c r="W26" i="3"/>
  <c r="A99" i="3"/>
  <c r="B99" i="3" s="1"/>
  <c r="AD98" i="3"/>
  <c r="AA98" i="3"/>
  <c r="P98" i="3"/>
  <c r="Q98" i="3" s="1"/>
  <c r="R98" i="3" s="1"/>
  <c r="Z98" i="3"/>
  <c r="AC98" i="3"/>
  <c r="L26" i="3"/>
  <c r="T94" i="3" l="1"/>
  <c r="S95" i="3"/>
  <c r="AD99" i="3"/>
  <c r="P99" i="3"/>
  <c r="Q99" i="3" s="1"/>
  <c r="R99" i="3" s="1"/>
  <c r="Z99" i="3"/>
  <c r="A100" i="3"/>
  <c r="B100" i="3" s="1"/>
  <c r="AC99" i="3"/>
  <c r="AA99" i="3"/>
  <c r="AH27" i="3"/>
  <c r="U26" i="3"/>
  <c r="D27" i="3" s="1"/>
  <c r="AG27" i="3"/>
  <c r="Y25" i="3"/>
  <c r="S96" i="3" l="1"/>
  <c r="T95" i="3"/>
  <c r="E27" i="3"/>
  <c r="H27" i="3" s="1"/>
  <c r="K27" i="3" s="1"/>
  <c r="G27" i="3"/>
  <c r="A101" i="3"/>
  <c r="B101" i="3" s="1"/>
  <c r="AA100" i="3"/>
  <c r="AC100" i="3"/>
  <c r="Z100" i="3"/>
  <c r="AD100" i="3"/>
  <c r="P100" i="3"/>
  <c r="Q100" i="3" s="1"/>
  <c r="R100" i="3" s="1"/>
  <c r="S97" i="3" l="1"/>
  <c r="T96" i="3"/>
  <c r="F27" i="3"/>
  <c r="AD101" i="3"/>
  <c r="Z101" i="3"/>
  <c r="P101" i="3"/>
  <c r="Q101" i="3" s="1"/>
  <c r="R101" i="3" s="1"/>
  <c r="AC101" i="3"/>
  <c r="A102" i="3"/>
  <c r="B102" i="3" s="1"/>
  <c r="AA101" i="3"/>
  <c r="I27" i="3"/>
  <c r="J27" i="3"/>
  <c r="M27" i="3"/>
  <c r="N27" i="3" s="1"/>
  <c r="V27" i="3"/>
  <c r="AE27" i="3"/>
  <c r="S98" i="3" l="1"/>
  <c r="T97" i="3"/>
  <c r="P102" i="3"/>
  <c r="Q102" i="3" s="1"/>
  <c r="R102" i="3" s="1"/>
  <c r="A103" i="3"/>
  <c r="B103" i="3" s="1"/>
  <c r="AA102" i="3"/>
  <c r="AC102" i="3"/>
  <c r="AD102" i="3"/>
  <c r="Z102" i="3"/>
  <c r="L27" i="3"/>
  <c r="W27" i="3"/>
  <c r="T98" i="3" l="1"/>
  <c r="S99" i="3"/>
  <c r="P103" i="3"/>
  <c r="Q103" i="3" s="1"/>
  <c r="R103" i="3" s="1"/>
  <c r="AD103" i="3"/>
  <c r="AC103" i="3"/>
  <c r="Z103" i="3"/>
  <c r="A104" i="3"/>
  <c r="B104" i="3" s="1"/>
  <c r="AA103" i="3"/>
  <c r="U27" i="3"/>
  <c r="E28" i="3" s="1"/>
  <c r="H28" i="3" s="1"/>
  <c r="AG28" i="3"/>
  <c r="AH28" i="3"/>
  <c r="Y26" i="3"/>
  <c r="S100" i="3" l="1"/>
  <c r="T99" i="3"/>
  <c r="D28" i="3"/>
  <c r="F28" i="3" s="1"/>
  <c r="K28" i="3"/>
  <c r="AC104" i="3"/>
  <c r="P104" i="3"/>
  <c r="Q104" i="3" s="1"/>
  <c r="R104" i="3" s="1"/>
  <c r="Z104" i="3"/>
  <c r="AA104" i="3"/>
  <c r="S101" i="3" l="1"/>
  <c r="T100" i="3"/>
  <c r="G28" i="3"/>
  <c r="I28" i="3" s="1"/>
  <c r="V28" i="3"/>
  <c r="AE28" i="3"/>
  <c r="T101" i="3" l="1"/>
  <c r="S102" i="3"/>
  <c r="M28" i="3"/>
  <c r="N28" i="3" s="1"/>
  <c r="J28" i="3"/>
  <c r="L28" i="3" s="1"/>
  <c r="W28" i="3"/>
  <c r="S103" i="3" l="1"/>
  <c r="T102" i="3"/>
  <c r="AH29" i="3"/>
  <c r="AG29" i="3"/>
  <c r="U28" i="3"/>
  <c r="E29" i="3" s="1"/>
  <c r="H29" i="3" s="1"/>
  <c r="Y27" i="3"/>
  <c r="S104" i="3" l="1"/>
  <c r="T103" i="3"/>
  <c r="D29" i="3"/>
  <c r="F29" i="3" s="1"/>
  <c r="K29" i="3"/>
  <c r="T104" i="3" l="1"/>
  <c r="G29" i="3"/>
  <c r="M29" i="3" s="1"/>
  <c r="N29" i="3" s="1"/>
  <c r="V29" i="3"/>
  <c r="AE29" i="3"/>
  <c r="J29" i="3" l="1"/>
  <c r="L29" i="3" s="1"/>
  <c r="I29" i="3"/>
  <c r="W29" i="3" s="1"/>
  <c r="U29" i="3" l="1"/>
  <c r="D30" i="3" s="1"/>
  <c r="AG30" i="3"/>
  <c r="AH30" i="3"/>
  <c r="Y28" i="3"/>
  <c r="E30" i="3" l="1"/>
  <c r="H30" i="3" s="1"/>
  <c r="K30" i="3" s="1"/>
  <c r="G30" i="3"/>
  <c r="F30" i="3" l="1"/>
  <c r="I30" i="3"/>
  <c r="J30" i="3"/>
  <c r="M30" i="3"/>
  <c r="N30" i="3" s="1"/>
  <c r="V30" i="3"/>
  <c r="AE30" i="3"/>
  <c r="W30" i="3" l="1"/>
  <c r="L30" i="3"/>
  <c r="U30" i="3" l="1"/>
  <c r="D31" i="3" s="1"/>
  <c r="AG31" i="3"/>
  <c r="AH31" i="3"/>
  <c r="Y29" i="3"/>
  <c r="E31" i="3" l="1"/>
  <c r="H31" i="3" s="1"/>
  <c r="K31" i="3" s="1"/>
  <c r="G31" i="3"/>
  <c r="F31" i="3" l="1"/>
  <c r="V31" i="3"/>
  <c r="AE31" i="3"/>
  <c r="I31" i="3"/>
  <c r="J31" i="3"/>
  <c r="M31" i="3"/>
  <c r="N31" i="3" s="1"/>
  <c r="L31" i="3" l="1"/>
  <c r="W31" i="3"/>
  <c r="AG32" i="3" l="1"/>
  <c r="AH32" i="3"/>
  <c r="U31" i="3"/>
  <c r="E32" i="3" s="1"/>
  <c r="H32" i="3" s="1"/>
  <c r="Y30" i="3"/>
  <c r="D32" i="3" l="1"/>
  <c r="F32" i="3" s="1"/>
  <c r="K32" i="3"/>
  <c r="G32" i="3" l="1"/>
  <c r="I32" i="3" s="1"/>
  <c r="V32" i="3"/>
  <c r="AE32" i="3"/>
  <c r="M32" i="3" l="1"/>
  <c r="N32" i="3" s="1"/>
  <c r="J32" i="3"/>
  <c r="L32" i="3" s="1"/>
  <c r="W32" i="3"/>
  <c r="AH33" i="3" l="1"/>
  <c r="AG33" i="3"/>
  <c r="U32" i="3"/>
  <c r="D33" i="3" s="1"/>
  <c r="Y31" i="3"/>
  <c r="E33" i="3" l="1"/>
  <c r="H33" i="3" s="1"/>
  <c r="K33" i="3" s="1"/>
  <c r="G33" i="3"/>
  <c r="F33" i="3" l="1"/>
  <c r="I33" i="3"/>
  <c r="J33" i="3"/>
  <c r="M33" i="3"/>
  <c r="N33" i="3" s="1"/>
  <c r="V33" i="3"/>
  <c r="AE33" i="3"/>
  <c r="W33" i="3" l="1"/>
  <c r="L33" i="3"/>
  <c r="AH34" i="3" l="1"/>
  <c r="AG34" i="3"/>
  <c r="U33" i="3"/>
  <c r="D34" i="3" s="1"/>
  <c r="Y32" i="3"/>
  <c r="G34" i="3" l="1"/>
  <c r="E34" i="3"/>
  <c r="H34" i="3" s="1"/>
  <c r="F34" i="3" l="1"/>
  <c r="I34" i="3"/>
  <c r="J34" i="3"/>
  <c r="AD34" i="3" s="1"/>
  <c r="M34" i="3"/>
  <c r="N34" i="3" s="1"/>
  <c r="K34" i="3"/>
  <c r="V34" i="3" l="1"/>
  <c r="W34" i="3" s="1"/>
  <c r="AE34" i="3"/>
  <c r="L34" i="3"/>
  <c r="U34" i="3" l="1"/>
  <c r="E35" i="3" s="1"/>
  <c r="H35" i="3" s="1"/>
  <c r="AH35" i="3"/>
  <c r="AG35" i="3"/>
  <c r="Y33" i="3"/>
  <c r="D35" i="3" l="1"/>
  <c r="G35" i="3" s="1"/>
  <c r="K35" i="3"/>
  <c r="F35" i="3" l="1"/>
  <c r="I35" i="3"/>
  <c r="J35" i="3"/>
  <c r="M35" i="3"/>
  <c r="N35" i="3" s="1"/>
  <c r="V35" i="3"/>
  <c r="AE35" i="3"/>
  <c r="W35" i="3" l="1"/>
  <c r="L35" i="3"/>
  <c r="U35" i="3" l="1"/>
  <c r="E36" i="3" s="1"/>
  <c r="H36" i="3" s="1"/>
  <c r="AG36" i="3"/>
  <c r="AH36" i="3"/>
  <c r="Y34" i="3"/>
  <c r="K36" i="3" l="1"/>
  <c r="D36" i="3"/>
  <c r="F36" i="3" l="1"/>
  <c r="G36" i="3"/>
  <c r="V36" i="3"/>
  <c r="AE36" i="3"/>
  <c r="I36" i="3" l="1"/>
  <c r="W36" i="3" s="1"/>
  <c r="J36" i="3"/>
  <c r="M36" i="3"/>
  <c r="N36" i="3" s="1"/>
  <c r="L36" i="3" l="1"/>
  <c r="AH37" i="3" l="1"/>
  <c r="AG37" i="3"/>
  <c r="U36" i="3"/>
  <c r="E37" i="3" s="1"/>
  <c r="H37" i="3" s="1"/>
  <c r="Y35" i="3"/>
  <c r="D37" i="3" l="1"/>
  <c r="G37" i="3" s="1"/>
  <c r="K37" i="3"/>
  <c r="F37" i="3" l="1"/>
  <c r="I37" i="3"/>
  <c r="J37" i="3"/>
  <c r="M37" i="3"/>
  <c r="N37" i="3" s="1"/>
  <c r="V37" i="3"/>
  <c r="AE37" i="3"/>
  <c r="W37" i="3" l="1"/>
  <c r="L37" i="3"/>
  <c r="AH38" i="3" l="1"/>
  <c r="AG38" i="3"/>
  <c r="U37" i="3"/>
  <c r="D38" i="3" s="1"/>
  <c r="Y36" i="3"/>
  <c r="G38" i="3" l="1"/>
  <c r="E38" i="3"/>
  <c r="H38" i="3" s="1"/>
  <c r="K38" i="3" l="1"/>
  <c r="F38" i="3"/>
  <c r="I38" i="3"/>
  <c r="J38" i="3"/>
  <c r="M38" i="3"/>
  <c r="N38" i="3" s="1"/>
  <c r="L38" i="3" l="1"/>
  <c r="V38" i="3"/>
  <c r="W38" i="3" s="1"/>
  <c r="AE38" i="3"/>
  <c r="U38" i="3" l="1"/>
  <c r="D39" i="3" s="1"/>
  <c r="AG39" i="3"/>
  <c r="AH39" i="3"/>
  <c r="Y37" i="3"/>
  <c r="G39" i="3" l="1"/>
  <c r="E39" i="3"/>
  <c r="H39" i="3" s="1"/>
  <c r="F39" i="3" l="1"/>
  <c r="K39" i="3"/>
  <c r="I39" i="3"/>
  <c r="J39" i="3"/>
  <c r="M39" i="3"/>
  <c r="N39" i="3" s="1"/>
  <c r="L39" i="3" l="1"/>
  <c r="V39" i="3"/>
  <c r="W39" i="3" s="1"/>
  <c r="AE39" i="3"/>
  <c r="U39" i="3" l="1"/>
  <c r="E40" i="3" s="1"/>
  <c r="H40" i="3" s="1"/>
  <c r="AH40" i="3"/>
  <c r="AG40" i="3"/>
  <c r="Y38" i="3"/>
  <c r="D40" i="3" l="1"/>
  <c r="F40" i="3" s="1"/>
  <c r="K40" i="3"/>
  <c r="G40" i="3" l="1"/>
  <c r="M40" i="3" s="1"/>
  <c r="N40" i="3" s="1"/>
  <c r="V40" i="3"/>
  <c r="AE40" i="3"/>
  <c r="I40" i="3" l="1"/>
  <c r="W40" i="3" s="1"/>
  <c r="J40" i="3"/>
  <c r="L40" i="3" s="1"/>
  <c r="U40" i="3" l="1"/>
  <c r="D41" i="3" s="1"/>
  <c r="AG41" i="3"/>
  <c r="AH41" i="3"/>
  <c r="Y39" i="3"/>
  <c r="G41" i="3" l="1"/>
  <c r="E41" i="3"/>
  <c r="H41" i="3" s="1"/>
  <c r="F41" i="3" l="1"/>
  <c r="I41" i="3"/>
  <c r="J41" i="3"/>
  <c r="M41" i="3"/>
  <c r="N41" i="3" s="1"/>
  <c r="K41" i="3"/>
  <c r="V41" i="3" l="1"/>
  <c r="W41" i="3" s="1"/>
  <c r="AE41" i="3"/>
  <c r="L41" i="3"/>
  <c r="U41" i="3" l="1"/>
  <c r="E42" i="3" s="1"/>
  <c r="H42" i="3" s="1"/>
  <c r="AG42" i="3"/>
  <c r="AH42" i="3"/>
  <c r="Y40" i="3"/>
  <c r="D42" i="3" l="1"/>
  <c r="G42" i="3" s="1"/>
  <c r="K42" i="3"/>
  <c r="F42" i="3" l="1"/>
  <c r="V42" i="3"/>
  <c r="AE42" i="3"/>
  <c r="I42" i="3"/>
  <c r="J42" i="3"/>
  <c r="M42" i="3"/>
  <c r="N42" i="3" s="1"/>
  <c r="W42" i="3" l="1"/>
  <c r="L42" i="3"/>
  <c r="AG43" i="3" l="1"/>
  <c r="AH43" i="3"/>
  <c r="U42" i="3"/>
  <c r="E43" i="3" s="1"/>
  <c r="H43" i="3" s="1"/>
  <c r="Y41" i="3"/>
  <c r="K43" i="3" l="1"/>
  <c r="D43" i="3"/>
  <c r="V43" i="3" l="1"/>
  <c r="AE43" i="3"/>
  <c r="F43" i="3"/>
  <c r="G43" i="3"/>
  <c r="I43" i="3" l="1"/>
  <c r="W43" i="3" s="1"/>
  <c r="J43" i="3"/>
  <c r="M43" i="3"/>
  <c r="N43" i="3" s="1"/>
  <c r="L43" i="3" l="1"/>
  <c r="AG44" i="3" l="1"/>
  <c r="AH44" i="3"/>
  <c r="U43" i="3"/>
  <c r="E44" i="3" s="1"/>
  <c r="H44" i="3" s="1"/>
  <c r="Y42" i="3"/>
  <c r="D44" i="3" l="1"/>
  <c r="F44" i="3" s="1"/>
  <c r="K44" i="3"/>
  <c r="G44" i="3" l="1"/>
  <c r="J44" i="3" s="1"/>
  <c r="AD44" i="3" s="1"/>
  <c r="V44" i="3"/>
  <c r="AE44" i="3"/>
  <c r="M44" i="3" l="1"/>
  <c r="N44" i="3" s="1"/>
  <c r="I44" i="3"/>
  <c r="W44" i="3" s="1"/>
  <c r="L44" i="3"/>
  <c r="U44" i="3" l="1"/>
  <c r="E45" i="3" s="1"/>
  <c r="H45" i="3" s="1"/>
  <c r="AH45" i="3"/>
  <c r="AG45" i="3"/>
  <c r="Y43" i="3"/>
  <c r="D45" i="3" l="1"/>
  <c r="G45" i="3" s="1"/>
  <c r="K45" i="3"/>
  <c r="F45" i="3" l="1"/>
  <c r="I45" i="3"/>
  <c r="J45" i="3"/>
  <c r="M45" i="3"/>
  <c r="N45" i="3" s="1"/>
  <c r="V45" i="3"/>
  <c r="AE45" i="3"/>
  <c r="L45" i="3" l="1"/>
  <c r="W45" i="3"/>
  <c r="U45" i="3" l="1"/>
  <c r="D46" i="3" s="1"/>
  <c r="AG46" i="3"/>
  <c r="AH46" i="3"/>
  <c r="Y44" i="3"/>
  <c r="E46" i="3" l="1"/>
  <c r="H46" i="3" s="1"/>
  <c r="K46" i="3" s="1"/>
  <c r="G46" i="3"/>
  <c r="F46" i="3" l="1"/>
  <c r="I46" i="3"/>
  <c r="J46" i="3"/>
  <c r="M46" i="3"/>
  <c r="N46" i="3" s="1"/>
  <c r="V46" i="3"/>
  <c r="AE46" i="3"/>
  <c r="W46" i="3" l="1"/>
  <c r="L46" i="3"/>
  <c r="AG47" i="3" l="1"/>
  <c r="U46" i="3"/>
  <c r="D47" i="3" s="1"/>
  <c r="AH47" i="3"/>
  <c r="Y45" i="3"/>
  <c r="E47" i="3" l="1"/>
  <c r="H47" i="3" s="1"/>
  <c r="K47" i="3" s="1"/>
  <c r="G47" i="3"/>
  <c r="F47" i="3" l="1"/>
  <c r="I47" i="3"/>
  <c r="J47" i="3"/>
  <c r="M47" i="3"/>
  <c r="N47" i="3" s="1"/>
  <c r="V47" i="3"/>
  <c r="AE47" i="3"/>
  <c r="W47" i="3" l="1"/>
  <c r="L47" i="3"/>
  <c r="AG48" i="3" l="1"/>
  <c r="U47" i="3"/>
  <c r="E48" i="3" s="1"/>
  <c r="H48" i="3" s="1"/>
  <c r="AH48" i="3"/>
  <c r="Y46" i="3"/>
  <c r="K48" i="3" l="1"/>
  <c r="D48" i="3"/>
  <c r="V48" i="3" l="1"/>
  <c r="AE48" i="3"/>
  <c r="F48" i="3"/>
  <c r="G48" i="3"/>
  <c r="I48" i="3" l="1"/>
  <c r="W48" i="3" s="1"/>
  <c r="J48" i="3"/>
  <c r="M48" i="3"/>
  <c r="N48" i="3" s="1"/>
  <c r="L48" i="3" l="1"/>
  <c r="AH49" i="3" l="1"/>
  <c r="U48" i="3"/>
  <c r="E49" i="3" s="1"/>
  <c r="H49" i="3" s="1"/>
  <c r="AG49" i="3"/>
  <c r="Y47" i="3"/>
  <c r="D49" i="3" l="1"/>
  <c r="G49" i="3" s="1"/>
  <c r="K49" i="3"/>
  <c r="F49" i="3" l="1"/>
  <c r="V49" i="3"/>
  <c r="AE49" i="3"/>
  <c r="I49" i="3"/>
  <c r="J49" i="3"/>
  <c r="M49" i="3"/>
  <c r="N49" i="3" s="1"/>
  <c r="W49" i="3" l="1"/>
  <c r="L49" i="3"/>
  <c r="AG50" i="3" l="1"/>
  <c r="AH50" i="3"/>
  <c r="U49" i="3"/>
  <c r="D50" i="3" s="1"/>
  <c r="Y48" i="3"/>
  <c r="E50" i="3" l="1"/>
  <c r="H50" i="3" s="1"/>
  <c r="K50" i="3" s="1"/>
  <c r="G50" i="3"/>
  <c r="F50" i="3" l="1"/>
  <c r="I50" i="3"/>
  <c r="J50" i="3"/>
  <c r="M50" i="3"/>
  <c r="N50" i="3" s="1"/>
  <c r="V50" i="3"/>
  <c r="AE50" i="3"/>
  <c r="L50" i="3" l="1"/>
  <c r="W50" i="3"/>
  <c r="U50" i="3" l="1"/>
  <c r="D51" i="3" s="1"/>
  <c r="AH51" i="3"/>
  <c r="AG51" i="3"/>
  <c r="Y49" i="3"/>
  <c r="E51" i="3" l="1"/>
  <c r="H51" i="3" s="1"/>
  <c r="K51" i="3" s="1"/>
  <c r="G51" i="3"/>
  <c r="F51" i="3" l="1"/>
  <c r="V51" i="3"/>
  <c r="AE51" i="3"/>
  <c r="I51" i="3"/>
  <c r="J51" i="3"/>
  <c r="M51" i="3"/>
  <c r="N51" i="3" s="1"/>
  <c r="W51" i="3" l="1"/>
  <c r="L51" i="3"/>
  <c r="AH52" i="3" l="1"/>
  <c r="AG52" i="3"/>
  <c r="U51" i="3"/>
  <c r="E52" i="3" s="1"/>
  <c r="H52" i="3" s="1"/>
  <c r="Y50" i="3"/>
  <c r="D52" i="3" l="1"/>
  <c r="G52" i="3" s="1"/>
  <c r="K52" i="3"/>
  <c r="F52" i="3" l="1"/>
  <c r="V52" i="3"/>
  <c r="AE52" i="3"/>
  <c r="I52" i="3"/>
  <c r="J52" i="3"/>
  <c r="M52" i="3"/>
  <c r="N52" i="3" s="1"/>
  <c r="L52" i="3" l="1"/>
  <c r="W52" i="3"/>
  <c r="AH53" i="3" l="1"/>
  <c r="AG53" i="3"/>
  <c r="U52" i="3"/>
  <c r="E53" i="3" s="1"/>
  <c r="H53" i="3" s="1"/>
  <c r="Y51" i="3"/>
  <c r="K53" i="3" l="1"/>
  <c r="D53" i="3"/>
  <c r="V53" i="3" l="1"/>
  <c r="AE53" i="3"/>
  <c r="F53" i="3"/>
  <c r="G53" i="3"/>
  <c r="I53" i="3" l="1"/>
  <c r="W53" i="3" s="1"/>
  <c r="J53" i="3"/>
  <c r="M53" i="3"/>
  <c r="N53" i="3" s="1"/>
  <c r="L53" i="3" l="1"/>
  <c r="AH54" i="3" l="1"/>
  <c r="AG54" i="3"/>
  <c r="U53" i="3"/>
  <c r="D54" i="3" s="1"/>
  <c r="Y52" i="3"/>
  <c r="G54" i="3" l="1"/>
  <c r="E54" i="3"/>
  <c r="H54" i="3" s="1"/>
  <c r="I54" i="3" l="1"/>
  <c r="J54" i="3"/>
  <c r="M54" i="3"/>
  <c r="N54" i="3" s="1"/>
  <c r="F54" i="3"/>
  <c r="K54" i="3"/>
  <c r="L54" i="3" l="1"/>
  <c r="V54" i="3"/>
  <c r="W54" i="3" s="1"/>
  <c r="AE54" i="3"/>
  <c r="U54" i="3" l="1"/>
  <c r="D55" i="3" s="1"/>
  <c r="AG55" i="3"/>
  <c r="AH55" i="3"/>
  <c r="Y53" i="3"/>
  <c r="E55" i="3" l="1"/>
  <c r="H55" i="3" s="1"/>
  <c r="K55" i="3" s="1"/>
  <c r="G55" i="3"/>
  <c r="F55" i="3" l="1"/>
  <c r="V55" i="3"/>
  <c r="AE55" i="3"/>
  <c r="I55" i="3"/>
  <c r="J55" i="3"/>
  <c r="M55" i="3"/>
  <c r="N55" i="3" s="1"/>
  <c r="W55" i="3" l="1"/>
  <c r="L55" i="3"/>
  <c r="AH56" i="3" l="1"/>
  <c r="U55" i="3"/>
  <c r="D56" i="3" s="1"/>
  <c r="AG56" i="3"/>
  <c r="Y54" i="3"/>
  <c r="E56" i="3" l="1"/>
  <c r="H56" i="3" s="1"/>
  <c r="K56" i="3" s="1"/>
  <c r="G56" i="3"/>
  <c r="F56" i="3" l="1"/>
  <c r="I56" i="3"/>
  <c r="J56" i="3"/>
  <c r="M56" i="3"/>
  <c r="N56" i="3" s="1"/>
  <c r="V56" i="3"/>
  <c r="AE56" i="3"/>
  <c r="W56" i="3" l="1"/>
  <c r="L56" i="3"/>
  <c r="AG57" i="3" l="1"/>
  <c r="U56" i="3"/>
  <c r="D57" i="3" s="1"/>
  <c r="AH57" i="3"/>
  <c r="Y55" i="3"/>
  <c r="E57" i="3" l="1"/>
  <c r="H57" i="3" s="1"/>
  <c r="K57" i="3" s="1"/>
  <c r="G57" i="3"/>
  <c r="F57" i="3" l="1"/>
  <c r="I57" i="3"/>
  <c r="J57" i="3"/>
  <c r="M57" i="3"/>
  <c r="N57" i="3" s="1"/>
  <c r="V57" i="3"/>
  <c r="AE57" i="3"/>
  <c r="W57" i="3" l="1"/>
  <c r="L57" i="3"/>
  <c r="U57" i="3" l="1"/>
  <c r="D58" i="3" s="1"/>
  <c r="AH58" i="3"/>
  <c r="AG58" i="3"/>
  <c r="Y56" i="3"/>
  <c r="E58" i="3" l="1"/>
  <c r="H58" i="3" s="1"/>
  <c r="K58" i="3" s="1"/>
  <c r="G58" i="3"/>
  <c r="F58" i="3" l="1"/>
  <c r="V58" i="3"/>
  <c r="AE58" i="3"/>
  <c r="I58" i="3"/>
  <c r="J58" i="3"/>
  <c r="M58" i="3"/>
  <c r="N58" i="3" s="1"/>
  <c r="W58" i="3" l="1"/>
  <c r="L58" i="3"/>
  <c r="AG59" i="3" l="1"/>
  <c r="U58" i="3"/>
  <c r="E59" i="3" s="1"/>
  <c r="H59" i="3" s="1"/>
  <c r="AH59" i="3"/>
  <c r="Y57" i="3"/>
  <c r="D59" i="3" l="1"/>
  <c r="F59" i="3" s="1"/>
  <c r="K59" i="3"/>
  <c r="G59" i="3" l="1"/>
  <c r="M59" i="3" s="1"/>
  <c r="N59" i="3" s="1"/>
  <c r="V59" i="3"/>
  <c r="AE59" i="3"/>
  <c r="I59" i="3" l="1"/>
  <c r="W59" i="3" s="1"/>
  <c r="J59" i="3"/>
  <c r="L59" i="3" s="1"/>
  <c r="AH60" i="3" l="1"/>
  <c r="U59" i="3"/>
  <c r="D60" i="3" s="1"/>
  <c r="AG60" i="3"/>
  <c r="Y58" i="3"/>
  <c r="E60" i="3" l="1"/>
  <c r="H60" i="3" s="1"/>
  <c r="K60" i="3" s="1"/>
  <c r="G60" i="3"/>
  <c r="F60" i="3" l="1"/>
  <c r="I60" i="3"/>
  <c r="J60" i="3"/>
  <c r="M60" i="3"/>
  <c r="N60" i="3" s="1"/>
  <c r="V60" i="3"/>
  <c r="AE60" i="3"/>
  <c r="W60" i="3" l="1"/>
  <c r="L60" i="3"/>
  <c r="AG61" i="3" l="1"/>
  <c r="U60" i="3"/>
  <c r="D61" i="3" s="1"/>
  <c r="AH61" i="3"/>
  <c r="Y59" i="3"/>
  <c r="G61" i="3" l="1"/>
  <c r="E61" i="3"/>
  <c r="H61" i="3" s="1"/>
  <c r="F61" i="3" l="1"/>
  <c r="I61" i="3"/>
  <c r="J61" i="3"/>
  <c r="M61" i="3"/>
  <c r="N61" i="3" s="1"/>
  <c r="K61" i="3"/>
  <c r="V61" i="3" l="1"/>
  <c r="W61" i="3" s="1"/>
  <c r="AE61" i="3"/>
  <c r="L61" i="3"/>
  <c r="AG62" i="3" l="1"/>
  <c r="U61" i="3"/>
  <c r="D62" i="3" s="1"/>
  <c r="AH62" i="3"/>
  <c r="Y60" i="3"/>
  <c r="G62" i="3" l="1"/>
  <c r="E62" i="3"/>
  <c r="H62" i="3" s="1"/>
  <c r="F62" i="3" l="1"/>
  <c r="I62" i="3"/>
  <c r="J62" i="3"/>
  <c r="M62" i="3"/>
  <c r="N62" i="3" s="1"/>
  <c r="K62" i="3"/>
  <c r="V62" i="3" l="1"/>
  <c r="W62" i="3" s="1"/>
  <c r="AE62" i="3"/>
  <c r="L62" i="3"/>
  <c r="U62" i="3" l="1"/>
  <c r="E63" i="3" s="1"/>
  <c r="H63" i="3" s="1"/>
  <c r="AG63" i="3"/>
  <c r="AH63" i="3"/>
  <c r="Y61" i="3"/>
  <c r="D63" i="3" l="1"/>
  <c r="G63" i="3" s="1"/>
  <c r="K63" i="3"/>
  <c r="F63" i="3" l="1"/>
  <c r="I63" i="3"/>
  <c r="J63" i="3"/>
  <c r="M63" i="3"/>
  <c r="N63" i="3" s="1"/>
  <c r="V63" i="3"/>
  <c r="AE63" i="3"/>
  <c r="W63" i="3" l="1"/>
  <c r="L63" i="3"/>
  <c r="U63" i="3" l="1"/>
  <c r="E64" i="3" s="1"/>
  <c r="H64" i="3" s="1"/>
  <c r="AH64" i="3"/>
  <c r="AG64" i="3"/>
  <c r="Y62" i="3"/>
  <c r="D64" i="3" l="1"/>
  <c r="G64" i="3" s="1"/>
  <c r="K64" i="3"/>
  <c r="F64" i="3" l="1"/>
  <c r="V64" i="3"/>
  <c r="AE64" i="3"/>
  <c r="I64" i="3"/>
  <c r="J64" i="3"/>
  <c r="M64" i="3"/>
  <c r="N64" i="3" s="1"/>
  <c r="W64" i="3" l="1"/>
  <c r="L64" i="3"/>
  <c r="U64" i="3" l="1"/>
  <c r="E65" i="3" s="1"/>
  <c r="H65" i="3" s="1"/>
  <c r="AH65" i="3"/>
  <c r="AG65" i="3"/>
  <c r="Y63" i="3"/>
  <c r="D65" i="3" l="1"/>
  <c r="G65" i="3" s="1"/>
  <c r="K65" i="3"/>
  <c r="F65" i="3" l="1"/>
  <c r="V65" i="3"/>
  <c r="AE65" i="3"/>
  <c r="I65" i="3"/>
  <c r="J65" i="3"/>
  <c r="M65" i="3"/>
  <c r="N65" i="3" s="1"/>
  <c r="W65" i="3" l="1"/>
  <c r="L65" i="3"/>
  <c r="U65" i="3" l="1"/>
  <c r="D66" i="3" s="1"/>
  <c r="AH66" i="3"/>
  <c r="AG66" i="3"/>
  <c r="Y64" i="3"/>
  <c r="E66" i="3" l="1"/>
  <c r="H66" i="3" s="1"/>
  <c r="K66" i="3" s="1"/>
  <c r="G66" i="3"/>
  <c r="F66" i="3" l="1"/>
  <c r="I66" i="3"/>
  <c r="J66" i="3"/>
  <c r="M66" i="3"/>
  <c r="N66" i="3" s="1"/>
  <c r="V66" i="3"/>
  <c r="AE66" i="3"/>
  <c r="W66" i="3" l="1"/>
  <c r="L66" i="3"/>
  <c r="U66" i="3" l="1"/>
  <c r="D67" i="3" s="1"/>
  <c r="AH67" i="3"/>
  <c r="AG67" i="3"/>
  <c r="Y65" i="3"/>
  <c r="E67" i="3" l="1"/>
  <c r="H67" i="3" s="1"/>
  <c r="K67" i="3" s="1"/>
  <c r="G67" i="3"/>
  <c r="F67" i="3" l="1"/>
  <c r="I67" i="3"/>
  <c r="J67" i="3"/>
  <c r="M67" i="3"/>
  <c r="N67" i="3" s="1"/>
  <c r="V67" i="3"/>
  <c r="AE67" i="3"/>
  <c r="W67" i="3" l="1"/>
  <c r="L67" i="3"/>
  <c r="U67" i="3" l="1"/>
  <c r="D68" i="3" s="1"/>
  <c r="AH68" i="3"/>
  <c r="AG68" i="3"/>
  <c r="Y66" i="3"/>
  <c r="E68" i="3" l="1"/>
  <c r="H68" i="3" s="1"/>
  <c r="K68" i="3" s="1"/>
  <c r="G68" i="3"/>
  <c r="F68" i="3" l="1"/>
  <c r="I68" i="3"/>
  <c r="J68" i="3"/>
  <c r="M68" i="3"/>
  <c r="N68" i="3" s="1"/>
  <c r="V68" i="3"/>
  <c r="AE68" i="3"/>
  <c r="W68" i="3" l="1"/>
  <c r="L68" i="3"/>
  <c r="U68" i="3" l="1"/>
  <c r="D69" i="3" s="1"/>
  <c r="AH69" i="3"/>
  <c r="AG69" i="3"/>
  <c r="Y67" i="3"/>
  <c r="E69" i="3" l="1"/>
  <c r="H69" i="3" s="1"/>
  <c r="K69" i="3" s="1"/>
  <c r="G69" i="3"/>
  <c r="F69" i="3" l="1"/>
  <c r="I69" i="3"/>
  <c r="J69" i="3"/>
  <c r="M69" i="3"/>
  <c r="N69" i="3" s="1"/>
  <c r="V69" i="3"/>
  <c r="AE69" i="3"/>
  <c r="W69" i="3" l="1"/>
  <c r="L69" i="3"/>
  <c r="AH70" i="3" l="1"/>
  <c r="U69" i="3"/>
  <c r="E70" i="3" s="1"/>
  <c r="H70" i="3" s="1"/>
  <c r="AG70" i="3"/>
  <c r="Y68" i="3"/>
  <c r="D70" i="3" l="1"/>
  <c r="G70" i="3" s="1"/>
  <c r="K70" i="3"/>
  <c r="F70" i="3" l="1"/>
  <c r="I70" i="3"/>
  <c r="J70" i="3"/>
  <c r="M70" i="3"/>
  <c r="N70" i="3" s="1"/>
  <c r="V70" i="3"/>
  <c r="AE70" i="3"/>
  <c r="W70" i="3" l="1"/>
  <c r="L70" i="3"/>
  <c r="AG71" i="3" l="1"/>
  <c r="AH71" i="3"/>
  <c r="U70" i="3"/>
  <c r="E71" i="3" s="1"/>
  <c r="H71" i="3" s="1"/>
  <c r="Y69" i="3"/>
  <c r="D71" i="3" l="1"/>
  <c r="G71" i="3" s="1"/>
  <c r="K71" i="3"/>
  <c r="F71" i="3" l="1"/>
  <c r="I71" i="3"/>
  <c r="J71" i="3"/>
  <c r="M71" i="3"/>
  <c r="N71" i="3" s="1"/>
  <c r="V71" i="3"/>
  <c r="AE71" i="3"/>
  <c r="W71" i="3" l="1"/>
  <c r="L71" i="3"/>
  <c r="AH72" i="3" l="1"/>
  <c r="U71" i="3"/>
  <c r="E72" i="3" s="1"/>
  <c r="H72" i="3" s="1"/>
  <c r="AG72" i="3"/>
  <c r="Y70" i="3"/>
  <c r="D72" i="3" l="1"/>
  <c r="F72" i="3" s="1"/>
  <c r="K72" i="3"/>
  <c r="G72" i="3" l="1"/>
  <c r="M72" i="3" s="1"/>
  <c r="N72" i="3" s="1"/>
  <c r="V72" i="3"/>
  <c r="AE72" i="3"/>
  <c r="I72" i="3" l="1"/>
  <c r="W72" i="3" s="1"/>
  <c r="J72" i="3"/>
  <c r="L72" i="3" s="1"/>
  <c r="U72" i="3" l="1"/>
  <c r="D73" i="3" s="1"/>
  <c r="AG73" i="3"/>
  <c r="AH73" i="3"/>
  <c r="Y71" i="3"/>
  <c r="E73" i="3" l="1"/>
  <c r="H73" i="3" s="1"/>
  <c r="K73" i="3" s="1"/>
  <c r="G73" i="3"/>
  <c r="F73" i="3" l="1"/>
  <c r="I73" i="3"/>
  <c r="J73" i="3"/>
  <c r="M73" i="3"/>
  <c r="N73" i="3" s="1"/>
  <c r="V73" i="3"/>
  <c r="AE73" i="3"/>
  <c r="W73" i="3" l="1"/>
  <c r="L73" i="3"/>
  <c r="AG74" i="3" l="1"/>
  <c r="AH74" i="3"/>
  <c r="U73" i="3"/>
  <c r="D74" i="3" s="1"/>
  <c r="Y72" i="3"/>
  <c r="G74" i="3" l="1"/>
  <c r="E74" i="3"/>
  <c r="H74" i="3" s="1"/>
  <c r="I74" i="3" l="1"/>
  <c r="J74" i="3"/>
  <c r="M74" i="3"/>
  <c r="N74" i="3" s="1"/>
  <c r="K74" i="3"/>
  <c r="F74" i="3"/>
  <c r="V74" i="3" l="1"/>
  <c r="W74" i="3" s="1"/>
  <c r="AE74" i="3"/>
  <c r="L74" i="3"/>
  <c r="AG75" i="3" l="1"/>
  <c r="U74" i="3"/>
  <c r="E75" i="3" s="1"/>
  <c r="H75" i="3" s="1"/>
  <c r="AH75" i="3"/>
  <c r="Y73" i="3"/>
  <c r="K75" i="3" l="1"/>
  <c r="D75" i="3"/>
  <c r="V75" i="3" l="1"/>
  <c r="AE75" i="3"/>
  <c r="F75" i="3"/>
  <c r="G75" i="3"/>
  <c r="I75" i="3" l="1"/>
  <c r="W75" i="3" s="1"/>
  <c r="J75" i="3"/>
  <c r="M75" i="3"/>
  <c r="N75" i="3" s="1"/>
  <c r="L75" i="3" l="1"/>
  <c r="U75" i="3" l="1"/>
  <c r="E76" i="3" s="1"/>
  <c r="H76" i="3" s="1"/>
  <c r="AH76" i="3"/>
  <c r="AG76" i="3"/>
  <c r="Y74" i="3"/>
  <c r="D76" i="3" l="1"/>
  <c r="F76" i="3" s="1"/>
  <c r="K76" i="3"/>
  <c r="G76" i="3" l="1"/>
  <c r="I76" i="3" s="1"/>
  <c r="V76" i="3"/>
  <c r="AE76" i="3"/>
  <c r="J76" i="3" l="1"/>
  <c r="L76" i="3" s="1"/>
  <c r="M76" i="3"/>
  <c r="N76" i="3" s="1"/>
  <c r="W76" i="3"/>
  <c r="U76" i="3" l="1"/>
  <c r="D77" i="3" s="1"/>
  <c r="AH77" i="3"/>
  <c r="AG77" i="3"/>
  <c r="Y75" i="3"/>
  <c r="E77" i="3" l="1"/>
  <c r="H77" i="3" s="1"/>
  <c r="K77" i="3" s="1"/>
  <c r="G77" i="3"/>
  <c r="F77" i="3" l="1"/>
  <c r="I77" i="3"/>
  <c r="J77" i="3"/>
  <c r="M77" i="3"/>
  <c r="N77" i="3" s="1"/>
  <c r="V77" i="3"/>
  <c r="AE77" i="3"/>
  <c r="W77" i="3" l="1"/>
  <c r="L77" i="3"/>
  <c r="AH78" i="3" l="1"/>
  <c r="U77" i="3"/>
  <c r="D78" i="3" s="1"/>
  <c r="AG78" i="3"/>
  <c r="Y76" i="3"/>
  <c r="E78" i="3" l="1"/>
  <c r="H78" i="3" s="1"/>
  <c r="K78" i="3" s="1"/>
  <c r="G78" i="3"/>
  <c r="F78" i="3" l="1"/>
  <c r="I78" i="3"/>
  <c r="J78" i="3"/>
  <c r="M78" i="3"/>
  <c r="N78" i="3" s="1"/>
  <c r="V78" i="3"/>
  <c r="AE78" i="3"/>
  <c r="W78" i="3" l="1"/>
  <c r="L78" i="3"/>
  <c r="U78" i="3" l="1"/>
  <c r="E79" i="3" s="1"/>
  <c r="H79" i="3" s="1"/>
  <c r="AH79" i="3"/>
  <c r="AG79" i="3"/>
  <c r="Y77" i="3"/>
  <c r="D79" i="3" l="1"/>
  <c r="G79" i="3" s="1"/>
  <c r="K79" i="3"/>
  <c r="F79" i="3" l="1"/>
  <c r="I79" i="3"/>
  <c r="J79" i="3"/>
  <c r="M79" i="3"/>
  <c r="N79" i="3" s="1"/>
  <c r="V79" i="3"/>
  <c r="AE79" i="3"/>
  <c r="W79" i="3" l="1"/>
  <c r="L79" i="3"/>
  <c r="AH80" i="3" l="1"/>
  <c r="AG80" i="3"/>
  <c r="U79" i="3"/>
  <c r="E80" i="3" s="1"/>
  <c r="H80" i="3" s="1"/>
  <c r="Y78" i="3"/>
  <c r="D80" i="3" l="1"/>
  <c r="F80" i="3" s="1"/>
  <c r="K80" i="3"/>
  <c r="G80" i="3" l="1"/>
  <c r="I80" i="3" s="1"/>
  <c r="V80" i="3"/>
  <c r="AE80" i="3"/>
  <c r="J80" i="3" l="1"/>
  <c r="L80" i="3" s="1"/>
  <c r="M80" i="3"/>
  <c r="N80" i="3" s="1"/>
  <c r="W80" i="3"/>
  <c r="U80" i="3" l="1"/>
  <c r="E81" i="3" s="1"/>
  <c r="H81" i="3" s="1"/>
  <c r="AG81" i="3"/>
  <c r="AH81" i="3"/>
  <c r="Y79" i="3"/>
  <c r="D81" i="3" l="1"/>
  <c r="G81" i="3" s="1"/>
  <c r="K81" i="3"/>
  <c r="F81" i="3" l="1"/>
  <c r="I81" i="3"/>
  <c r="J81" i="3"/>
  <c r="M81" i="3"/>
  <c r="N81" i="3" s="1"/>
  <c r="V81" i="3"/>
  <c r="AE81" i="3"/>
  <c r="W81" i="3" l="1"/>
  <c r="L81" i="3"/>
  <c r="AH82" i="3" l="1"/>
  <c r="AG82" i="3"/>
  <c r="U81" i="3"/>
  <c r="E82" i="3" s="1"/>
  <c r="H82" i="3" s="1"/>
  <c r="Y80" i="3"/>
  <c r="D82" i="3" l="1"/>
  <c r="G82" i="3" s="1"/>
  <c r="K82" i="3"/>
  <c r="F82" i="3" l="1"/>
  <c r="I82" i="3"/>
  <c r="J82" i="3"/>
  <c r="M82" i="3"/>
  <c r="N82" i="3" s="1"/>
  <c r="V82" i="3"/>
  <c r="AE82" i="3"/>
  <c r="W82" i="3" l="1"/>
  <c r="L82" i="3"/>
  <c r="AG83" i="3" l="1"/>
  <c r="U82" i="3"/>
  <c r="D83" i="3" s="1"/>
  <c r="AH83" i="3"/>
  <c r="Y81" i="3"/>
  <c r="E83" i="3" l="1"/>
  <c r="H83" i="3" s="1"/>
  <c r="K83" i="3" s="1"/>
  <c r="G83" i="3"/>
  <c r="F83" i="3" l="1"/>
  <c r="I83" i="3"/>
  <c r="J83" i="3"/>
  <c r="M83" i="3"/>
  <c r="N83" i="3" s="1"/>
  <c r="V83" i="3"/>
  <c r="AE83" i="3"/>
  <c r="W83" i="3" l="1"/>
  <c r="L83" i="3"/>
  <c r="AG84" i="3" l="1"/>
  <c r="AH84" i="3"/>
  <c r="U83" i="3"/>
  <c r="D84" i="3" s="1"/>
  <c r="Y82" i="3"/>
  <c r="G84" i="3" l="1"/>
  <c r="E84" i="3"/>
  <c r="H84" i="3" s="1"/>
  <c r="K84" i="3" l="1"/>
  <c r="I84" i="3"/>
  <c r="J84" i="3"/>
  <c r="M84" i="3"/>
  <c r="N84" i="3" s="1"/>
  <c r="F84" i="3"/>
  <c r="L84" i="3" l="1"/>
  <c r="V84" i="3"/>
  <c r="W84" i="3" s="1"/>
  <c r="AE84" i="3"/>
  <c r="AH85" i="3" l="1"/>
  <c r="AG85" i="3"/>
  <c r="U84" i="3"/>
  <c r="D85" i="3" s="1"/>
  <c r="Y83" i="3"/>
  <c r="E85" i="3" l="1"/>
  <c r="H85" i="3" s="1"/>
  <c r="K85" i="3" s="1"/>
  <c r="G85" i="3"/>
  <c r="F85" i="3" l="1"/>
  <c r="I85" i="3"/>
  <c r="J85" i="3"/>
  <c r="M85" i="3"/>
  <c r="N85" i="3" s="1"/>
  <c r="V85" i="3"/>
  <c r="AE85" i="3"/>
  <c r="W85" i="3" l="1"/>
  <c r="L85" i="3"/>
  <c r="AH86" i="3" l="1"/>
  <c r="AG86" i="3"/>
  <c r="U85" i="3"/>
  <c r="E86" i="3" s="1"/>
  <c r="H86" i="3" s="1"/>
  <c r="Y84" i="3"/>
  <c r="D86" i="3" l="1"/>
  <c r="F86" i="3" s="1"/>
  <c r="K86" i="3"/>
  <c r="G86" i="3" l="1"/>
  <c r="M86" i="3" s="1"/>
  <c r="N86" i="3" s="1"/>
  <c r="V86" i="3"/>
  <c r="AE86" i="3"/>
  <c r="I86" i="3" l="1"/>
  <c r="W86" i="3" s="1"/>
  <c r="J86" i="3"/>
  <c r="L86" i="3" s="1"/>
  <c r="U86" i="3" l="1"/>
  <c r="E87" i="3" s="1"/>
  <c r="H87" i="3" s="1"/>
  <c r="AH87" i="3"/>
  <c r="AG87" i="3"/>
  <c r="Y85" i="3"/>
  <c r="D87" i="3" l="1"/>
  <c r="G87" i="3" s="1"/>
  <c r="K87" i="3"/>
  <c r="F87" i="3" l="1"/>
  <c r="V87" i="3"/>
  <c r="AE87" i="3"/>
  <c r="I87" i="3"/>
  <c r="J87" i="3"/>
  <c r="M87" i="3"/>
  <c r="N87" i="3" s="1"/>
  <c r="L87" i="3" l="1"/>
  <c r="W87" i="3"/>
  <c r="U87" i="3" l="1"/>
  <c r="E88" i="3" s="1"/>
  <c r="H88" i="3" s="1"/>
  <c r="AG88" i="3"/>
  <c r="AH88" i="3"/>
  <c r="Y86" i="3"/>
  <c r="D88" i="3" l="1"/>
  <c r="G88" i="3" s="1"/>
  <c r="K88" i="3"/>
  <c r="F88" i="3" l="1"/>
  <c r="I88" i="3"/>
  <c r="J88" i="3"/>
  <c r="M88" i="3"/>
  <c r="N88" i="3" s="1"/>
  <c r="V88" i="3"/>
  <c r="AE88" i="3"/>
  <c r="W88" i="3" l="1"/>
  <c r="L88" i="3"/>
  <c r="AH89" i="3" l="1"/>
  <c r="U88" i="3"/>
  <c r="E89" i="3" s="1"/>
  <c r="H89" i="3" s="1"/>
  <c r="AG89" i="3"/>
  <c r="Y87" i="3"/>
  <c r="K89" i="3" l="1"/>
  <c r="D89" i="3"/>
  <c r="V89" i="3" l="1"/>
  <c r="AE89" i="3"/>
  <c r="F89" i="3"/>
  <c r="G89" i="3"/>
  <c r="I89" i="3" l="1"/>
  <c r="W89" i="3" s="1"/>
  <c r="J89" i="3"/>
  <c r="M89" i="3"/>
  <c r="N89" i="3" s="1"/>
  <c r="L89" i="3" l="1"/>
  <c r="U89" i="3" l="1"/>
  <c r="D90" i="3" s="1"/>
  <c r="AH90" i="3"/>
  <c r="AG90" i="3"/>
  <c r="Y88" i="3"/>
  <c r="G90" i="3" l="1"/>
  <c r="E90" i="3"/>
  <c r="H90" i="3" s="1"/>
  <c r="F90" i="3" l="1"/>
  <c r="I90" i="3"/>
  <c r="J90" i="3"/>
  <c r="M90" i="3"/>
  <c r="N90" i="3" s="1"/>
  <c r="K90" i="3"/>
  <c r="V90" i="3" l="1"/>
  <c r="W90" i="3" s="1"/>
  <c r="AE90" i="3"/>
  <c r="L90" i="3"/>
  <c r="AG91" i="3" l="1"/>
  <c r="AH91" i="3"/>
  <c r="U90" i="3"/>
  <c r="D91" i="3" s="1"/>
  <c r="Y89" i="3"/>
  <c r="G91" i="3" l="1"/>
  <c r="E91" i="3"/>
  <c r="H91" i="3" s="1"/>
  <c r="F91" i="3" l="1"/>
  <c r="I91" i="3"/>
  <c r="J91" i="3"/>
  <c r="M91" i="3"/>
  <c r="N91" i="3" s="1"/>
  <c r="K91" i="3"/>
  <c r="V91" i="3" l="1"/>
  <c r="W91" i="3" s="1"/>
  <c r="AE91" i="3"/>
  <c r="L91" i="3"/>
  <c r="AH92" i="3" l="1"/>
  <c r="AG92" i="3"/>
  <c r="U91" i="3"/>
  <c r="D92" i="3" s="1"/>
  <c r="Y90" i="3"/>
  <c r="G92" i="3" l="1"/>
  <c r="E92" i="3"/>
  <c r="H92" i="3" s="1"/>
  <c r="F92" i="3" l="1"/>
  <c r="I92" i="3"/>
  <c r="J92" i="3"/>
  <c r="M92" i="3"/>
  <c r="N92" i="3" s="1"/>
  <c r="K92" i="3"/>
  <c r="V92" i="3" l="1"/>
  <c r="W92" i="3" s="1"/>
  <c r="AE92" i="3"/>
  <c r="L92" i="3"/>
  <c r="U92" i="3" l="1"/>
  <c r="D93" i="3" s="1"/>
  <c r="AH93" i="3"/>
  <c r="AG93" i="3"/>
  <c r="Y91" i="3"/>
  <c r="E93" i="3" l="1"/>
  <c r="H93" i="3" s="1"/>
  <c r="K93" i="3" s="1"/>
  <c r="G93" i="3"/>
  <c r="F93" i="3" l="1"/>
  <c r="I93" i="3"/>
  <c r="J93" i="3"/>
  <c r="M93" i="3"/>
  <c r="N93" i="3" s="1"/>
  <c r="V93" i="3"/>
  <c r="AE93" i="3"/>
  <c r="W93" i="3" l="1"/>
  <c r="L93" i="3"/>
  <c r="AG94" i="3" l="1"/>
  <c r="AH94" i="3"/>
  <c r="U93" i="3"/>
  <c r="D94" i="3" s="1"/>
  <c r="Y92" i="3"/>
  <c r="E94" i="3" l="1"/>
  <c r="H94" i="3" s="1"/>
  <c r="K94" i="3" s="1"/>
  <c r="G94" i="3"/>
  <c r="F94" i="3" l="1"/>
  <c r="I94" i="3"/>
  <c r="J94" i="3"/>
  <c r="M94" i="3"/>
  <c r="N94" i="3" s="1"/>
  <c r="V94" i="3"/>
  <c r="AE94" i="3"/>
  <c r="L94" i="3" l="1"/>
  <c r="W94" i="3"/>
  <c r="U94" i="3" l="1"/>
  <c r="D95" i="3" s="1"/>
  <c r="AG95" i="3"/>
  <c r="AH95" i="3"/>
  <c r="Y93" i="3"/>
  <c r="E95" i="3" l="1"/>
  <c r="H95" i="3" s="1"/>
  <c r="K95" i="3" s="1"/>
  <c r="G95" i="3"/>
  <c r="F95" i="3" l="1"/>
  <c r="I95" i="3"/>
  <c r="J95" i="3"/>
  <c r="M95" i="3"/>
  <c r="N95" i="3" s="1"/>
  <c r="V95" i="3"/>
  <c r="AE95" i="3"/>
  <c r="W95" i="3" l="1"/>
  <c r="L95" i="3"/>
  <c r="AG96" i="3" l="1"/>
  <c r="AH96" i="3"/>
  <c r="U95" i="3"/>
  <c r="D96" i="3" s="1"/>
  <c r="Y94" i="3"/>
  <c r="G96" i="3" l="1"/>
  <c r="E96" i="3"/>
  <c r="H96" i="3" s="1"/>
  <c r="F96" i="3" l="1"/>
  <c r="I96" i="3"/>
  <c r="J96" i="3"/>
  <c r="M96" i="3"/>
  <c r="N96" i="3" s="1"/>
  <c r="K96" i="3"/>
  <c r="L96" i="3" l="1"/>
  <c r="V96" i="3"/>
  <c r="W96" i="3" s="1"/>
  <c r="AE96" i="3"/>
  <c r="AG97" i="3" l="1"/>
  <c r="AH97" i="3"/>
  <c r="U96" i="3"/>
  <c r="E97" i="3" s="1"/>
  <c r="H97" i="3" s="1"/>
  <c r="Y95" i="3"/>
  <c r="K97" i="3" l="1"/>
  <c r="D97" i="3"/>
  <c r="V97" i="3" l="1"/>
  <c r="AE97" i="3"/>
  <c r="F97" i="3"/>
  <c r="G97" i="3"/>
  <c r="I97" i="3" l="1"/>
  <c r="W97" i="3" s="1"/>
  <c r="J97" i="3"/>
  <c r="M97" i="3"/>
  <c r="N97" i="3" s="1"/>
  <c r="L97" i="3" l="1"/>
  <c r="U97" i="3" l="1"/>
  <c r="D98" i="3" s="1"/>
  <c r="AH98" i="3"/>
  <c r="AG98" i="3"/>
  <c r="Y96" i="3"/>
  <c r="G98" i="3" l="1"/>
  <c r="E98" i="3"/>
  <c r="H98" i="3" s="1"/>
  <c r="I98" i="3" l="1"/>
  <c r="J98" i="3"/>
  <c r="M98" i="3"/>
  <c r="N98" i="3" s="1"/>
  <c r="F98" i="3"/>
  <c r="K98" i="3"/>
  <c r="L98" i="3" l="1"/>
  <c r="V98" i="3"/>
  <c r="W98" i="3" s="1"/>
  <c r="AE98" i="3"/>
  <c r="AG99" i="3" l="1"/>
  <c r="AH99" i="3"/>
  <c r="U98" i="3"/>
  <c r="D99" i="3" s="1"/>
  <c r="Y97" i="3"/>
  <c r="G99" i="3" l="1"/>
  <c r="E99" i="3"/>
  <c r="H99" i="3" s="1"/>
  <c r="F99" i="3" l="1"/>
  <c r="I99" i="3"/>
  <c r="J99" i="3"/>
  <c r="M99" i="3"/>
  <c r="N99" i="3" s="1"/>
  <c r="K99" i="3"/>
  <c r="V99" i="3" l="1"/>
  <c r="W99" i="3" s="1"/>
  <c r="AE99" i="3"/>
  <c r="L99" i="3"/>
  <c r="U99" i="3" l="1"/>
  <c r="D100" i="3" s="1"/>
  <c r="AH100" i="3"/>
  <c r="AG100" i="3"/>
  <c r="Y98" i="3"/>
  <c r="E100" i="3" l="1"/>
  <c r="H100" i="3" s="1"/>
  <c r="K100" i="3" s="1"/>
  <c r="G100" i="3"/>
  <c r="F100" i="3" l="1"/>
  <c r="V100" i="3"/>
  <c r="AE100" i="3"/>
  <c r="I100" i="3"/>
  <c r="J100" i="3"/>
  <c r="M100" i="3"/>
  <c r="N100" i="3" s="1"/>
  <c r="W100" i="3" l="1"/>
  <c r="L100" i="3"/>
  <c r="AH101" i="3" l="1"/>
  <c r="U100" i="3"/>
  <c r="E101" i="3" s="1"/>
  <c r="H101" i="3" s="1"/>
  <c r="AG101" i="3"/>
  <c r="Y99" i="3"/>
  <c r="K101" i="3" l="1"/>
  <c r="D101" i="3"/>
  <c r="V101" i="3" l="1"/>
  <c r="AE101" i="3"/>
  <c r="F101" i="3"/>
  <c r="G101" i="3"/>
  <c r="I101" i="3" l="1"/>
  <c r="W101" i="3" s="1"/>
  <c r="J101" i="3"/>
  <c r="M101" i="3"/>
  <c r="N101" i="3" s="1"/>
  <c r="L101" i="3" l="1"/>
  <c r="AH102" i="3" l="1"/>
  <c r="AG102" i="3"/>
  <c r="U101" i="3"/>
  <c r="E102" i="3" s="1"/>
  <c r="H102" i="3" s="1"/>
  <c r="Y100" i="3"/>
  <c r="K102" i="3" l="1"/>
  <c r="D102" i="3"/>
  <c r="V102" i="3" l="1"/>
  <c r="AE102" i="3"/>
  <c r="F102" i="3"/>
  <c r="G102" i="3"/>
  <c r="I102" i="3" l="1"/>
  <c r="W102" i="3" s="1"/>
  <c r="J102" i="3"/>
  <c r="M102" i="3"/>
  <c r="N102" i="3" s="1"/>
  <c r="L102" i="3" l="1"/>
  <c r="AG103" i="3" l="1"/>
  <c r="AH103" i="3"/>
  <c r="U102" i="3"/>
  <c r="E103" i="3" s="1"/>
  <c r="H103" i="3" s="1"/>
  <c r="Y101" i="3"/>
  <c r="K103" i="3" l="1"/>
  <c r="D103" i="3"/>
  <c r="V103" i="3" l="1"/>
  <c r="AE103" i="3"/>
  <c r="F103" i="3"/>
  <c r="G103" i="3"/>
  <c r="I103" i="3" l="1"/>
  <c r="W103" i="3" s="1"/>
  <c r="J103" i="3"/>
  <c r="M103" i="3"/>
  <c r="N103" i="3" s="1"/>
  <c r="L103" i="3" l="1"/>
  <c r="AG104" i="3" l="1"/>
  <c r="AH104" i="3"/>
  <c r="U103" i="3"/>
  <c r="E104" i="3" s="1"/>
  <c r="H104" i="3" s="1"/>
  <c r="Y102" i="3"/>
  <c r="K104" i="3" l="1"/>
  <c r="A105" i="3" s="1"/>
  <c r="B105" i="3" s="1"/>
  <c r="D104" i="3"/>
  <c r="AA105" i="3" l="1"/>
  <c r="P105" i="3"/>
  <c r="Q105" i="3" s="1"/>
  <c r="R105" i="3" s="1"/>
  <c r="S105" i="3" s="1"/>
  <c r="AD105" i="3"/>
  <c r="Z105" i="3"/>
  <c r="AC105" i="3"/>
  <c r="V104" i="3"/>
  <c r="AE104" i="3"/>
  <c r="F104" i="3"/>
  <c r="G104" i="3"/>
  <c r="T105" i="3" l="1"/>
  <c r="I104" i="3"/>
  <c r="W104" i="3" s="1"/>
  <c r="J104" i="3"/>
  <c r="M104" i="3"/>
  <c r="N104" i="3" s="1"/>
  <c r="L104" i="3" l="1"/>
  <c r="AD104" i="3"/>
  <c r="U104" i="3" l="1"/>
  <c r="E105" i="3" s="1"/>
  <c r="H105" i="3" s="1"/>
  <c r="AG105" i="3"/>
  <c r="AH105" i="3"/>
  <c r="Y103" i="3"/>
  <c r="D105" i="3" l="1"/>
  <c r="G105" i="3" s="1"/>
  <c r="K105" i="3"/>
  <c r="A106" i="3" s="1"/>
  <c r="B106" i="3" s="1"/>
  <c r="Z106" i="3" l="1"/>
  <c r="AC106" i="3"/>
  <c r="AA106" i="3"/>
  <c r="AD106" i="3"/>
  <c r="P106" i="3"/>
  <c r="Q106" i="3" s="1"/>
  <c r="R106" i="3" s="1"/>
  <c r="S106" i="3" s="1"/>
  <c r="F105" i="3"/>
  <c r="V105" i="3"/>
  <c r="AE105" i="3"/>
  <c r="I105" i="3"/>
  <c r="J105" i="3"/>
  <c r="M105" i="3"/>
  <c r="N105" i="3" s="1"/>
  <c r="T106" i="3" l="1"/>
  <c r="W105" i="3"/>
  <c r="L105" i="3"/>
  <c r="AH106" i="3" l="1"/>
  <c r="AG106" i="3"/>
  <c r="U105" i="3"/>
  <c r="D106" i="3" s="1"/>
  <c r="Y104" i="3"/>
  <c r="E106" i="3" l="1"/>
  <c r="H106" i="3" s="1"/>
  <c r="K106" i="3" s="1"/>
  <c r="A107" i="3" s="1"/>
  <c r="B107" i="3" s="1"/>
  <c r="G106" i="3"/>
  <c r="Z107" i="3" l="1"/>
  <c r="AA107" i="3"/>
  <c r="AC107" i="3"/>
  <c r="P107" i="3"/>
  <c r="Q107" i="3" s="1"/>
  <c r="R107" i="3" s="1"/>
  <c r="S107" i="3" s="1"/>
  <c r="AD107" i="3"/>
  <c r="F106" i="3"/>
  <c r="V106" i="3"/>
  <c r="AE106" i="3"/>
  <c r="I106" i="3"/>
  <c r="J106" i="3"/>
  <c r="M106" i="3"/>
  <c r="N106" i="3" s="1"/>
  <c r="T107" i="3" l="1"/>
  <c r="W106" i="3"/>
  <c r="L106" i="3"/>
  <c r="AG107" i="3" l="1"/>
  <c r="AH107" i="3"/>
  <c r="U106" i="3"/>
  <c r="E107" i="3" s="1"/>
  <c r="H107" i="3" s="1"/>
  <c r="Y105" i="3"/>
  <c r="K107" i="3" l="1"/>
  <c r="A108" i="3" s="1"/>
  <c r="B108" i="3" s="1"/>
  <c r="D107" i="3"/>
  <c r="AA108" i="3" l="1"/>
  <c r="AC108" i="3"/>
  <c r="AD108" i="3"/>
  <c r="Z108" i="3"/>
  <c r="P108" i="3"/>
  <c r="Q108" i="3" s="1"/>
  <c r="R108" i="3" s="1"/>
  <c r="S108" i="3" s="1"/>
  <c r="V107" i="3"/>
  <c r="AE107" i="3"/>
  <c r="F107" i="3"/>
  <c r="G107" i="3"/>
  <c r="T108" i="3" l="1"/>
  <c r="I107" i="3"/>
  <c r="W107" i="3" s="1"/>
  <c r="J107" i="3"/>
  <c r="M107" i="3"/>
  <c r="N107" i="3" s="1"/>
  <c r="L107" i="3" l="1"/>
  <c r="AH108" i="3" l="1"/>
  <c r="U107" i="3"/>
  <c r="E108" i="3" s="1"/>
  <c r="H108" i="3" s="1"/>
  <c r="AG108" i="3"/>
  <c r="Y106" i="3"/>
  <c r="D108" i="3" l="1"/>
  <c r="G108" i="3" s="1"/>
  <c r="K108" i="3"/>
  <c r="A109" i="3" s="1"/>
  <c r="B109" i="3" s="1"/>
  <c r="P109" i="3" l="1"/>
  <c r="Q109" i="3" s="1"/>
  <c r="R109" i="3" s="1"/>
  <c r="S109" i="3" s="1"/>
  <c r="AA109" i="3"/>
  <c r="Z109" i="3"/>
  <c r="AD109" i="3"/>
  <c r="AC109" i="3"/>
  <c r="F108" i="3"/>
  <c r="I108" i="3"/>
  <c r="J108" i="3"/>
  <c r="M108" i="3"/>
  <c r="N108" i="3" s="1"/>
  <c r="V108" i="3"/>
  <c r="AE108" i="3"/>
  <c r="T109" i="3" l="1"/>
  <c r="W108" i="3"/>
  <c r="L108" i="3"/>
  <c r="AG109" i="3" l="1"/>
  <c r="U108" i="3"/>
  <c r="D109" i="3" s="1"/>
  <c r="AH109" i="3"/>
  <c r="Y107" i="3"/>
  <c r="E109" i="3" l="1"/>
  <c r="H109" i="3" s="1"/>
  <c r="K109" i="3" s="1"/>
  <c r="A110" i="3" s="1"/>
  <c r="B110" i="3" s="1"/>
  <c r="G109" i="3"/>
  <c r="AD110" i="3" l="1"/>
  <c r="P110" i="3"/>
  <c r="Q110" i="3" s="1"/>
  <c r="R110" i="3" s="1"/>
  <c r="S110" i="3" s="1"/>
  <c r="AA110" i="3"/>
  <c r="Z110" i="3"/>
  <c r="AC110" i="3"/>
  <c r="F109" i="3"/>
  <c r="V109" i="3"/>
  <c r="AE109" i="3"/>
  <c r="I109" i="3"/>
  <c r="J109" i="3"/>
  <c r="M109" i="3"/>
  <c r="N109" i="3" s="1"/>
  <c r="T110" i="3" l="1"/>
  <c r="L109" i="3"/>
  <c r="W109" i="3"/>
  <c r="AH110" i="3" l="1"/>
  <c r="AG110" i="3"/>
  <c r="U109" i="3"/>
  <c r="D110" i="3" s="1"/>
  <c r="Y108" i="3"/>
  <c r="E110" i="3" l="1"/>
  <c r="H110" i="3" s="1"/>
  <c r="K110" i="3" s="1"/>
  <c r="A111" i="3" s="1"/>
  <c r="B111" i="3" s="1"/>
  <c r="G110" i="3"/>
  <c r="AA111" i="3" l="1"/>
  <c r="AC111" i="3"/>
  <c r="P111" i="3"/>
  <c r="Q111" i="3" s="1"/>
  <c r="R111" i="3" s="1"/>
  <c r="S111" i="3" s="1"/>
  <c r="Z111" i="3"/>
  <c r="AD111" i="3"/>
  <c r="F110" i="3"/>
  <c r="I110" i="3"/>
  <c r="J110" i="3"/>
  <c r="M110" i="3"/>
  <c r="N110" i="3" s="1"/>
  <c r="V110" i="3"/>
  <c r="AE110" i="3"/>
  <c r="T111" i="3" l="1"/>
  <c r="W110" i="3"/>
  <c r="L110" i="3"/>
  <c r="AH111" i="3" l="1"/>
  <c r="U110" i="3"/>
  <c r="E111" i="3" s="1"/>
  <c r="H111" i="3" s="1"/>
  <c r="AG111" i="3"/>
  <c r="Y109" i="3"/>
  <c r="D111" i="3" l="1"/>
  <c r="G111" i="3" s="1"/>
  <c r="K111" i="3"/>
  <c r="A112" i="3" s="1"/>
  <c r="B112" i="3" s="1"/>
  <c r="AD112" i="3" l="1"/>
  <c r="AA112" i="3"/>
  <c r="AC112" i="3"/>
  <c r="P112" i="3"/>
  <c r="Q112" i="3" s="1"/>
  <c r="R112" i="3" s="1"/>
  <c r="S112" i="3" s="1"/>
  <c r="Z112" i="3"/>
  <c r="F111" i="3"/>
  <c r="I111" i="3"/>
  <c r="J111" i="3"/>
  <c r="M111" i="3"/>
  <c r="N111" i="3" s="1"/>
  <c r="V111" i="3"/>
  <c r="AE111" i="3"/>
  <c r="T112" i="3" l="1"/>
  <c r="W111" i="3"/>
  <c r="L111" i="3"/>
  <c r="AH112" i="3" l="1"/>
  <c r="U111" i="3"/>
  <c r="D112" i="3" s="1"/>
  <c r="AG112" i="3"/>
  <c r="Y110" i="3"/>
  <c r="E112" i="3" l="1"/>
  <c r="H112" i="3" s="1"/>
  <c r="K112" i="3" s="1"/>
  <c r="A113" i="3" s="1"/>
  <c r="B113" i="3" s="1"/>
  <c r="G112" i="3"/>
  <c r="AC113" i="3" l="1"/>
  <c r="AA113" i="3"/>
  <c r="Z113" i="3"/>
  <c r="P113" i="3"/>
  <c r="Q113" i="3" s="1"/>
  <c r="R113" i="3" s="1"/>
  <c r="S113" i="3" s="1"/>
  <c r="AD113" i="3"/>
  <c r="F112" i="3"/>
  <c r="V112" i="3"/>
  <c r="AE112" i="3"/>
  <c r="I112" i="3"/>
  <c r="J112" i="3"/>
  <c r="M112" i="3"/>
  <c r="N112" i="3" s="1"/>
  <c r="T113" i="3" l="1"/>
  <c r="W112" i="3"/>
  <c r="L112" i="3"/>
  <c r="AG113" i="3" l="1"/>
  <c r="U112" i="3"/>
  <c r="E113" i="3" s="1"/>
  <c r="H113" i="3" s="1"/>
  <c r="AH113" i="3"/>
  <c r="Y111" i="3"/>
  <c r="D113" i="3" l="1"/>
  <c r="G113" i="3" s="1"/>
  <c r="K113" i="3"/>
  <c r="A114" i="3" s="1"/>
  <c r="B114" i="3" s="1"/>
  <c r="Z114" i="3" l="1"/>
  <c r="AC114" i="3"/>
  <c r="AA114" i="3"/>
  <c r="P114" i="3"/>
  <c r="Q114" i="3" s="1"/>
  <c r="R114" i="3" s="1"/>
  <c r="S114" i="3" s="1"/>
  <c r="F113" i="3"/>
  <c r="V113" i="3"/>
  <c r="AE113" i="3"/>
  <c r="I113" i="3"/>
  <c r="J113" i="3"/>
  <c r="M113" i="3"/>
  <c r="N113" i="3" s="1"/>
  <c r="T114" i="3" l="1"/>
  <c r="W113" i="3"/>
  <c r="L113" i="3"/>
  <c r="AH114" i="3" l="1"/>
  <c r="U113" i="3"/>
  <c r="D114" i="3" s="1"/>
  <c r="AG114" i="3"/>
  <c r="Y112" i="3"/>
  <c r="E114" i="3" l="1"/>
  <c r="H114" i="3" s="1"/>
  <c r="K114" i="3" s="1"/>
  <c r="A115" i="3" s="1"/>
  <c r="B115" i="3" s="1"/>
  <c r="G114" i="3"/>
  <c r="AA115" i="3" l="1"/>
  <c r="AD115" i="3"/>
  <c r="P115" i="3"/>
  <c r="Q115" i="3" s="1"/>
  <c r="R115" i="3" s="1"/>
  <c r="S115" i="3" s="1"/>
  <c r="Z115" i="3"/>
  <c r="AC115" i="3"/>
  <c r="F114" i="3"/>
  <c r="I114" i="3"/>
  <c r="J114" i="3"/>
  <c r="AD114" i="3" s="1"/>
  <c r="M114" i="3"/>
  <c r="N114" i="3" s="1"/>
  <c r="V114" i="3"/>
  <c r="AE114" i="3"/>
  <c r="T115" i="3" l="1"/>
  <c r="W114" i="3"/>
  <c r="L114" i="3"/>
  <c r="U114" i="3" l="1"/>
  <c r="D115" i="3" s="1"/>
  <c r="AH115" i="3"/>
  <c r="AG115" i="3"/>
  <c r="Y113" i="3"/>
  <c r="G115" i="3" l="1"/>
  <c r="E115" i="3"/>
  <c r="H115" i="3" s="1"/>
  <c r="F115" i="3" l="1"/>
  <c r="I115" i="3"/>
  <c r="J115" i="3"/>
  <c r="M115" i="3"/>
  <c r="N115" i="3" s="1"/>
  <c r="K115" i="3"/>
  <c r="A116" i="3" s="1"/>
  <c r="B116" i="3" s="1"/>
  <c r="AD116" i="3" l="1"/>
  <c r="AA116" i="3"/>
  <c r="AC116" i="3"/>
  <c r="Z116" i="3"/>
  <c r="P116" i="3"/>
  <c r="Q116" i="3" s="1"/>
  <c r="R116" i="3" s="1"/>
  <c r="S116" i="3" s="1"/>
  <c r="V115" i="3"/>
  <c r="W115" i="3" s="1"/>
  <c r="AE115" i="3"/>
  <c r="L115" i="3"/>
  <c r="T116" i="3" l="1"/>
  <c r="AH116" i="3" s="1"/>
  <c r="U115" i="3"/>
  <c r="Y114" i="3"/>
  <c r="AG116" i="3" l="1"/>
  <c r="E116" i="3"/>
  <c r="H116" i="3" s="1"/>
  <c r="K116" i="3" s="1"/>
  <c r="A117" i="3" s="1"/>
  <c r="B117" i="3" s="1"/>
  <c r="D116" i="3"/>
  <c r="P117" i="3" l="1"/>
  <c r="Q117" i="3" s="1"/>
  <c r="R117" i="3" s="1"/>
  <c r="S117" i="3" s="1"/>
  <c r="AC117" i="3"/>
  <c r="AD117" i="3"/>
  <c r="AA117" i="3"/>
  <c r="Z117" i="3"/>
  <c r="V116" i="3"/>
  <c r="AE116" i="3"/>
  <c r="F116" i="3"/>
  <c r="G116" i="3"/>
  <c r="T117" i="3" l="1"/>
  <c r="I116" i="3"/>
  <c r="W116" i="3" s="1"/>
  <c r="J116" i="3"/>
  <c r="M116" i="3"/>
  <c r="N116" i="3" s="1"/>
  <c r="L116" i="3" l="1"/>
  <c r="U116" i="3" l="1"/>
  <c r="D117" i="3" s="1"/>
  <c r="AH117" i="3"/>
  <c r="AG117" i="3"/>
  <c r="Y115" i="3"/>
  <c r="E117" i="3" l="1"/>
  <c r="H117" i="3" s="1"/>
  <c r="K117" i="3" s="1"/>
  <c r="A118" i="3" s="1"/>
  <c r="B118" i="3" s="1"/>
  <c r="G117" i="3"/>
  <c r="P118" i="3" l="1"/>
  <c r="Q118" i="3" s="1"/>
  <c r="R118" i="3" s="1"/>
  <c r="S118" i="3" s="1"/>
  <c r="Z118" i="3"/>
  <c r="AA118" i="3"/>
  <c r="AC118" i="3"/>
  <c r="AD118" i="3"/>
  <c r="F117" i="3"/>
  <c r="I117" i="3"/>
  <c r="J117" i="3"/>
  <c r="M117" i="3"/>
  <c r="N117" i="3" s="1"/>
  <c r="V117" i="3"/>
  <c r="AE117" i="3"/>
  <c r="T118" i="3" l="1"/>
  <c r="W117" i="3"/>
  <c r="L117" i="3"/>
  <c r="AG118" i="3" l="1"/>
  <c r="U117" i="3"/>
  <c r="D118" i="3" s="1"/>
  <c r="AH118" i="3"/>
  <c r="Y116" i="3"/>
  <c r="E118" i="3" l="1"/>
  <c r="H118" i="3" s="1"/>
  <c r="K118" i="3" s="1"/>
  <c r="A119" i="3" s="1"/>
  <c r="B119" i="3" s="1"/>
  <c r="G118" i="3"/>
  <c r="AD119" i="3" l="1"/>
  <c r="Z119" i="3"/>
  <c r="AA119" i="3"/>
  <c r="P119" i="3"/>
  <c r="Q119" i="3" s="1"/>
  <c r="R119" i="3" s="1"/>
  <c r="S119" i="3" s="1"/>
  <c r="AC119" i="3"/>
  <c r="F118" i="3"/>
  <c r="I118" i="3"/>
  <c r="J118" i="3"/>
  <c r="M118" i="3"/>
  <c r="N118" i="3" s="1"/>
  <c r="V118" i="3"/>
  <c r="AE118" i="3"/>
  <c r="T119" i="3" l="1"/>
  <c r="L118" i="3"/>
  <c r="W118" i="3"/>
  <c r="U118" i="3" l="1"/>
  <c r="E119" i="3" s="1"/>
  <c r="H119" i="3" s="1"/>
  <c r="AG119" i="3"/>
  <c r="AH119" i="3"/>
  <c r="Y117" i="3"/>
  <c r="D119" i="3" l="1"/>
  <c r="F119" i="3" s="1"/>
  <c r="K119" i="3"/>
  <c r="A120" i="3" s="1"/>
  <c r="B120" i="3" s="1"/>
  <c r="P120" i="3" l="1"/>
  <c r="Q120" i="3" s="1"/>
  <c r="R120" i="3" s="1"/>
  <c r="S120" i="3" s="1"/>
  <c r="Z120" i="3"/>
  <c r="AA120" i="3"/>
  <c r="AC120" i="3"/>
  <c r="AD120" i="3"/>
  <c r="G119" i="3"/>
  <c r="M119" i="3" s="1"/>
  <c r="N119" i="3" s="1"/>
  <c r="V119" i="3"/>
  <c r="AE119" i="3"/>
  <c r="T120" i="3" l="1"/>
  <c r="I119" i="3"/>
  <c r="W119" i="3" s="1"/>
  <c r="J119" i="3"/>
  <c r="L119" i="3" s="1"/>
  <c r="AH120" i="3" l="1"/>
  <c r="U119" i="3"/>
  <c r="D120" i="3" s="1"/>
  <c r="AG120" i="3"/>
  <c r="Y118" i="3"/>
  <c r="E120" i="3" l="1"/>
  <c r="H120" i="3" s="1"/>
  <c r="K120" i="3" s="1"/>
  <c r="A121" i="3" s="1"/>
  <c r="B121" i="3" s="1"/>
  <c r="G120" i="3"/>
  <c r="P121" i="3" l="1"/>
  <c r="Q121" i="3" s="1"/>
  <c r="R121" i="3" s="1"/>
  <c r="S121" i="3" s="1"/>
  <c r="AC121" i="3"/>
  <c r="AA121" i="3"/>
  <c r="Z121" i="3"/>
  <c r="AD121" i="3"/>
  <c r="F120" i="3"/>
  <c r="I120" i="3"/>
  <c r="J120" i="3"/>
  <c r="M120" i="3"/>
  <c r="N120" i="3" s="1"/>
  <c r="V120" i="3"/>
  <c r="AE120" i="3"/>
  <c r="T121" i="3" l="1"/>
  <c r="W120" i="3"/>
  <c r="L120" i="3"/>
  <c r="U120" i="3" l="1"/>
  <c r="E121" i="3" s="1"/>
  <c r="H121" i="3" s="1"/>
  <c r="AH121" i="3"/>
  <c r="AG121" i="3"/>
  <c r="Y119" i="3"/>
  <c r="D121" i="3" l="1"/>
  <c r="G121" i="3" s="1"/>
  <c r="K121" i="3"/>
  <c r="A122" i="3" s="1"/>
  <c r="B122" i="3" s="1"/>
  <c r="AA122" i="3" l="1"/>
  <c r="AD122" i="3"/>
  <c r="Z122" i="3"/>
  <c r="P122" i="3"/>
  <c r="Q122" i="3" s="1"/>
  <c r="R122" i="3" s="1"/>
  <c r="S122" i="3" s="1"/>
  <c r="AC122" i="3"/>
  <c r="F121" i="3"/>
  <c r="I121" i="3"/>
  <c r="J121" i="3"/>
  <c r="M121" i="3"/>
  <c r="N121" i="3" s="1"/>
  <c r="V121" i="3"/>
  <c r="AE121" i="3"/>
  <c r="T122" i="3" l="1"/>
  <c r="L121" i="3"/>
  <c r="W121" i="3"/>
  <c r="U121" i="3" l="1"/>
  <c r="D122" i="3" s="1"/>
  <c r="AG122" i="3"/>
  <c r="AH122" i="3"/>
  <c r="Y120" i="3"/>
  <c r="G122" i="3" l="1"/>
  <c r="E122" i="3"/>
  <c r="H122" i="3" s="1"/>
  <c r="F122" i="3" l="1"/>
  <c r="K122" i="3"/>
  <c r="A123" i="3" s="1"/>
  <c r="B123" i="3" s="1"/>
  <c r="I122" i="3"/>
  <c r="J122" i="3"/>
  <c r="M122" i="3"/>
  <c r="N122" i="3" s="1"/>
  <c r="P123" i="3" l="1"/>
  <c r="Q123" i="3" s="1"/>
  <c r="R123" i="3" s="1"/>
  <c r="S123" i="3" s="1"/>
  <c r="Z123" i="3"/>
  <c r="AC123" i="3"/>
  <c r="AD123" i="3"/>
  <c r="AA123" i="3"/>
  <c r="L122" i="3"/>
  <c r="V122" i="3"/>
  <c r="W122" i="3" s="1"/>
  <c r="AE122" i="3"/>
  <c r="T123" i="3" l="1"/>
  <c r="AG123" i="3" s="1"/>
  <c r="U122" i="3"/>
  <c r="Y121" i="3"/>
  <c r="AH123" i="3" l="1"/>
  <c r="D123" i="3"/>
  <c r="G123" i="3" s="1"/>
  <c r="E123" i="3"/>
  <c r="H123" i="3" s="1"/>
  <c r="I123" i="3" l="1"/>
  <c r="J123" i="3"/>
  <c r="M123" i="3"/>
  <c r="N123" i="3" s="1"/>
  <c r="K123" i="3"/>
  <c r="A124" i="3" s="1"/>
  <c r="B124" i="3" s="1"/>
  <c r="F123" i="3"/>
  <c r="AC124" i="3" l="1"/>
  <c r="AA124" i="3"/>
  <c r="Z124" i="3"/>
  <c r="P124" i="3"/>
  <c r="Q124" i="3" s="1"/>
  <c r="R124" i="3" s="1"/>
  <c r="S124" i="3" s="1"/>
  <c r="V123" i="3"/>
  <c r="W123" i="3" s="1"/>
  <c r="AE123" i="3"/>
  <c r="L123" i="3"/>
  <c r="T124" i="3" l="1"/>
  <c r="AG124" i="3" s="1"/>
  <c r="U123" i="3"/>
  <c r="Y122" i="3"/>
  <c r="AH124" i="3" l="1"/>
  <c r="D124" i="3"/>
  <c r="G124" i="3" s="1"/>
  <c r="E124" i="3"/>
  <c r="H124" i="3" s="1"/>
  <c r="K124" i="3" s="1"/>
  <c r="A125" i="3" s="1"/>
  <c r="B125" i="3" s="1"/>
  <c r="Z125" i="3" l="1"/>
  <c r="AD125" i="3"/>
  <c r="AC125" i="3"/>
  <c r="AA125" i="3"/>
  <c r="P125" i="3"/>
  <c r="Q125" i="3" s="1"/>
  <c r="R125" i="3" s="1"/>
  <c r="S125" i="3" s="1"/>
  <c r="F124" i="3"/>
  <c r="I124" i="3"/>
  <c r="J124" i="3"/>
  <c r="AD124" i="3" s="1"/>
  <c r="M124" i="3"/>
  <c r="N124" i="3" s="1"/>
  <c r="V124" i="3"/>
  <c r="AE124" i="3"/>
  <c r="T125" i="3" l="1"/>
  <c r="W124" i="3"/>
  <c r="L124" i="3"/>
  <c r="U124" i="3" l="1"/>
  <c r="E125" i="3" s="1"/>
  <c r="H125" i="3" s="1"/>
  <c r="AH125" i="3"/>
  <c r="AG125" i="3"/>
  <c r="Y123" i="3"/>
  <c r="K125" i="3" l="1"/>
  <c r="A126" i="3" s="1"/>
  <c r="B126" i="3" s="1"/>
  <c r="D125" i="3"/>
  <c r="AA126" i="3" l="1"/>
  <c r="P126" i="3"/>
  <c r="Q126" i="3" s="1"/>
  <c r="R126" i="3" s="1"/>
  <c r="S126" i="3" s="1"/>
  <c r="Z126" i="3"/>
  <c r="AD126" i="3"/>
  <c r="AC126" i="3"/>
  <c r="V125" i="3"/>
  <c r="AE125" i="3"/>
  <c r="F125" i="3"/>
  <c r="G125" i="3"/>
  <c r="T126" i="3" l="1"/>
  <c r="I125" i="3"/>
  <c r="W125" i="3" s="1"/>
  <c r="J125" i="3"/>
  <c r="M125" i="3"/>
  <c r="N125" i="3" s="1"/>
  <c r="L125" i="3" l="1"/>
  <c r="AG126" i="3" l="1"/>
  <c r="AH126" i="3"/>
  <c r="U125" i="3"/>
  <c r="D126" i="3" s="1"/>
  <c r="Y124" i="3"/>
  <c r="E126" i="3" l="1"/>
  <c r="H126" i="3" s="1"/>
  <c r="K126" i="3" s="1"/>
  <c r="A127" i="3" s="1"/>
  <c r="B127" i="3" s="1"/>
  <c r="G126" i="3"/>
  <c r="AC127" i="3" l="1"/>
  <c r="P127" i="3"/>
  <c r="Q127" i="3" s="1"/>
  <c r="R127" i="3" s="1"/>
  <c r="S127" i="3" s="1"/>
  <c r="AA127" i="3"/>
  <c r="Z127" i="3"/>
  <c r="AD127" i="3"/>
  <c r="F126" i="3"/>
  <c r="I126" i="3"/>
  <c r="J126" i="3"/>
  <c r="M126" i="3"/>
  <c r="N126" i="3" s="1"/>
  <c r="V126" i="3"/>
  <c r="AE126" i="3"/>
  <c r="T127" i="3" l="1"/>
  <c r="W126" i="3"/>
  <c r="L126" i="3"/>
  <c r="U126" i="3" l="1"/>
  <c r="E127" i="3" s="1"/>
  <c r="H127" i="3" s="1"/>
  <c r="AH127" i="3"/>
  <c r="AG127" i="3"/>
  <c r="Y125" i="3"/>
  <c r="D127" i="3" l="1"/>
  <c r="G127" i="3" s="1"/>
  <c r="K127" i="3"/>
  <c r="A128" i="3" s="1"/>
  <c r="B128" i="3" s="1"/>
  <c r="Z128" i="3" l="1"/>
  <c r="AC128" i="3"/>
  <c r="AD128" i="3"/>
  <c r="P128" i="3"/>
  <c r="Q128" i="3" s="1"/>
  <c r="R128" i="3" s="1"/>
  <c r="S128" i="3" s="1"/>
  <c r="AA128" i="3"/>
  <c r="F127" i="3"/>
  <c r="I127" i="3"/>
  <c r="J127" i="3"/>
  <c r="M127" i="3"/>
  <c r="N127" i="3" s="1"/>
  <c r="V127" i="3"/>
  <c r="AE127" i="3"/>
  <c r="T128" i="3" l="1"/>
  <c r="W127" i="3"/>
  <c r="L127" i="3"/>
  <c r="AH128" i="3" l="1"/>
  <c r="U127" i="3"/>
  <c r="E128" i="3" s="1"/>
  <c r="H128" i="3" s="1"/>
  <c r="AG128" i="3"/>
  <c r="Y126" i="3"/>
  <c r="D128" i="3" l="1"/>
  <c r="G128" i="3" s="1"/>
  <c r="K128" i="3"/>
  <c r="A129" i="3" s="1"/>
  <c r="B129" i="3" s="1"/>
  <c r="AA129" i="3" l="1"/>
  <c r="AC129" i="3"/>
  <c r="Z129" i="3"/>
  <c r="AD129" i="3"/>
  <c r="P129" i="3"/>
  <c r="Q129" i="3" s="1"/>
  <c r="R129" i="3" s="1"/>
  <c r="S129" i="3" s="1"/>
  <c r="F128" i="3"/>
  <c r="I128" i="3"/>
  <c r="J128" i="3"/>
  <c r="M128" i="3"/>
  <c r="N128" i="3" s="1"/>
  <c r="V128" i="3"/>
  <c r="AE128" i="3"/>
  <c r="T129" i="3" l="1"/>
  <c r="W128" i="3"/>
  <c r="L128" i="3"/>
  <c r="AH129" i="3" l="1"/>
  <c r="U128" i="3"/>
  <c r="D129" i="3" s="1"/>
  <c r="AG129" i="3"/>
  <c r="Y127" i="3"/>
  <c r="G129" i="3" l="1"/>
  <c r="E129" i="3"/>
  <c r="H129" i="3" s="1"/>
  <c r="F129" i="3" l="1"/>
  <c r="I129" i="3"/>
  <c r="J129" i="3"/>
  <c r="M129" i="3"/>
  <c r="N129" i="3" s="1"/>
  <c r="K129" i="3"/>
  <c r="A130" i="3" s="1"/>
  <c r="B130" i="3" s="1"/>
  <c r="AD130" i="3" l="1"/>
  <c r="P130" i="3"/>
  <c r="Q130" i="3" s="1"/>
  <c r="R130" i="3" s="1"/>
  <c r="S130" i="3" s="1"/>
  <c r="AA130" i="3"/>
  <c r="Z130" i="3"/>
  <c r="AC130" i="3"/>
  <c r="V129" i="3"/>
  <c r="W129" i="3" s="1"/>
  <c r="AE129" i="3"/>
  <c r="L129" i="3"/>
  <c r="T130" i="3" l="1"/>
  <c r="AH130" i="3" s="1"/>
  <c r="U129" i="3"/>
  <c r="Y128" i="3"/>
  <c r="AG130" i="3" l="1"/>
  <c r="E130" i="3"/>
  <c r="H130" i="3" s="1"/>
  <c r="K130" i="3" s="1"/>
  <c r="A131" i="3" s="1"/>
  <c r="B131" i="3" s="1"/>
  <c r="D130" i="3"/>
  <c r="G130" i="3" s="1"/>
  <c r="AC131" i="3" l="1"/>
  <c r="Z131" i="3"/>
  <c r="AA131" i="3"/>
  <c r="P131" i="3"/>
  <c r="Q131" i="3" s="1"/>
  <c r="R131" i="3" s="1"/>
  <c r="S131" i="3" s="1"/>
  <c r="AD131" i="3"/>
  <c r="F130" i="3"/>
  <c r="V130" i="3"/>
  <c r="AE130" i="3"/>
  <c r="I130" i="3"/>
  <c r="J130" i="3"/>
  <c r="M130" i="3"/>
  <c r="N130" i="3" s="1"/>
  <c r="T131" i="3" l="1"/>
  <c r="L130" i="3"/>
  <c r="W130" i="3"/>
  <c r="U130" i="3" l="1"/>
  <c r="E131" i="3" s="1"/>
  <c r="H131" i="3" s="1"/>
  <c r="AH131" i="3"/>
  <c r="AG131" i="3"/>
  <c r="Y129" i="3"/>
  <c r="D131" i="3" l="1"/>
  <c r="F131" i="3" s="1"/>
  <c r="K131" i="3"/>
  <c r="A132" i="3" s="1"/>
  <c r="B132" i="3" s="1"/>
  <c r="AD132" i="3" l="1"/>
  <c r="P132" i="3"/>
  <c r="Q132" i="3" s="1"/>
  <c r="R132" i="3" s="1"/>
  <c r="S132" i="3" s="1"/>
  <c r="Z132" i="3"/>
  <c r="AA132" i="3"/>
  <c r="AC132" i="3"/>
  <c r="G131" i="3"/>
  <c r="M131" i="3" s="1"/>
  <c r="N131" i="3" s="1"/>
  <c r="V131" i="3"/>
  <c r="AE131" i="3"/>
  <c r="T132" i="3" l="1"/>
  <c r="J131" i="3"/>
  <c r="L131" i="3" s="1"/>
  <c r="I131" i="3"/>
  <c r="W131" i="3" s="1"/>
  <c r="U131" i="3" l="1"/>
  <c r="E132" i="3" s="1"/>
  <c r="H132" i="3" s="1"/>
  <c r="AH132" i="3"/>
  <c r="AG132" i="3"/>
  <c r="Y130" i="3"/>
  <c r="K132" i="3" l="1"/>
  <c r="A133" i="3" s="1"/>
  <c r="B133" i="3" s="1"/>
  <c r="D132" i="3"/>
  <c r="P133" i="3" l="1"/>
  <c r="Q133" i="3" s="1"/>
  <c r="R133" i="3" s="1"/>
  <c r="S133" i="3" s="1"/>
  <c r="Z133" i="3"/>
  <c r="AC133" i="3"/>
  <c r="AD133" i="3"/>
  <c r="AA133" i="3"/>
  <c r="V132" i="3"/>
  <c r="AE132" i="3"/>
  <c r="F132" i="3"/>
  <c r="G132" i="3"/>
  <c r="T133" i="3" l="1"/>
  <c r="I132" i="3"/>
  <c r="W132" i="3" s="1"/>
  <c r="J132" i="3"/>
  <c r="M132" i="3"/>
  <c r="N132" i="3" s="1"/>
  <c r="L132" i="3" l="1"/>
  <c r="U132" i="3" l="1"/>
  <c r="D133" i="3" s="1"/>
  <c r="AH133" i="3"/>
  <c r="AG133" i="3"/>
  <c r="Y131" i="3"/>
  <c r="E133" i="3" l="1"/>
  <c r="H133" i="3" s="1"/>
  <c r="K133" i="3" s="1"/>
  <c r="A134" i="3" s="1"/>
  <c r="B134" i="3" s="1"/>
  <c r="G133" i="3"/>
  <c r="P134" i="3" l="1"/>
  <c r="Q134" i="3" s="1"/>
  <c r="R134" i="3" s="1"/>
  <c r="S134" i="3" s="1"/>
  <c r="AC134" i="3"/>
  <c r="AA134" i="3"/>
  <c r="Z134" i="3"/>
  <c r="F133" i="3"/>
  <c r="V133" i="3"/>
  <c r="AE133" i="3"/>
  <c r="I133" i="3"/>
  <c r="J133" i="3"/>
  <c r="M133" i="3"/>
  <c r="N133" i="3" s="1"/>
  <c r="T134" i="3" l="1"/>
  <c r="W133" i="3"/>
  <c r="L133" i="3"/>
  <c r="AG134" i="3" l="1"/>
  <c r="U133" i="3"/>
  <c r="D134" i="3" s="1"/>
  <c r="AH134" i="3"/>
  <c r="Y132" i="3"/>
  <c r="E134" i="3" l="1"/>
  <c r="H134" i="3" s="1"/>
  <c r="K134" i="3" s="1"/>
  <c r="A135" i="3" s="1"/>
  <c r="B135" i="3" s="1"/>
  <c r="G134" i="3"/>
  <c r="P135" i="3" l="1"/>
  <c r="Q135" i="3" s="1"/>
  <c r="R135" i="3" s="1"/>
  <c r="S135" i="3" s="1"/>
  <c r="AA135" i="3"/>
  <c r="AC135" i="3"/>
  <c r="Z135" i="3"/>
  <c r="AD135" i="3"/>
  <c r="F134" i="3"/>
  <c r="I134" i="3"/>
  <c r="J134" i="3"/>
  <c r="AD134" i="3" s="1"/>
  <c r="M134" i="3"/>
  <c r="N134" i="3" s="1"/>
  <c r="V134" i="3"/>
  <c r="AE134" i="3"/>
  <c r="T135" i="3" l="1"/>
  <c r="W134" i="3"/>
  <c r="L134" i="3"/>
  <c r="U134" i="3" l="1"/>
  <c r="E135" i="3" s="1"/>
  <c r="H135" i="3" s="1"/>
  <c r="AH135" i="3"/>
  <c r="AG135" i="3"/>
  <c r="Y133" i="3"/>
  <c r="K135" i="3" l="1"/>
  <c r="A136" i="3" s="1"/>
  <c r="B136" i="3" s="1"/>
  <c r="D135" i="3"/>
  <c r="P136" i="3" l="1"/>
  <c r="Q136" i="3" s="1"/>
  <c r="R136" i="3" s="1"/>
  <c r="S136" i="3" s="1"/>
  <c r="Z136" i="3"/>
  <c r="AD136" i="3"/>
  <c r="AC136" i="3"/>
  <c r="AA136" i="3"/>
  <c r="V135" i="3"/>
  <c r="AE135" i="3"/>
  <c r="F135" i="3"/>
  <c r="G135" i="3"/>
  <c r="T136" i="3" l="1"/>
  <c r="I135" i="3"/>
  <c r="W135" i="3" s="1"/>
  <c r="J135" i="3"/>
  <c r="M135" i="3"/>
  <c r="N135" i="3" s="1"/>
  <c r="L135" i="3" l="1"/>
  <c r="AH136" i="3" l="1"/>
  <c r="U135" i="3"/>
  <c r="D136" i="3" s="1"/>
  <c r="AG136" i="3"/>
  <c r="Y134" i="3"/>
  <c r="E136" i="3" l="1"/>
  <c r="H136" i="3" s="1"/>
  <c r="K136" i="3" s="1"/>
  <c r="A137" i="3" s="1"/>
  <c r="B137" i="3" s="1"/>
  <c r="G136" i="3"/>
  <c r="Z137" i="3" l="1"/>
  <c r="P137" i="3"/>
  <c r="Q137" i="3" s="1"/>
  <c r="R137" i="3" s="1"/>
  <c r="S137" i="3" s="1"/>
  <c r="AD137" i="3"/>
  <c r="AC137" i="3"/>
  <c r="AA137" i="3"/>
  <c r="F136" i="3"/>
  <c r="I136" i="3"/>
  <c r="J136" i="3"/>
  <c r="M136" i="3"/>
  <c r="N136" i="3" s="1"/>
  <c r="V136" i="3"/>
  <c r="AE136" i="3"/>
  <c r="T137" i="3" l="1"/>
  <c r="W136" i="3"/>
  <c r="L136" i="3"/>
  <c r="U136" i="3" l="1"/>
  <c r="D137" i="3" s="1"/>
  <c r="AH137" i="3"/>
  <c r="AG137" i="3"/>
  <c r="Y135" i="3"/>
  <c r="E137" i="3" l="1"/>
  <c r="H137" i="3" s="1"/>
  <c r="K137" i="3" s="1"/>
  <c r="A138" i="3" s="1"/>
  <c r="B138" i="3" s="1"/>
  <c r="G137" i="3"/>
  <c r="AC138" i="3" l="1"/>
  <c r="AA138" i="3"/>
  <c r="AD138" i="3"/>
  <c r="Z138" i="3"/>
  <c r="P138" i="3"/>
  <c r="Q138" i="3" s="1"/>
  <c r="R138" i="3" s="1"/>
  <c r="S138" i="3" s="1"/>
  <c r="F137" i="3"/>
  <c r="I137" i="3"/>
  <c r="J137" i="3"/>
  <c r="M137" i="3"/>
  <c r="N137" i="3" s="1"/>
  <c r="V137" i="3"/>
  <c r="AE137" i="3"/>
  <c r="T138" i="3" l="1"/>
  <c r="W137" i="3"/>
  <c r="L137" i="3"/>
  <c r="AH138" i="3" l="1"/>
  <c r="U137" i="3"/>
  <c r="E138" i="3" s="1"/>
  <c r="H138" i="3" s="1"/>
  <c r="AG138" i="3"/>
  <c r="Y136" i="3"/>
  <c r="D138" i="3" l="1"/>
  <c r="F138" i="3" s="1"/>
  <c r="K138" i="3"/>
  <c r="A139" i="3" s="1"/>
  <c r="B139" i="3" s="1"/>
  <c r="AD139" i="3" l="1"/>
  <c r="AC139" i="3"/>
  <c r="Z139" i="3"/>
  <c r="AA139" i="3"/>
  <c r="P139" i="3"/>
  <c r="Q139" i="3" s="1"/>
  <c r="R139" i="3" s="1"/>
  <c r="S139" i="3" s="1"/>
  <c r="G138" i="3"/>
  <c r="M138" i="3" s="1"/>
  <c r="N138" i="3" s="1"/>
  <c r="V138" i="3"/>
  <c r="AE138" i="3"/>
  <c r="T139" i="3" l="1"/>
  <c r="I138" i="3"/>
  <c r="W138" i="3" s="1"/>
  <c r="J138" i="3"/>
  <c r="L138" i="3" s="1"/>
  <c r="U138" i="3" l="1"/>
  <c r="E139" i="3" s="1"/>
  <c r="H139" i="3" s="1"/>
  <c r="AG139" i="3"/>
  <c r="AH139" i="3"/>
  <c r="Y137" i="3"/>
  <c r="D139" i="3" l="1"/>
  <c r="G139" i="3" s="1"/>
  <c r="K139" i="3"/>
  <c r="A140" i="3" s="1"/>
  <c r="B140" i="3" s="1"/>
  <c r="AD140" i="3" l="1"/>
  <c r="AA140" i="3"/>
  <c r="AC140" i="3"/>
  <c r="Z140" i="3"/>
  <c r="P140" i="3"/>
  <c r="Q140" i="3" s="1"/>
  <c r="R140" i="3" s="1"/>
  <c r="S140" i="3" s="1"/>
  <c r="F139" i="3"/>
  <c r="V139" i="3"/>
  <c r="AE139" i="3"/>
  <c r="I139" i="3"/>
  <c r="J139" i="3"/>
  <c r="M139" i="3"/>
  <c r="N139" i="3" s="1"/>
  <c r="T140" i="3" l="1"/>
  <c r="W139" i="3"/>
  <c r="L139" i="3"/>
  <c r="AG140" i="3" l="1"/>
  <c r="U139" i="3"/>
  <c r="E140" i="3" s="1"/>
  <c r="H140" i="3" s="1"/>
  <c r="AH140" i="3"/>
  <c r="Y138" i="3"/>
  <c r="D140" i="3" l="1"/>
  <c r="G140" i="3" s="1"/>
  <c r="K140" i="3"/>
  <c r="A141" i="3" s="1"/>
  <c r="B141" i="3" s="1"/>
  <c r="P141" i="3" l="1"/>
  <c r="Q141" i="3" s="1"/>
  <c r="R141" i="3" s="1"/>
  <c r="S141" i="3" s="1"/>
  <c r="AC141" i="3"/>
  <c r="Z141" i="3"/>
  <c r="AA141" i="3"/>
  <c r="AD141" i="3"/>
  <c r="F140" i="3"/>
  <c r="V140" i="3"/>
  <c r="AE140" i="3"/>
  <c r="I140" i="3"/>
  <c r="J140" i="3"/>
  <c r="M140" i="3"/>
  <c r="N140" i="3" s="1"/>
  <c r="T141" i="3" l="1"/>
  <c r="W140" i="3"/>
  <c r="L140" i="3"/>
  <c r="AG141" i="3" l="1"/>
  <c r="U140" i="3"/>
  <c r="D141" i="3" s="1"/>
  <c r="AH141" i="3"/>
  <c r="Y139" i="3"/>
  <c r="E141" i="3" l="1"/>
  <c r="H141" i="3" s="1"/>
  <c r="K141" i="3" s="1"/>
  <c r="A142" i="3" s="1"/>
  <c r="B142" i="3" s="1"/>
  <c r="G141" i="3"/>
  <c r="AA142" i="3" l="1"/>
  <c r="AC142" i="3"/>
  <c r="Z142" i="3"/>
  <c r="AD142" i="3"/>
  <c r="P142" i="3"/>
  <c r="Q142" i="3" s="1"/>
  <c r="R142" i="3" s="1"/>
  <c r="S142" i="3" s="1"/>
  <c r="F141" i="3"/>
  <c r="I141" i="3"/>
  <c r="J141" i="3"/>
  <c r="M141" i="3"/>
  <c r="N141" i="3" s="1"/>
  <c r="V141" i="3"/>
  <c r="AE141" i="3"/>
  <c r="T142" i="3" l="1"/>
  <c r="W141" i="3"/>
  <c r="L141" i="3"/>
  <c r="U141" i="3" l="1"/>
  <c r="D142" i="3" s="1"/>
  <c r="AH142" i="3"/>
  <c r="AG142" i="3"/>
  <c r="Y140" i="3"/>
  <c r="E142" i="3" l="1"/>
  <c r="H142" i="3" s="1"/>
  <c r="K142" i="3" s="1"/>
  <c r="A143" i="3" s="1"/>
  <c r="B143" i="3" s="1"/>
  <c r="G142" i="3"/>
  <c r="P143" i="3" l="1"/>
  <c r="Q143" i="3" s="1"/>
  <c r="R143" i="3" s="1"/>
  <c r="S143" i="3" s="1"/>
  <c r="AC143" i="3"/>
  <c r="AA143" i="3"/>
  <c r="Z143" i="3"/>
  <c r="AD143" i="3"/>
  <c r="F142" i="3"/>
  <c r="V142" i="3"/>
  <c r="AE142" i="3"/>
  <c r="I142" i="3"/>
  <c r="J142" i="3"/>
  <c r="M142" i="3"/>
  <c r="N142" i="3" s="1"/>
  <c r="T143" i="3" l="1"/>
  <c r="W142" i="3"/>
  <c r="L142" i="3"/>
  <c r="U142" i="3" l="1"/>
  <c r="E143" i="3" s="1"/>
  <c r="H143" i="3" s="1"/>
  <c r="AG143" i="3"/>
  <c r="AH143" i="3"/>
  <c r="Y141" i="3"/>
  <c r="D143" i="3" l="1"/>
  <c r="F143" i="3" s="1"/>
  <c r="K143" i="3"/>
  <c r="A144" i="3" s="1"/>
  <c r="B144" i="3" s="1"/>
  <c r="Z144" i="3" l="1"/>
  <c r="AA144" i="3"/>
  <c r="P144" i="3"/>
  <c r="Q144" i="3" s="1"/>
  <c r="R144" i="3" s="1"/>
  <c r="S144" i="3" s="1"/>
  <c r="AC144" i="3"/>
  <c r="G143" i="3"/>
  <c r="M143" i="3" s="1"/>
  <c r="N143" i="3" s="1"/>
  <c r="V143" i="3"/>
  <c r="AE143" i="3"/>
  <c r="T144" i="3" l="1"/>
  <c r="J143" i="3"/>
  <c r="L143" i="3" s="1"/>
  <c r="I143" i="3"/>
  <c r="W143" i="3" s="1"/>
  <c r="U143" i="3" l="1"/>
  <c r="D144" i="3" s="1"/>
  <c r="AG144" i="3"/>
  <c r="AH144" i="3"/>
  <c r="Y142" i="3"/>
  <c r="E144" i="3" l="1"/>
  <c r="H144" i="3" s="1"/>
  <c r="K144" i="3" s="1"/>
  <c r="A145" i="3" s="1"/>
  <c r="B145" i="3" s="1"/>
  <c r="G144" i="3"/>
  <c r="P145" i="3" l="1"/>
  <c r="Q145" i="3" s="1"/>
  <c r="R145" i="3" s="1"/>
  <c r="S145" i="3" s="1"/>
  <c r="Z145" i="3"/>
  <c r="AA145" i="3"/>
  <c r="AC145" i="3"/>
  <c r="AD145" i="3"/>
  <c r="F144" i="3"/>
  <c r="V144" i="3"/>
  <c r="AE144" i="3"/>
  <c r="I144" i="3"/>
  <c r="J144" i="3"/>
  <c r="AD144" i="3" s="1"/>
  <c r="M144" i="3"/>
  <c r="N144" i="3" s="1"/>
  <c r="T145" i="3" l="1"/>
  <c r="W144" i="3"/>
  <c r="L144" i="3"/>
  <c r="AH145" i="3" l="1"/>
  <c r="AG145" i="3"/>
  <c r="U144" i="3"/>
  <c r="D145" i="3" s="1"/>
  <c r="Y143" i="3"/>
  <c r="E145" i="3" l="1"/>
  <c r="H145" i="3" s="1"/>
  <c r="K145" i="3" s="1"/>
  <c r="A146" i="3" s="1"/>
  <c r="B146" i="3" s="1"/>
  <c r="G145" i="3"/>
  <c r="AA146" i="3" l="1"/>
  <c r="AD146" i="3"/>
  <c r="AC146" i="3"/>
  <c r="Z146" i="3"/>
  <c r="P146" i="3"/>
  <c r="Q146" i="3" s="1"/>
  <c r="R146" i="3" s="1"/>
  <c r="S146" i="3" s="1"/>
  <c r="F145" i="3"/>
  <c r="I145" i="3"/>
  <c r="J145" i="3"/>
  <c r="M145" i="3"/>
  <c r="N145" i="3" s="1"/>
  <c r="V145" i="3"/>
  <c r="AE145" i="3"/>
  <c r="T146" i="3" l="1"/>
  <c r="W145" i="3"/>
  <c r="L145" i="3"/>
  <c r="U145" i="3" l="1"/>
  <c r="D146" i="3" s="1"/>
  <c r="AH146" i="3"/>
  <c r="AG146" i="3"/>
  <c r="Y144" i="3"/>
  <c r="E146" i="3" l="1"/>
  <c r="H146" i="3" s="1"/>
  <c r="K146" i="3" s="1"/>
  <c r="A147" i="3" s="1"/>
  <c r="B147" i="3" s="1"/>
  <c r="G146" i="3"/>
  <c r="Z147" i="3" l="1"/>
  <c r="AC147" i="3"/>
  <c r="AA147" i="3"/>
  <c r="P147" i="3"/>
  <c r="Q147" i="3" s="1"/>
  <c r="R147" i="3" s="1"/>
  <c r="S147" i="3" s="1"/>
  <c r="AD147" i="3"/>
  <c r="F146" i="3"/>
  <c r="I146" i="3"/>
  <c r="J146" i="3"/>
  <c r="M146" i="3"/>
  <c r="N146" i="3" s="1"/>
  <c r="V146" i="3"/>
  <c r="AE146" i="3"/>
  <c r="T147" i="3" l="1"/>
  <c r="W146" i="3"/>
  <c r="L146" i="3"/>
  <c r="U146" i="3" l="1"/>
  <c r="D147" i="3" s="1"/>
  <c r="AG147" i="3"/>
  <c r="AH147" i="3"/>
  <c r="Y145" i="3"/>
  <c r="E147" i="3" l="1"/>
  <c r="H147" i="3" s="1"/>
  <c r="K147" i="3" s="1"/>
  <c r="A148" i="3" s="1"/>
  <c r="B148" i="3" s="1"/>
  <c r="G147" i="3"/>
  <c r="P148" i="3" l="1"/>
  <c r="Q148" i="3" s="1"/>
  <c r="R148" i="3" s="1"/>
  <c r="S148" i="3" s="1"/>
  <c r="Z148" i="3"/>
  <c r="AD148" i="3"/>
  <c r="AC148" i="3"/>
  <c r="AA148" i="3"/>
  <c r="F147" i="3"/>
  <c r="V147" i="3"/>
  <c r="AE147" i="3"/>
  <c r="I147" i="3"/>
  <c r="J147" i="3"/>
  <c r="M147" i="3"/>
  <c r="N147" i="3" s="1"/>
  <c r="T148" i="3" l="1"/>
  <c r="W147" i="3"/>
  <c r="L147" i="3"/>
  <c r="AG148" i="3" l="1"/>
  <c r="U147" i="3"/>
  <c r="E148" i="3" s="1"/>
  <c r="H148" i="3" s="1"/>
  <c r="AH148" i="3"/>
  <c r="Y146" i="3"/>
  <c r="K148" i="3" l="1"/>
  <c r="A149" i="3" s="1"/>
  <c r="B149" i="3" s="1"/>
  <c r="D148" i="3"/>
  <c r="P149" i="3" l="1"/>
  <c r="Q149" i="3" s="1"/>
  <c r="R149" i="3" s="1"/>
  <c r="S149" i="3" s="1"/>
  <c r="AD149" i="3"/>
  <c r="AC149" i="3"/>
  <c r="AA149" i="3"/>
  <c r="Z149" i="3"/>
  <c r="V148" i="3"/>
  <c r="AE148" i="3"/>
  <c r="F148" i="3"/>
  <c r="G148" i="3"/>
  <c r="T149" i="3" l="1"/>
  <c r="I148" i="3"/>
  <c r="W148" i="3" s="1"/>
  <c r="J148" i="3"/>
  <c r="M148" i="3"/>
  <c r="N148" i="3" s="1"/>
  <c r="L148" i="3" l="1"/>
  <c r="AG149" i="3" l="1"/>
  <c r="U148" i="3"/>
  <c r="D149" i="3" s="1"/>
  <c r="AH149" i="3"/>
  <c r="Y147" i="3"/>
  <c r="E149" i="3" l="1"/>
  <c r="H149" i="3" s="1"/>
  <c r="K149" i="3" s="1"/>
  <c r="A150" i="3" s="1"/>
  <c r="B150" i="3" s="1"/>
  <c r="G149" i="3"/>
  <c r="P150" i="3" l="1"/>
  <c r="Q150" i="3" s="1"/>
  <c r="R150" i="3" s="1"/>
  <c r="S150" i="3" s="1"/>
  <c r="Z150" i="3"/>
  <c r="AD150" i="3"/>
  <c r="AA150" i="3"/>
  <c r="AC150" i="3"/>
  <c r="F149" i="3"/>
  <c r="I149" i="3"/>
  <c r="J149" i="3"/>
  <c r="M149" i="3"/>
  <c r="N149" i="3" s="1"/>
  <c r="V149" i="3"/>
  <c r="AE149" i="3"/>
  <c r="T150" i="3" l="1"/>
  <c r="W149" i="3"/>
  <c r="L149" i="3"/>
  <c r="AH150" i="3" l="1"/>
  <c r="U149" i="3"/>
  <c r="D150" i="3" s="1"/>
  <c r="AG150" i="3"/>
  <c r="Y148" i="3"/>
  <c r="E150" i="3" l="1"/>
  <c r="H150" i="3" s="1"/>
  <c r="K150" i="3" s="1"/>
  <c r="A151" i="3" s="1"/>
  <c r="B151" i="3" s="1"/>
  <c r="G150" i="3"/>
  <c r="P151" i="3" l="1"/>
  <c r="Q151" i="3" s="1"/>
  <c r="R151" i="3" s="1"/>
  <c r="S151" i="3" s="1"/>
  <c r="AC151" i="3"/>
  <c r="AD151" i="3"/>
  <c r="Z151" i="3"/>
  <c r="AA151" i="3"/>
  <c r="F150" i="3"/>
  <c r="I150" i="3"/>
  <c r="J150" i="3"/>
  <c r="M150" i="3"/>
  <c r="N150" i="3" s="1"/>
  <c r="V150" i="3"/>
  <c r="AE150" i="3"/>
  <c r="T151" i="3" l="1"/>
  <c r="W150" i="3"/>
  <c r="L150" i="3"/>
  <c r="AH151" i="3" l="1"/>
  <c r="U150" i="3"/>
  <c r="E151" i="3" s="1"/>
  <c r="H151" i="3" s="1"/>
  <c r="AG151" i="3"/>
  <c r="Y149" i="3"/>
  <c r="D151" i="3" l="1"/>
  <c r="G151" i="3" s="1"/>
  <c r="K151" i="3"/>
  <c r="A152" i="3" s="1"/>
  <c r="B152" i="3" s="1"/>
  <c r="AC152" i="3" l="1"/>
  <c r="AA152" i="3"/>
  <c r="P152" i="3"/>
  <c r="Q152" i="3" s="1"/>
  <c r="R152" i="3" s="1"/>
  <c r="S152" i="3" s="1"/>
  <c r="Z152" i="3"/>
  <c r="AD152" i="3"/>
  <c r="F151" i="3"/>
  <c r="I151" i="3"/>
  <c r="J151" i="3"/>
  <c r="M151" i="3"/>
  <c r="N151" i="3" s="1"/>
  <c r="V151" i="3"/>
  <c r="AE151" i="3"/>
  <c r="T152" i="3" l="1"/>
  <c r="W151" i="3"/>
  <c r="L151" i="3"/>
  <c r="AH152" i="3" l="1"/>
  <c r="AG152" i="3"/>
  <c r="U151" i="3"/>
  <c r="E152" i="3" s="1"/>
  <c r="H152" i="3" s="1"/>
  <c r="Y150" i="3"/>
  <c r="D152" i="3" l="1"/>
  <c r="G152" i="3" s="1"/>
  <c r="K152" i="3"/>
  <c r="A153" i="3" s="1"/>
  <c r="B153" i="3" s="1"/>
  <c r="AD153" i="3" l="1"/>
  <c r="P153" i="3"/>
  <c r="Q153" i="3" s="1"/>
  <c r="R153" i="3" s="1"/>
  <c r="S153" i="3" s="1"/>
  <c r="AA153" i="3"/>
  <c r="AC153" i="3"/>
  <c r="Z153" i="3"/>
  <c r="F152" i="3"/>
  <c r="V152" i="3"/>
  <c r="AE152" i="3"/>
  <c r="I152" i="3"/>
  <c r="J152" i="3"/>
  <c r="M152" i="3"/>
  <c r="N152" i="3" s="1"/>
  <c r="T153" i="3" l="1"/>
  <c r="W152" i="3"/>
  <c r="L152" i="3"/>
  <c r="AH153" i="3" l="1"/>
  <c r="U152" i="3"/>
  <c r="D153" i="3" s="1"/>
  <c r="AG153" i="3"/>
  <c r="Y151" i="3"/>
  <c r="G153" i="3" l="1"/>
  <c r="E153" i="3"/>
  <c r="H153" i="3" s="1"/>
  <c r="K153" i="3" l="1"/>
  <c r="A154" i="3" s="1"/>
  <c r="B154" i="3" s="1"/>
  <c r="I153" i="3"/>
  <c r="J153" i="3"/>
  <c r="M153" i="3"/>
  <c r="N153" i="3" s="1"/>
  <c r="F153" i="3"/>
  <c r="P154" i="3" l="1"/>
  <c r="Q154" i="3" s="1"/>
  <c r="R154" i="3" s="1"/>
  <c r="S154" i="3" s="1"/>
  <c r="Z154" i="3"/>
  <c r="AC154" i="3"/>
  <c r="AA154" i="3"/>
  <c r="V153" i="3"/>
  <c r="W153" i="3" s="1"/>
  <c r="AE153" i="3"/>
  <c r="L153" i="3"/>
  <c r="T154" i="3" l="1"/>
  <c r="AG154" i="3" s="1"/>
  <c r="U153" i="3"/>
  <c r="Y152" i="3"/>
  <c r="AH154" i="3" l="1"/>
  <c r="D154" i="3"/>
  <c r="G154" i="3" s="1"/>
  <c r="E154" i="3"/>
  <c r="H154" i="3" s="1"/>
  <c r="K154" i="3" s="1"/>
  <c r="A155" i="3" s="1"/>
  <c r="B155" i="3" s="1"/>
  <c r="AC155" i="3" l="1"/>
  <c r="P155" i="3"/>
  <c r="Q155" i="3" s="1"/>
  <c r="R155" i="3" s="1"/>
  <c r="S155" i="3" s="1"/>
  <c r="AA155" i="3"/>
  <c r="Z155" i="3"/>
  <c r="F154" i="3"/>
  <c r="I154" i="3"/>
  <c r="J154" i="3"/>
  <c r="AD154" i="3" s="1"/>
  <c r="M154" i="3"/>
  <c r="N154" i="3" s="1"/>
  <c r="V154" i="3"/>
  <c r="AE154" i="3"/>
  <c r="T155" i="3" l="1"/>
  <c r="L154" i="3"/>
  <c r="W154" i="3"/>
  <c r="U154" i="3" l="1"/>
  <c r="E155" i="3" s="1"/>
  <c r="H155" i="3" s="1"/>
  <c r="AH155" i="3"/>
  <c r="AG155" i="3"/>
  <c r="Y153" i="3"/>
  <c r="D155" i="3" l="1"/>
  <c r="G155" i="3" s="1"/>
  <c r="K155" i="3"/>
  <c r="A156" i="3" s="1"/>
  <c r="B156" i="3" s="1"/>
  <c r="AA156" i="3" l="1"/>
  <c r="Z156" i="3"/>
  <c r="AC156" i="3"/>
  <c r="P156" i="3"/>
  <c r="Q156" i="3" s="1"/>
  <c r="R156" i="3" s="1"/>
  <c r="S156" i="3" s="1"/>
  <c r="F155" i="3"/>
  <c r="V155" i="3"/>
  <c r="AE155" i="3"/>
  <c r="I155" i="3"/>
  <c r="J155" i="3"/>
  <c r="AD155" i="3" s="1"/>
  <c r="M155" i="3"/>
  <c r="N155" i="3" s="1"/>
  <c r="T156" i="3" l="1"/>
  <c r="W155" i="3"/>
  <c r="L155" i="3"/>
  <c r="AG156" i="3" l="1"/>
  <c r="U155" i="3"/>
  <c r="D156" i="3" s="1"/>
  <c r="AH156" i="3"/>
  <c r="Y154" i="3"/>
  <c r="E156" i="3" l="1"/>
  <c r="H156" i="3" s="1"/>
  <c r="K156" i="3" s="1"/>
  <c r="A157" i="3" s="1"/>
  <c r="B157" i="3" s="1"/>
  <c r="G156" i="3"/>
  <c r="P157" i="3" l="1"/>
  <c r="Q157" i="3" s="1"/>
  <c r="R157" i="3" s="1"/>
  <c r="S157" i="3" s="1"/>
  <c r="Z157" i="3"/>
  <c r="AA157" i="3"/>
  <c r="AC157" i="3"/>
  <c r="F156" i="3"/>
  <c r="V156" i="3"/>
  <c r="AE156" i="3"/>
  <c r="I156" i="3"/>
  <c r="J156" i="3"/>
  <c r="AD156" i="3" s="1"/>
  <c r="M156" i="3"/>
  <c r="N156" i="3" s="1"/>
  <c r="T157" i="3" l="1"/>
  <c r="W156" i="3"/>
  <c r="L156" i="3"/>
  <c r="U156" i="3" l="1"/>
  <c r="E157" i="3" s="1"/>
  <c r="H157" i="3" s="1"/>
  <c r="AH157" i="3"/>
  <c r="AG157" i="3"/>
  <c r="Y155" i="3"/>
  <c r="D157" i="3" l="1"/>
  <c r="G157" i="3" s="1"/>
  <c r="K157" i="3"/>
  <c r="A158" i="3" s="1"/>
  <c r="B158" i="3" s="1"/>
  <c r="AA158" i="3" l="1"/>
  <c r="AC158" i="3"/>
  <c r="Z158" i="3"/>
  <c r="P158" i="3"/>
  <c r="Q158" i="3" s="1"/>
  <c r="R158" i="3" s="1"/>
  <c r="S158" i="3" s="1"/>
  <c r="F157" i="3"/>
  <c r="I157" i="3"/>
  <c r="J157" i="3"/>
  <c r="AD157" i="3" s="1"/>
  <c r="M157" i="3"/>
  <c r="N157" i="3" s="1"/>
  <c r="V157" i="3"/>
  <c r="AE157" i="3"/>
  <c r="T158" i="3" l="1"/>
  <c r="W157" i="3"/>
  <c r="L157" i="3"/>
  <c r="U157" i="3" l="1"/>
  <c r="E158" i="3" s="1"/>
  <c r="H158" i="3" s="1"/>
  <c r="AH158" i="3"/>
  <c r="AG158" i="3"/>
  <c r="Y156" i="3"/>
  <c r="D158" i="3" l="1"/>
  <c r="F158" i="3" s="1"/>
  <c r="K158" i="3"/>
  <c r="A159" i="3" s="1"/>
  <c r="B159" i="3" s="1"/>
  <c r="AC159" i="3" l="1"/>
  <c r="Z159" i="3"/>
  <c r="AA159" i="3"/>
  <c r="P159" i="3"/>
  <c r="Q159" i="3" s="1"/>
  <c r="R159" i="3" s="1"/>
  <c r="S159" i="3" s="1"/>
  <c r="G158" i="3"/>
  <c r="I158" i="3" s="1"/>
  <c r="V158" i="3"/>
  <c r="AE158" i="3"/>
  <c r="T159" i="3" l="1"/>
  <c r="M158" i="3"/>
  <c r="N158" i="3" s="1"/>
  <c r="J158" i="3"/>
  <c r="W158" i="3"/>
  <c r="L158" i="3" l="1"/>
  <c r="U158" i="3" s="1"/>
  <c r="E159" i="3" s="1"/>
  <c r="H159" i="3" s="1"/>
  <c r="AD158" i="3"/>
  <c r="Y157" i="3" l="1"/>
  <c r="AH159" i="3"/>
  <c r="AG159" i="3"/>
  <c r="D159" i="3"/>
  <c r="F159" i="3" s="1"/>
  <c r="K159" i="3"/>
  <c r="A160" i="3" s="1"/>
  <c r="B160" i="3" s="1"/>
  <c r="AA160" i="3" l="1"/>
  <c r="P160" i="3"/>
  <c r="Q160" i="3" s="1"/>
  <c r="R160" i="3" s="1"/>
  <c r="S160" i="3" s="1"/>
  <c r="Z160" i="3"/>
  <c r="AC160" i="3"/>
  <c r="G159" i="3"/>
  <c r="M159" i="3" s="1"/>
  <c r="N159" i="3" s="1"/>
  <c r="V159" i="3"/>
  <c r="AE159" i="3"/>
  <c r="T160" i="3" l="1"/>
  <c r="I159" i="3"/>
  <c r="W159" i="3" s="1"/>
  <c r="J159" i="3"/>
  <c r="L159" i="3" l="1"/>
  <c r="AH160" i="3" s="1"/>
  <c r="AD159" i="3"/>
  <c r="Y158" i="3" l="1"/>
  <c r="AG160" i="3"/>
  <c r="U159" i="3"/>
  <c r="E160" i="3" s="1"/>
  <c r="H160" i="3" s="1"/>
  <c r="K160" i="3" s="1"/>
  <c r="A161" i="3" s="1"/>
  <c r="B161" i="3" s="1"/>
  <c r="D160" i="3" l="1"/>
  <c r="G160" i="3" s="1"/>
  <c r="I160" i="3" s="1"/>
  <c r="Z161" i="3"/>
  <c r="AA161" i="3"/>
  <c r="P161" i="3"/>
  <c r="Q161" i="3" s="1"/>
  <c r="R161" i="3" s="1"/>
  <c r="S161" i="3" s="1"/>
  <c r="AC161" i="3"/>
  <c r="V160" i="3"/>
  <c r="AE160" i="3"/>
  <c r="M160" i="3" l="1"/>
  <c r="N160" i="3" s="1"/>
  <c r="F160" i="3"/>
  <c r="J160" i="3"/>
  <c r="AD160" i="3" s="1"/>
  <c r="T161" i="3"/>
  <c r="W160" i="3"/>
  <c r="L160" i="3" l="1"/>
  <c r="AG161" i="3" s="1"/>
  <c r="Y159" i="3" l="1"/>
  <c r="U160" i="3"/>
  <c r="E161" i="3" s="1"/>
  <c r="H161" i="3" s="1"/>
  <c r="K161" i="3" s="1"/>
  <c r="A162" i="3" s="1"/>
  <c r="B162" i="3" s="1"/>
  <c r="AH161" i="3"/>
  <c r="D161" i="3" l="1"/>
  <c r="G161" i="3" s="1"/>
  <c r="I161" i="3" s="1"/>
  <c r="Z162" i="3"/>
  <c r="P162" i="3"/>
  <c r="Q162" i="3" s="1"/>
  <c r="R162" i="3" s="1"/>
  <c r="S162" i="3" s="1"/>
  <c r="AC162" i="3"/>
  <c r="AA162" i="3"/>
  <c r="V161" i="3"/>
  <c r="AE161" i="3"/>
  <c r="M161" i="3" l="1"/>
  <c r="N161" i="3" s="1"/>
  <c r="J161" i="3"/>
  <c r="AD161" i="3" s="1"/>
  <c r="F161" i="3"/>
  <c r="T162" i="3"/>
  <c r="W161" i="3"/>
  <c r="L161" i="3" l="1"/>
  <c r="U161" i="3" s="1"/>
  <c r="D162" i="3" s="1"/>
  <c r="Y160" i="3" l="1"/>
  <c r="AH162" i="3"/>
  <c r="AG162" i="3"/>
  <c r="G162" i="3"/>
  <c r="E162" i="3"/>
  <c r="H162" i="3" s="1"/>
  <c r="F162" i="3" l="1"/>
  <c r="I162" i="3"/>
  <c r="J162" i="3"/>
  <c r="AD162" i="3" s="1"/>
  <c r="M162" i="3"/>
  <c r="N162" i="3" s="1"/>
  <c r="K162" i="3"/>
  <c r="A163" i="3" s="1"/>
  <c r="B163" i="3" s="1"/>
  <c r="AC163" i="3" l="1"/>
  <c r="Z163" i="3"/>
  <c r="P163" i="3"/>
  <c r="Q163" i="3" s="1"/>
  <c r="R163" i="3" s="1"/>
  <c r="S163" i="3" s="1"/>
  <c r="AA163" i="3"/>
  <c r="V162" i="3"/>
  <c r="W162" i="3" s="1"/>
  <c r="AE162" i="3"/>
  <c r="L162" i="3"/>
  <c r="T163" i="3" l="1"/>
  <c r="AH163" i="3" s="1"/>
  <c r="U162" i="3"/>
  <c r="Y161" i="3"/>
  <c r="AG163" i="3" l="1"/>
  <c r="D163" i="3"/>
  <c r="G163" i="3" s="1"/>
  <c r="E163" i="3"/>
  <c r="H163" i="3" s="1"/>
  <c r="K163" i="3" s="1"/>
  <c r="A164" i="3" s="1"/>
  <c r="B164" i="3" s="1"/>
  <c r="AA164" i="3" l="1"/>
  <c r="Z164" i="3"/>
  <c r="AC164" i="3"/>
  <c r="P164" i="3"/>
  <c r="Q164" i="3" s="1"/>
  <c r="R164" i="3" s="1"/>
  <c r="S164" i="3" s="1"/>
  <c r="F163" i="3"/>
  <c r="V163" i="3"/>
  <c r="AE163" i="3"/>
  <c r="I163" i="3"/>
  <c r="J163" i="3"/>
  <c r="AD163" i="3" s="1"/>
  <c r="M163" i="3"/>
  <c r="N163" i="3" s="1"/>
  <c r="T164" i="3" l="1"/>
  <c r="W163" i="3"/>
  <c r="L163" i="3"/>
  <c r="AH164" i="3" l="1"/>
  <c r="U163" i="3"/>
  <c r="D164" i="3" s="1"/>
  <c r="AG164" i="3"/>
  <c r="Y162" i="3"/>
  <c r="E164" i="3" l="1"/>
  <c r="H164" i="3" s="1"/>
  <c r="K164" i="3" s="1"/>
  <c r="A165" i="3" s="1"/>
  <c r="B165" i="3" s="1"/>
  <c r="G164" i="3"/>
  <c r="AA165" i="3" l="1"/>
  <c r="AC165" i="3"/>
  <c r="Z165" i="3"/>
  <c r="P165" i="3"/>
  <c r="Q165" i="3" s="1"/>
  <c r="R165" i="3" s="1"/>
  <c r="S165" i="3" s="1"/>
  <c r="AD165" i="3"/>
  <c r="F164" i="3"/>
  <c r="I164" i="3"/>
  <c r="J164" i="3"/>
  <c r="AD164" i="3" s="1"/>
  <c r="M164" i="3"/>
  <c r="N164" i="3" s="1"/>
  <c r="V164" i="3"/>
  <c r="AE164" i="3"/>
  <c r="T165" i="3" l="1"/>
  <c r="W164" i="3"/>
  <c r="L164" i="3"/>
  <c r="U164" i="3" l="1"/>
  <c r="D165" i="3" s="1"/>
  <c r="AG165" i="3"/>
  <c r="AH165" i="3"/>
  <c r="Y163" i="3"/>
  <c r="E165" i="3" l="1"/>
  <c r="H165" i="3" s="1"/>
  <c r="K165" i="3" s="1"/>
  <c r="A166" i="3" s="1"/>
  <c r="B166" i="3" s="1"/>
  <c r="G165" i="3"/>
  <c r="AA166" i="3" l="1"/>
  <c r="P166" i="3"/>
  <c r="Q166" i="3" s="1"/>
  <c r="R166" i="3" s="1"/>
  <c r="S166" i="3" s="1"/>
  <c r="AD166" i="3"/>
  <c r="Z166" i="3"/>
  <c r="AC166" i="3"/>
  <c r="F165" i="3"/>
  <c r="V165" i="3"/>
  <c r="AE165" i="3"/>
  <c r="I165" i="3"/>
  <c r="J165" i="3"/>
  <c r="M165" i="3"/>
  <c r="N165" i="3" s="1"/>
  <c r="T166" i="3" l="1"/>
  <c r="L165" i="3"/>
  <c r="W165" i="3"/>
  <c r="AH166" i="3" l="1"/>
  <c r="U165" i="3"/>
  <c r="E166" i="3" s="1"/>
  <c r="H166" i="3" s="1"/>
  <c r="AG166" i="3"/>
  <c r="Y164" i="3"/>
  <c r="D166" i="3" l="1"/>
  <c r="G166" i="3" s="1"/>
  <c r="K166" i="3"/>
  <c r="A167" i="3" s="1"/>
  <c r="B167" i="3" s="1"/>
  <c r="P167" i="3" l="1"/>
  <c r="Q167" i="3" s="1"/>
  <c r="R167" i="3" s="1"/>
  <c r="S167" i="3" s="1"/>
  <c r="AA167" i="3"/>
  <c r="Z167" i="3"/>
  <c r="AD167" i="3"/>
  <c r="AC167" i="3"/>
  <c r="F166" i="3"/>
  <c r="I166" i="3"/>
  <c r="J166" i="3"/>
  <c r="M166" i="3"/>
  <c r="N166" i="3" s="1"/>
  <c r="V166" i="3"/>
  <c r="AE166" i="3"/>
  <c r="T167" i="3" l="1"/>
  <c r="W166" i="3"/>
  <c r="L166" i="3"/>
  <c r="AH167" i="3" l="1"/>
  <c r="AG167" i="3"/>
  <c r="U166" i="3"/>
  <c r="E167" i="3" s="1"/>
  <c r="H167" i="3" s="1"/>
  <c r="Y165" i="3"/>
  <c r="K167" i="3" l="1"/>
  <c r="A168" i="3" s="1"/>
  <c r="B168" i="3" s="1"/>
  <c r="D167" i="3"/>
  <c r="Z168" i="3" l="1"/>
  <c r="AD168" i="3"/>
  <c r="AC168" i="3"/>
  <c r="AA168" i="3"/>
  <c r="P168" i="3"/>
  <c r="Q168" i="3" s="1"/>
  <c r="R168" i="3" s="1"/>
  <c r="S168" i="3" s="1"/>
  <c r="V167" i="3"/>
  <c r="AE167" i="3"/>
  <c r="F167" i="3"/>
  <c r="G167" i="3"/>
  <c r="T168" i="3" l="1"/>
  <c r="I167" i="3"/>
  <c r="W167" i="3" s="1"/>
  <c r="J167" i="3"/>
  <c r="M167" i="3"/>
  <c r="N167" i="3" s="1"/>
  <c r="L167" i="3" l="1"/>
  <c r="AH168" i="3" l="1"/>
  <c r="U167" i="3"/>
  <c r="E168" i="3" s="1"/>
  <c r="H168" i="3" s="1"/>
  <c r="AG168" i="3"/>
  <c r="Y166" i="3"/>
  <c r="D168" i="3" l="1"/>
  <c r="F168" i="3" s="1"/>
  <c r="K168" i="3"/>
  <c r="A169" i="3" s="1"/>
  <c r="B169" i="3" s="1"/>
  <c r="AD169" i="3" l="1"/>
  <c r="Z169" i="3"/>
  <c r="AA169" i="3"/>
  <c r="AC169" i="3"/>
  <c r="P169" i="3"/>
  <c r="Q169" i="3" s="1"/>
  <c r="R169" i="3" s="1"/>
  <c r="S169" i="3" s="1"/>
  <c r="G168" i="3"/>
  <c r="I168" i="3" s="1"/>
  <c r="V168" i="3"/>
  <c r="AE168" i="3"/>
  <c r="T169" i="3" l="1"/>
  <c r="M168" i="3"/>
  <c r="N168" i="3" s="1"/>
  <c r="J168" i="3"/>
  <c r="L168" i="3" s="1"/>
  <c r="W168" i="3"/>
  <c r="U168" i="3" l="1"/>
  <c r="E169" i="3" s="1"/>
  <c r="H169" i="3" s="1"/>
  <c r="AH169" i="3"/>
  <c r="AG169" i="3"/>
  <c r="Y167" i="3"/>
  <c r="D169" i="3" l="1"/>
  <c r="F169" i="3" s="1"/>
  <c r="K169" i="3"/>
  <c r="A170" i="3" s="1"/>
  <c r="B170" i="3" s="1"/>
  <c r="AA170" i="3" l="1"/>
  <c r="AC170" i="3"/>
  <c r="P170" i="3"/>
  <c r="Q170" i="3" s="1"/>
  <c r="R170" i="3" s="1"/>
  <c r="S170" i="3" s="1"/>
  <c r="AD170" i="3"/>
  <c r="Z170" i="3"/>
  <c r="G169" i="3"/>
  <c r="I169" i="3" s="1"/>
  <c r="V169" i="3"/>
  <c r="AE169" i="3"/>
  <c r="T170" i="3" l="1"/>
  <c r="M169" i="3"/>
  <c r="N169" i="3" s="1"/>
  <c r="J169" i="3"/>
  <c r="L169" i="3" s="1"/>
  <c r="W169" i="3"/>
  <c r="AH170" i="3" l="1"/>
  <c r="U169" i="3"/>
  <c r="E170" i="3" s="1"/>
  <c r="H170" i="3" s="1"/>
  <c r="AG170" i="3"/>
  <c r="Y168" i="3"/>
  <c r="D170" i="3" l="1"/>
  <c r="G170" i="3" s="1"/>
  <c r="K170" i="3"/>
  <c r="A171" i="3" s="1"/>
  <c r="B171" i="3" s="1"/>
  <c r="AD171" i="3" l="1"/>
  <c r="Z171" i="3"/>
  <c r="AA171" i="3"/>
  <c r="AC171" i="3"/>
  <c r="P171" i="3"/>
  <c r="Q171" i="3" s="1"/>
  <c r="R171" i="3" s="1"/>
  <c r="S171" i="3" s="1"/>
  <c r="F170" i="3"/>
  <c r="I170" i="3"/>
  <c r="J170" i="3"/>
  <c r="M170" i="3"/>
  <c r="N170" i="3" s="1"/>
  <c r="V170" i="3"/>
  <c r="AE170" i="3"/>
  <c r="T171" i="3" l="1"/>
  <c r="W170" i="3"/>
  <c r="L170" i="3"/>
  <c r="AG171" i="3" l="1"/>
  <c r="U170" i="3"/>
  <c r="E171" i="3" s="1"/>
  <c r="H171" i="3" s="1"/>
  <c r="AH171" i="3"/>
  <c r="Y169" i="3"/>
  <c r="K171" i="3" l="1"/>
  <c r="A172" i="3" s="1"/>
  <c r="B172" i="3" s="1"/>
  <c r="D171" i="3"/>
  <c r="P172" i="3" l="1"/>
  <c r="Q172" i="3" s="1"/>
  <c r="R172" i="3" s="1"/>
  <c r="S172" i="3" s="1"/>
  <c r="AC172" i="3"/>
  <c r="AD172" i="3"/>
  <c r="AA172" i="3"/>
  <c r="Z172" i="3"/>
  <c r="F171" i="3"/>
  <c r="G171" i="3"/>
  <c r="V171" i="3"/>
  <c r="AE171" i="3"/>
  <c r="T172" i="3" l="1"/>
  <c r="I171" i="3"/>
  <c r="W171" i="3" s="1"/>
  <c r="J171" i="3"/>
  <c r="M171" i="3"/>
  <c r="N171" i="3" s="1"/>
  <c r="L171" i="3" l="1"/>
  <c r="U171" i="3" l="1"/>
  <c r="E172" i="3" s="1"/>
  <c r="H172" i="3" s="1"/>
  <c r="AH172" i="3"/>
  <c r="AG172" i="3"/>
  <c r="Y170" i="3"/>
  <c r="K172" i="3" l="1"/>
  <c r="A173" i="3" s="1"/>
  <c r="B173" i="3" s="1"/>
  <c r="D172" i="3"/>
  <c r="P173" i="3" l="1"/>
  <c r="Q173" i="3" s="1"/>
  <c r="R173" i="3" s="1"/>
  <c r="S173" i="3" s="1"/>
  <c r="AD173" i="3"/>
  <c r="AC173" i="3"/>
  <c r="Z173" i="3"/>
  <c r="AA173" i="3"/>
  <c r="V172" i="3"/>
  <c r="AE172" i="3"/>
  <c r="F172" i="3"/>
  <c r="G172" i="3"/>
  <c r="T173" i="3" l="1"/>
  <c r="I172" i="3"/>
  <c r="W172" i="3" s="1"/>
  <c r="J172" i="3"/>
  <c r="M172" i="3"/>
  <c r="N172" i="3" s="1"/>
  <c r="L172" i="3" l="1"/>
  <c r="U172" i="3" l="1"/>
  <c r="E173" i="3" s="1"/>
  <c r="H173" i="3" s="1"/>
  <c r="AH173" i="3"/>
  <c r="AG173" i="3"/>
  <c r="Y171" i="3"/>
  <c r="D173" i="3" l="1"/>
  <c r="G173" i="3" s="1"/>
  <c r="K173" i="3"/>
  <c r="A174" i="3" s="1"/>
  <c r="B174" i="3" s="1"/>
  <c r="AD174" i="3" l="1"/>
  <c r="P174" i="3"/>
  <c r="Q174" i="3" s="1"/>
  <c r="R174" i="3" s="1"/>
  <c r="S174" i="3" s="1"/>
  <c r="AA174" i="3"/>
  <c r="AC174" i="3"/>
  <c r="Z174" i="3"/>
  <c r="F173" i="3"/>
  <c r="I173" i="3"/>
  <c r="J173" i="3"/>
  <c r="M173" i="3"/>
  <c r="N173" i="3" s="1"/>
  <c r="V173" i="3"/>
  <c r="AE173" i="3"/>
  <c r="T174" i="3" l="1"/>
  <c r="L173" i="3"/>
  <c r="W173" i="3"/>
  <c r="U173" i="3" l="1"/>
  <c r="E174" i="3" s="1"/>
  <c r="H174" i="3" s="1"/>
  <c r="AG174" i="3"/>
  <c r="AH174" i="3"/>
  <c r="Y172" i="3"/>
  <c r="D174" i="3" l="1"/>
  <c r="G174" i="3" s="1"/>
  <c r="K174" i="3"/>
  <c r="A175" i="3" s="1"/>
  <c r="B175" i="3" s="1"/>
  <c r="AC175" i="3" l="1"/>
  <c r="AA175" i="3"/>
  <c r="Z175" i="3"/>
  <c r="P175" i="3"/>
  <c r="Q175" i="3" s="1"/>
  <c r="R175" i="3" s="1"/>
  <c r="S175" i="3" s="1"/>
  <c r="AD175" i="3"/>
  <c r="F174" i="3"/>
  <c r="V174" i="3"/>
  <c r="AE174" i="3"/>
  <c r="I174" i="3"/>
  <c r="J174" i="3"/>
  <c r="M174" i="3"/>
  <c r="N174" i="3" s="1"/>
  <c r="T175" i="3" l="1"/>
  <c r="W174" i="3"/>
  <c r="L174" i="3"/>
  <c r="U174" i="3" l="1"/>
  <c r="D175" i="3" s="1"/>
  <c r="AG175" i="3"/>
  <c r="AH175" i="3"/>
  <c r="Y173" i="3"/>
  <c r="E175" i="3" l="1"/>
  <c r="H175" i="3" s="1"/>
  <c r="K175" i="3" s="1"/>
  <c r="A176" i="3" s="1"/>
  <c r="B176" i="3" s="1"/>
  <c r="G175" i="3"/>
  <c r="P176" i="3" l="1"/>
  <c r="Q176" i="3" s="1"/>
  <c r="R176" i="3" s="1"/>
  <c r="S176" i="3" s="1"/>
  <c r="Z176" i="3"/>
  <c r="AA176" i="3"/>
  <c r="AC176" i="3"/>
  <c r="AD176" i="3"/>
  <c r="F175" i="3"/>
  <c r="I175" i="3"/>
  <c r="J175" i="3"/>
  <c r="M175" i="3"/>
  <c r="N175" i="3" s="1"/>
  <c r="V175" i="3"/>
  <c r="AE175" i="3"/>
  <c r="T176" i="3" l="1"/>
  <c r="W175" i="3"/>
  <c r="L175" i="3"/>
  <c r="U175" i="3" l="1"/>
  <c r="E176" i="3" s="1"/>
  <c r="H176" i="3" s="1"/>
  <c r="AG176" i="3"/>
  <c r="AH176" i="3"/>
  <c r="Y174" i="3"/>
  <c r="D176" i="3" l="1"/>
  <c r="G176" i="3" s="1"/>
  <c r="K176" i="3"/>
  <c r="A177" i="3" s="1"/>
  <c r="B177" i="3" s="1"/>
  <c r="Z177" i="3" l="1"/>
  <c r="AC177" i="3"/>
  <c r="AD177" i="3"/>
  <c r="P177" i="3"/>
  <c r="Q177" i="3" s="1"/>
  <c r="R177" i="3" s="1"/>
  <c r="S177" i="3" s="1"/>
  <c r="AA177" i="3"/>
  <c r="F176" i="3"/>
  <c r="I176" i="3"/>
  <c r="J176" i="3"/>
  <c r="M176" i="3"/>
  <c r="N176" i="3" s="1"/>
  <c r="V176" i="3"/>
  <c r="AE176" i="3"/>
  <c r="T177" i="3" l="1"/>
  <c r="W176" i="3"/>
  <c r="L176" i="3"/>
  <c r="AH177" i="3" l="1"/>
  <c r="U176" i="3"/>
  <c r="D177" i="3" s="1"/>
  <c r="AG177" i="3"/>
  <c r="Y175" i="3"/>
  <c r="G177" i="3" l="1"/>
  <c r="E177" i="3"/>
  <c r="H177" i="3" s="1"/>
  <c r="F177" i="3" l="1"/>
  <c r="I177" i="3"/>
  <c r="J177" i="3"/>
  <c r="M177" i="3"/>
  <c r="N177" i="3" s="1"/>
  <c r="K177" i="3"/>
  <c r="A178" i="3" s="1"/>
  <c r="B178" i="3" s="1"/>
  <c r="AA178" i="3" l="1"/>
  <c r="Z178" i="3"/>
  <c r="AC178" i="3"/>
  <c r="P178" i="3"/>
  <c r="Q178" i="3" s="1"/>
  <c r="R178" i="3" s="1"/>
  <c r="S178" i="3" s="1"/>
  <c r="AD178" i="3"/>
  <c r="V177" i="3"/>
  <c r="W177" i="3" s="1"/>
  <c r="AE177" i="3"/>
  <c r="L177" i="3"/>
  <c r="T178" i="3" l="1"/>
  <c r="AH178" i="3" s="1"/>
  <c r="U177" i="3"/>
  <c r="Y176" i="3"/>
  <c r="E178" i="3" l="1"/>
  <c r="H178" i="3" s="1"/>
  <c r="K178" i="3" s="1"/>
  <c r="A179" i="3" s="1"/>
  <c r="B179" i="3" s="1"/>
  <c r="AG178" i="3"/>
  <c r="D178" i="3"/>
  <c r="G178" i="3" s="1"/>
  <c r="Z179" i="3" l="1"/>
  <c r="AD179" i="3"/>
  <c r="AC179" i="3"/>
  <c r="AA179" i="3"/>
  <c r="P179" i="3"/>
  <c r="Q179" i="3" s="1"/>
  <c r="R179" i="3" s="1"/>
  <c r="S179" i="3" s="1"/>
  <c r="F178" i="3"/>
  <c r="I178" i="3"/>
  <c r="J178" i="3"/>
  <c r="M178" i="3"/>
  <c r="N178" i="3" s="1"/>
  <c r="V178" i="3"/>
  <c r="AE178" i="3"/>
  <c r="T179" i="3" l="1"/>
  <c r="W178" i="3"/>
  <c r="L178" i="3"/>
  <c r="U178" i="3" l="1"/>
  <c r="E179" i="3" s="1"/>
  <c r="H179" i="3" s="1"/>
  <c r="AG179" i="3"/>
  <c r="AH179" i="3"/>
  <c r="Y177" i="3"/>
  <c r="D179" i="3" l="1"/>
  <c r="G179" i="3" s="1"/>
  <c r="K179" i="3"/>
  <c r="A180" i="3" s="1"/>
  <c r="B180" i="3" s="1"/>
  <c r="AC180" i="3" l="1"/>
  <c r="AA180" i="3"/>
  <c r="AD180" i="3"/>
  <c r="P180" i="3"/>
  <c r="Q180" i="3" s="1"/>
  <c r="R180" i="3" s="1"/>
  <c r="S180" i="3" s="1"/>
  <c r="Z180" i="3"/>
  <c r="F179" i="3"/>
  <c r="V179" i="3"/>
  <c r="AE179" i="3"/>
  <c r="I179" i="3"/>
  <c r="J179" i="3"/>
  <c r="M179" i="3"/>
  <c r="N179" i="3" s="1"/>
  <c r="T180" i="3" l="1"/>
  <c r="W179" i="3"/>
  <c r="L179" i="3"/>
  <c r="AG180" i="3" l="1"/>
  <c r="U179" i="3"/>
  <c r="D180" i="3" s="1"/>
  <c r="AH180" i="3"/>
  <c r="Y178" i="3"/>
  <c r="E180" i="3" l="1"/>
  <c r="H180" i="3" s="1"/>
  <c r="K180" i="3" s="1"/>
  <c r="A181" i="3" s="1"/>
  <c r="B181" i="3" s="1"/>
  <c r="G180" i="3"/>
  <c r="AA181" i="3" l="1"/>
  <c r="AC181" i="3"/>
  <c r="P181" i="3"/>
  <c r="Q181" i="3" s="1"/>
  <c r="R181" i="3" s="1"/>
  <c r="S181" i="3" s="1"/>
  <c r="AD181" i="3"/>
  <c r="Z181" i="3"/>
  <c r="F180" i="3"/>
  <c r="I180" i="3"/>
  <c r="J180" i="3"/>
  <c r="M180" i="3"/>
  <c r="N180" i="3" s="1"/>
  <c r="V180" i="3"/>
  <c r="AE180" i="3"/>
  <c r="T181" i="3" l="1"/>
  <c r="L180" i="3"/>
  <c r="W180" i="3"/>
  <c r="U180" i="3" l="1"/>
  <c r="E181" i="3" s="1"/>
  <c r="H181" i="3" s="1"/>
  <c r="AH181" i="3"/>
  <c r="AG181" i="3"/>
  <c r="Y179" i="3"/>
  <c r="D181" i="3" l="1"/>
  <c r="G181" i="3" s="1"/>
  <c r="K181" i="3"/>
  <c r="A182" i="3" s="1"/>
  <c r="B182" i="3" s="1"/>
  <c r="AA182" i="3" l="1"/>
  <c r="P182" i="3"/>
  <c r="Q182" i="3" s="1"/>
  <c r="R182" i="3" s="1"/>
  <c r="S182" i="3" s="1"/>
  <c r="Z182" i="3"/>
  <c r="AC182" i="3"/>
  <c r="AD182" i="3"/>
  <c r="F181" i="3"/>
  <c r="I181" i="3"/>
  <c r="J181" i="3"/>
  <c r="M181" i="3"/>
  <c r="N181" i="3" s="1"/>
  <c r="V181" i="3"/>
  <c r="AE181" i="3"/>
  <c r="T182" i="3" l="1"/>
  <c r="W181" i="3"/>
  <c r="L181" i="3"/>
  <c r="AH182" i="3" l="1"/>
  <c r="U181" i="3"/>
  <c r="E182" i="3" s="1"/>
  <c r="H182" i="3" s="1"/>
  <c r="AG182" i="3"/>
  <c r="Y180" i="3"/>
  <c r="K182" i="3" l="1"/>
  <c r="A183" i="3" s="1"/>
  <c r="B183" i="3" s="1"/>
  <c r="D182" i="3"/>
  <c r="AA183" i="3" l="1"/>
  <c r="AD183" i="3"/>
  <c r="P183" i="3"/>
  <c r="Q183" i="3" s="1"/>
  <c r="R183" i="3" s="1"/>
  <c r="S183" i="3" s="1"/>
  <c r="AC183" i="3"/>
  <c r="Z183" i="3"/>
  <c r="V182" i="3"/>
  <c r="AE182" i="3"/>
  <c r="F182" i="3"/>
  <c r="G182" i="3"/>
  <c r="T183" i="3" l="1"/>
  <c r="I182" i="3"/>
  <c r="W182" i="3" s="1"/>
  <c r="J182" i="3"/>
  <c r="M182" i="3"/>
  <c r="N182" i="3" s="1"/>
  <c r="L182" i="3" l="1"/>
  <c r="U182" i="3" l="1"/>
  <c r="E183" i="3" s="1"/>
  <c r="H183" i="3" s="1"/>
  <c r="AH183" i="3"/>
  <c r="AG183" i="3"/>
  <c r="Y181" i="3"/>
  <c r="D183" i="3" l="1"/>
  <c r="G183" i="3" s="1"/>
  <c r="K183" i="3"/>
  <c r="A184" i="3" s="1"/>
  <c r="B184" i="3" s="1"/>
  <c r="AD184" i="3" l="1"/>
  <c r="Z184" i="3"/>
  <c r="P184" i="3"/>
  <c r="Q184" i="3" s="1"/>
  <c r="R184" i="3" s="1"/>
  <c r="S184" i="3" s="1"/>
  <c r="AC184" i="3"/>
  <c r="AA184" i="3"/>
  <c r="F183" i="3"/>
  <c r="I183" i="3"/>
  <c r="J183" i="3"/>
  <c r="M183" i="3"/>
  <c r="N183" i="3" s="1"/>
  <c r="V183" i="3"/>
  <c r="AE183" i="3"/>
  <c r="T184" i="3" l="1"/>
  <c r="W183" i="3"/>
  <c r="L183" i="3"/>
  <c r="U183" i="3" l="1"/>
  <c r="D184" i="3" s="1"/>
  <c r="AG184" i="3"/>
  <c r="AH184" i="3"/>
  <c r="Y182" i="3"/>
  <c r="G184" i="3" l="1"/>
  <c r="E184" i="3"/>
  <c r="H184" i="3" s="1"/>
  <c r="K184" i="3" l="1"/>
  <c r="A185" i="3" s="1"/>
  <c r="B185" i="3" s="1"/>
  <c r="I184" i="3"/>
  <c r="J184" i="3"/>
  <c r="M184" i="3"/>
  <c r="N184" i="3" s="1"/>
  <c r="F184" i="3"/>
  <c r="AD185" i="3" l="1"/>
  <c r="AC185" i="3"/>
  <c r="AA185" i="3"/>
  <c r="P185" i="3"/>
  <c r="Q185" i="3" s="1"/>
  <c r="R185" i="3" s="1"/>
  <c r="S185" i="3" s="1"/>
  <c r="Z185" i="3"/>
  <c r="V184" i="3"/>
  <c r="W184" i="3" s="1"/>
  <c r="AE184" i="3"/>
  <c r="L184" i="3"/>
  <c r="T185" i="3" l="1"/>
  <c r="AH185" i="3" s="1"/>
  <c r="U184" i="3"/>
  <c r="Y183" i="3"/>
  <c r="D185" i="3" l="1"/>
  <c r="G185" i="3" s="1"/>
  <c r="AG185" i="3"/>
  <c r="E185" i="3"/>
  <c r="H185" i="3" s="1"/>
  <c r="K185" i="3" s="1"/>
  <c r="A186" i="3" s="1"/>
  <c r="B186" i="3" s="1"/>
  <c r="Z186" i="3" l="1"/>
  <c r="P186" i="3"/>
  <c r="Q186" i="3" s="1"/>
  <c r="R186" i="3" s="1"/>
  <c r="S186" i="3" s="1"/>
  <c r="AA186" i="3"/>
  <c r="AC186" i="3"/>
  <c r="AD186" i="3"/>
  <c r="F185" i="3"/>
  <c r="I185" i="3"/>
  <c r="J185" i="3"/>
  <c r="M185" i="3"/>
  <c r="N185" i="3" s="1"/>
  <c r="V185" i="3"/>
  <c r="AE185" i="3"/>
  <c r="T186" i="3" l="1"/>
  <c r="W185" i="3"/>
  <c r="L185" i="3"/>
  <c r="U185" i="3" l="1"/>
  <c r="E186" i="3" s="1"/>
  <c r="H186" i="3" s="1"/>
  <c r="AH186" i="3"/>
  <c r="AG186" i="3"/>
  <c r="Y184" i="3"/>
  <c r="D186" i="3" l="1"/>
  <c r="G186" i="3" s="1"/>
  <c r="K186" i="3"/>
  <c r="A187" i="3" s="1"/>
  <c r="B187" i="3" s="1"/>
  <c r="AD187" i="3" l="1"/>
  <c r="AA187" i="3"/>
  <c r="AC187" i="3"/>
  <c r="P187" i="3"/>
  <c r="Q187" i="3" s="1"/>
  <c r="R187" i="3" s="1"/>
  <c r="S187" i="3" s="1"/>
  <c r="Z187" i="3"/>
  <c r="F186" i="3"/>
  <c r="V186" i="3"/>
  <c r="AE186" i="3"/>
  <c r="I186" i="3"/>
  <c r="J186" i="3"/>
  <c r="M186" i="3"/>
  <c r="N186" i="3" s="1"/>
  <c r="T187" i="3" l="1"/>
  <c r="L186" i="3"/>
  <c r="W186" i="3"/>
  <c r="AG187" i="3" l="1"/>
  <c r="AH187" i="3"/>
  <c r="U186" i="3"/>
  <c r="D187" i="3" s="1"/>
  <c r="Y185" i="3"/>
  <c r="G187" i="3" l="1"/>
  <c r="E187" i="3"/>
  <c r="H187" i="3" s="1"/>
  <c r="I187" i="3" l="1"/>
  <c r="J187" i="3"/>
  <c r="M187" i="3"/>
  <c r="N187" i="3" s="1"/>
  <c r="F187" i="3"/>
  <c r="K187" i="3"/>
  <c r="A188" i="3" s="1"/>
  <c r="B188" i="3" s="1"/>
  <c r="Z188" i="3" l="1"/>
  <c r="P188" i="3"/>
  <c r="Q188" i="3" s="1"/>
  <c r="R188" i="3" s="1"/>
  <c r="S188" i="3" s="1"/>
  <c r="AC188" i="3"/>
  <c r="AA188" i="3"/>
  <c r="AD188" i="3"/>
  <c r="L187" i="3"/>
  <c r="V187" i="3"/>
  <c r="W187" i="3" s="1"/>
  <c r="AE187" i="3"/>
  <c r="T188" i="3" l="1"/>
  <c r="AG188" i="3" s="1"/>
  <c r="U187" i="3"/>
  <c r="Y186" i="3"/>
  <c r="AH188" i="3" l="1"/>
  <c r="E188" i="3"/>
  <c r="H188" i="3" s="1"/>
  <c r="K188" i="3" s="1"/>
  <c r="A189" i="3" s="1"/>
  <c r="B189" i="3" s="1"/>
  <c r="D188" i="3"/>
  <c r="G188" i="3" s="1"/>
  <c r="Z189" i="3" l="1"/>
  <c r="AC189" i="3"/>
  <c r="AD189" i="3"/>
  <c r="P189" i="3"/>
  <c r="Q189" i="3" s="1"/>
  <c r="R189" i="3" s="1"/>
  <c r="S189" i="3" s="1"/>
  <c r="AA189" i="3"/>
  <c r="F188" i="3"/>
  <c r="I188" i="3"/>
  <c r="J188" i="3"/>
  <c r="M188" i="3"/>
  <c r="N188" i="3" s="1"/>
  <c r="V188" i="3"/>
  <c r="AE188" i="3"/>
  <c r="T189" i="3" l="1"/>
  <c r="W188" i="3"/>
  <c r="L188" i="3"/>
  <c r="U188" i="3" l="1"/>
  <c r="E189" i="3" s="1"/>
  <c r="H189" i="3" s="1"/>
  <c r="AH189" i="3"/>
  <c r="AG189" i="3"/>
  <c r="Y187" i="3"/>
  <c r="D189" i="3" l="1"/>
  <c r="G189" i="3" s="1"/>
  <c r="K189" i="3"/>
  <c r="A190" i="3" s="1"/>
  <c r="B190" i="3" s="1"/>
  <c r="AC190" i="3" l="1"/>
  <c r="Z190" i="3"/>
  <c r="AD190" i="3"/>
  <c r="AA190" i="3"/>
  <c r="P190" i="3"/>
  <c r="Q190" i="3" s="1"/>
  <c r="R190" i="3" s="1"/>
  <c r="S190" i="3" s="1"/>
  <c r="F189" i="3"/>
  <c r="I189" i="3"/>
  <c r="J189" i="3"/>
  <c r="M189" i="3"/>
  <c r="N189" i="3" s="1"/>
  <c r="V189" i="3"/>
  <c r="AE189" i="3"/>
  <c r="T190" i="3" l="1"/>
  <c r="W189" i="3"/>
  <c r="L189" i="3"/>
  <c r="AH190" i="3" l="1"/>
  <c r="U189" i="3"/>
  <c r="D190" i="3" s="1"/>
  <c r="AG190" i="3"/>
  <c r="Y188" i="3"/>
  <c r="G190" i="3" l="1"/>
  <c r="E190" i="3"/>
  <c r="H190" i="3" s="1"/>
  <c r="K190" i="3" l="1"/>
  <c r="A191" i="3" s="1"/>
  <c r="B191" i="3" s="1"/>
  <c r="I190" i="3"/>
  <c r="J190" i="3"/>
  <c r="M190" i="3"/>
  <c r="N190" i="3" s="1"/>
  <c r="F190" i="3"/>
  <c r="P191" i="3" l="1"/>
  <c r="Q191" i="3" s="1"/>
  <c r="R191" i="3" s="1"/>
  <c r="S191" i="3" s="1"/>
  <c r="AA191" i="3"/>
  <c r="AC191" i="3"/>
  <c r="AD191" i="3"/>
  <c r="Z191" i="3"/>
  <c r="L190" i="3"/>
  <c r="V190" i="3"/>
  <c r="W190" i="3" s="1"/>
  <c r="AE190" i="3"/>
  <c r="T191" i="3" l="1"/>
  <c r="AG191" i="3" s="1"/>
  <c r="U190" i="3"/>
  <c r="Y189" i="3"/>
  <c r="AH191" i="3" l="1"/>
  <c r="E191" i="3"/>
  <c r="H191" i="3" s="1"/>
  <c r="K191" i="3" s="1"/>
  <c r="A192" i="3" s="1"/>
  <c r="B192" i="3" s="1"/>
  <c r="D191" i="3"/>
  <c r="P192" i="3" l="1"/>
  <c r="Q192" i="3" s="1"/>
  <c r="R192" i="3" s="1"/>
  <c r="S192" i="3" s="1"/>
  <c r="Z192" i="3"/>
  <c r="AD192" i="3"/>
  <c r="AA192" i="3"/>
  <c r="AC192" i="3"/>
  <c r="V191" i="3"/>
  <c r="AE191" i="3"/>
  <c r="F191" i="3"/>
  <c r="G191" i="3"/>
  <c r="T192" i="3" l="1"/>
  <c r="I191" i="3"/>
  <c r="W191" i="3" s="1"/>
  <c r="J191" i="3"/>
  <c r="M191" i="3"/>
  <c r="N191" i="3" s="1"/>
  <c r="L191" i="3" l="1"/>
  <c r="AG192" i="3" l="1"/>
  <c r="U191" i="3"/>
  <c r="E192" i="3" s="1"/>
  <c r="H192" i="3" s="1"/>
  <c r="AH192" i="3"/>
  <c r="Y190" i="3"/>
  <c r="D192" i="3" l="1"/>
  <c r="G192" i="3" s="1"/>
  <c r="K192" i="3"/>
  <c r="A193" i="3" s="1"/>
  <c r="B193" i="3" s="1"/>
  <c r="AC193" i="3" l="1"/>
  <c r="AA193" i="3"/>
  <c r="AD193" i="3"/>
  <c r="P193" i="3"/>
  <c r="Q193" i="3" s="1"/>
  <c r="R193" i="3" s="1"/>
  <c r="S193" i="3" s="1"/>
  <c r="Z193" i="3"/>
  <c r="F192" i="3"/>
  <c r="I192" i="3"/>
  <c r="J192" i="3"/>
  <c r="M192" i="3"/>
  <c r="N192" i="3" s="1"/>
  <c r="V192" i="3"/>
  <c r="AE192" i="3"/>
  <c r="T193" i="3" l="1"/>
  <c r="W192" i="3"/>
  <c r="L192" i="3"/>
  <c r="U192" i="3" l="1"/>
  <c r="D193" i="3" s="1"/>
  <c r="AG193" i="3"/>
  <c r="AH193" i="3"/>
  <c r="Y191" i="3"/>
  <c r="G193" i="3" l="1"/>
  <c r="E193" i="3"/>
  <c r="H193" i="3" s="1"/>
  <c r="K193" i="3" l="1"/>
  <c r="A194" i="3" s="1"/>
  <c r="B194" i="3" s="1"/>
  <c r="I193" i="3"/>
  <c r="J193" i="3"/>
  <c r="M193" i="3"/>
  <c r="N193" i="3" s="1"/>
  <c r="F193" i="3"/>
  <c r="AD194" i="3" l="1"/>
  <c r="P194" i="3"/>
  <c r="Q194" i="3" s="1"/>
  <c r="R194" i="3" s="1"/>
  <c r="S194" i="3" s="1"/>
  <c r="AA194" i="3"/>
  <c r="AC194" i="3"/>
  <c r="Z194" i="3"/>
  <c r="L193" i="3"/>
  <c r="V193" i="3"/>
  <c r="W193" i="3" s="1"/>
  <c r="AE193" i="3"/>
  <c r="T194" i="3" l="1"/>
  <c r="AH194" i="3" s="1"/>
  <c r="U193" i="3"/>
  <c r="Y192" i="3"/>
  <c r="AG194" i="3" l="1"/>
  <c r="D194" i="3"/>
  <c r="G194" i="3" s="1"/>
  <c r="E194" i="3"/>
  <c r="H194" i="3" s="1"/>
  <c r="K194" i="3" s="1"/>
  <c r="A195" i="3" s="1"/>
  <c r="B195" i="3" s="1"/>
  <c r="P195" i="3" l="1"/>
  <c r="Q195" i="3" s="1"/>
  <c r="R195" i="3" s="1"/>
  <c r="S195" i="3" s="1"/>
  <c r="AD195" i="3"/>
  <c r="Z195" i="3"/>
  <c r="AA195" i="3"/>
  <c r="AC195" i="3"/>
  <c r="F194" i="3"/>
  <c r="V194" i="3"/>
  <c r="AE194" i="3"/>
  <c r="I194" i="3"/>
  <c r="J194" i="3"/>
  <c r="M194" i="3"/>
  <c r="N194" i="3" s="1"/>
  <c r="T195" i="3" l="1"/>
  <c r="W194" i="3"/>
  <c r="L194" i="3"/>
  <c r="U194" i="3" l="1"/>
  <c r="D195" i="3" s="1"/>
  <c r="AH195" i="3"/>
  <c r="AG195" i="3"/>
  <c r="Y193" i="3"/>
  <c r="E195" i="3" l="1"/>
  <c r="H195" i="3" s="1"/>
  <c r="K195" i="3" s="1"/>
  <c r="A196" i="3" s="1"/>
  <c r="B196" i="3" s="1"/>
  <c r="G195" i="3"/>
  <c r="P196" i="3" l="1"/>
  <c r="Q196" i="3" s="1"/>
  <c r="R196" i="3" s="1"/>
  <c r="S196" i="3" s="1"/>
  <c r="Z196" i="3"/>
  <c r="AC196" i="3"/>
  <c r="AD196" i="3"/>
  <c r="AA196" i="3"/>
  <c r="F195" i="3"/>
  <c r="V195" i="3"/>
  <c r="AE195" i="3"/>
  <c r="I195" i="3"/>
  <c r="J195" i="3"/>
  <c r="M195" i="3"/>
  <c r="N195" i="3" s="1"/>
  <c r="T196" i="3" l="1"/>
  <c r="W195" i="3"/>
  <c r="L195" i="3"/>
  <c r="AH196" i="3" l="1"/>
  <c r="U195" i="3"/>
  <c r="D196" i="3" s="1"/>
  <c r="AG196" i="3"/>
  <c r="Y194" i="3"/>
  <c r="E196" i="3" l="1"/>
  <c r="H196" i="3" s="1"/>
  <c r="K196" i="3" s="1"/>
  <c r="A197" i="3" s="1"/>
  <c r="B197" i="3" s="1"/>
  <c r="G196" i="3"/>
  <c r="AD197" i="3" l="1"/>
  <c r="AA197" i="3"/>
  <c r="Z197" i="3"/>
  <c r="AC197" i="3"/>
  <c r="P197" i="3"/>
  <c r="Q197" i="3" s="1"/>
  <c r="R197" i="3" s="1"/>
  <c r="S197" i="3" s="1"/>
  <c r="F196" i="3"/>
  <c r="I196" i="3"/>
  <c r="J196" i="3"/>
  <c r="M196" i="3"/>
  <c r="N196" i="3" s="1"/>
  <c r="V196" i="3"/>
  <c r="AE196" i="3"/>
  <c r="T197" i="3" l="1"/>
  <c r="L196" i="3"/>
  <c r="W196" i="3"/>
  <c r="U196" i="3" l="1"/>
  <c r="E197" i="3" s="1"/>
  <c r="H197" i="3" s="1"/>
  <c r="AG197" i="3"/>
  <c r="AH197" i="3"/>
  <c r="Y195" i="3"/>
  <c r="D197" i="3" l="1"/>
  <c r="G197" i="3" s="1"/>
  <c r="K197" i="3"/>
  <c r="A198" i="3" s="1"/>
  <c r="B198" i="3" s="1"/>
  <c r="P198" i="3" l="1"/>
  <c r="Q198" i="3" s="1"/>
  <c r="R198" i="3" s="1"/>
  <c r="S198" i="3" s="1"/>
  <c r="AA198" i="3"/>
  <c r="Z198" i="3"/>
  <c r="AC198" i="3"/>
  <c r="AD198" i="3"/>
  <c r="F197" i="3"/>
  <c r="I197" i="3"/>
  <c r="J197" i="3"/>
  <c r="M197" i="3"/>
  <c r="N197" i="3" s="1"/>
  <c r="V197" i="3"/>
  <c r="AE197" i="3"/>
  <c r="T198" i="3" l="1"/>
  <c r="W197" i="3"/>
  <c r="L197" i="3"/>
  <c r="AG198" i="3" l="1"/>
  <c r="AH198" i="3"/>
  <c r="U197" i="3"/>
  <c r="E198" i="3" s="1"/>
  <c r="H198" i="3" s="1"/>
  <c r="Y196" i="3"/>
  <c r="K198" i="3" l="1"/>
  <c r="A199" i="3" s="1"/>
  <c r="B199" i="3" s="1"/>
  <c r="D198" i="3"/>
  <c r="AD199" i="3" l="1"/>
  <c r="P199" i="3"/>
  <c r="Q199" i="3" s="1"/>
  <c r="R199" i="3" s="1"/>
  <c r="S199" i="3" s="1"/>
  <c r="AC199" i="3"/>
  <c r="AA199" i="3"/>
  <c r="Z199" i="3"/>
  <c r="V198" i="3"/>
  <c r="AE198" i="3"/>
  <c r="F198" i="3"/>
  <c r="G198" i="3"/>
  <c r="T199" i="3" l="1"/>
  <c r="I198" i="3"/>
  <c r="W198" i="3" s="1"/>
  <c r="J198" i="3"/>
  <c r="M198" i="3"/>
  <c r="N198" i="3" s="1"/>
  <c r="L198" i="3" l="1"/>
  <c r="AG199" i="3" l="1"/>
  <c r="U198" i="3"/>
  <c r="E199" i="3" s="1"/>
  <c r="H199" i="3" s="1"/>
  <c r="AH199" i="3"/>
  <c r="Y197" i="3"/>
  <c r="K199" i="3" l="1"/>
  <c r="A200" i="3" s="1"/>
  <c r="B200" i="3" s="1"/>
  <c r="D199" i="3"/>
  <c r="AA200" i="3" l="1"/>
  <c r="AC200" i="3"/>
  <c r="Z200" i="3"/>
  <c r="P200" i="3"/>
  <c r="Q200" i="3" s="1"/>
  <c r="R200" i="3" s="1"/>
  <c r="S200" i="3" s="1"/>
  <c r="AD200" i="3"/>
  <c r="V199" i="3"/>
  <c r="AE199" i="3"/>
  <c r="F199" i="3"/>
  <c r="G199" i="3"/>
  <c r="T200" i="3" l="1"/>
  <c r="I199" i="3"/>
  <c r="W199" i="3" s="1"/>
  <c r="J199" i="3"/>
  <c r="M199" i="3"/>
  <c r="N199" i="3" s="1"/>
  <c r="L199" i="3" l="1"/>
  <c r="AH200" i="3" l="1"/>
  <c r="AG200" i="3"/>
  <c r="U199" i="3"/>
  <c r="E200" i="3" s="1"/>
  <c r="H200" i="3" s="1"/>
  <c r="Y198" i="3"/>
  <c r="K200" i="3" l="1"/>
  <c r="A201" i="3" s="1"/>
  <c r="B201" i="3" s="1"/>
  <c r="D200" i="3"/>
  <c r="AC201" i="3" l="1"/>
  <c r="AD201" i="3"/>
  <c r="P201" i="3"/>
  <c r="Q201" i="3" s="1"/>
  <c r="R201" i="3" s="1"/>
  <c r="S201" i="3" s="1"/>
  <c r="AA201" i="3"/>
  <c r="Z201" i="3"/>
  <c r="V200" i="3"/>
  <c r="AE200" i="3"/>
  <c r="F200" i="3"/>
  <c r="G200" i="3"/>
  <c r="T201" i="3" l="1"/>
  <c r="I200" i="3"/>
  <c r="W200" i="3" s="1"/>
  <c r="J200" i="3"/>
  <c r="M200" i="3"/>
  <c r="N200" i="3" s="1"/>
  <c r="L200" i="3" l="1"/>
  <c r="AG201" i="3" l="1"/>
  <c r="U200" i="3"/>
  <c r="E201" i="3" s="1"/>
  <c r="H201" i="3" s="1"/>
  <c r="AH201" i="3"/>
  <c r="Y199" i="3"/>
  <c r="D201" i="3" l="1"/>
  <c r="G201" i="3" s="1"/>
  <c r="K201" i="3"/>
  <c r="A202" i="3" s="1"/>
  <c r="B202" i="3" s="1"/>
  <c r="AA202" i="3" l="1"/>
  <c r="AC202" i="3"/>
  <c r="AD202" i="3"/>
  <c r="Z202" i="3"/>
  <c r="P202" i="3"/>
  <c r="Q202" i="3" s="1"/>
  <c r="R202" i="3" s="1"/>
  <c r="S202" i="3" s="1"/>
  <c r="F201" i="3"/>
  <c r="I201" i="3"/>
  <c r="J201" i="3"/>
  <c r="M201" i="3"/>
  <c r="N201" i="3" s="1"/>
  <c r="V201" i="3"/>
  <c r="AE201" i="3"/>
  <c r="T202" i="3" l="1"/>
  <c r="W201" i="3"/>
  <c r="L201" i="3"/>
  <c r="U201" i="3" l="1"/>
  <c r="E202" i="3" s="1"/>
  <c r="H202" i="3" s="1"/>
  <c r="AG202" i="3"/>
  <c r="AH202" i="3"/>
  <c r="Y200" i="3"/>
  <c r="D202" i="3" l="1"/>
  <c r="G202" i="3" s="1"/>
  <c r="K202" i="3"/>
  <c r="A203" i="3" s="1"/>
  <c r="B203" i="3" s="1"/>
  <c r="Z203" i="3" l="1"/>
  <c r="P203" i="3"/>
  <c r="Q203" i="3" s="1"/>
  <c r="R203" i="3" s="1"/>
  <c r="S203" i="3" s="1"/>
  <c r="AD203" i="3"/>
  <c r="AC203" i="3"/>
  <c r="AA203" i="3"/>
  <c r="F202" i="3"/>
  <c r="V202" i="3"/>
  <c r="AE202" i="3"/>
  <c r="I202" i="3"/>
  <c r="J202" i="3"/>
  <c r="M202" i="3"/>
  <c r="N202" i="3" s="1"/>
  <c r="T203" i="3" l="1"/>
  <c r="W202" i="3"/>
  <c r="L202" i="3"/>
  <c r="U202" i="3" l="1"/>
  <c r="E203" i="3" s="1"/>
  <c r="H203" i="3" s="1"/>
  <c r="AH203" i="3"/>
  <c r="AG203" i="3"/>
  <c r="Y201" i="3"/>
  <c r="D203" i="3" l="1"/>
  <c r="G203" i="3" s="1"/>
  <c r="K203" i="3"/>
  <c r="A204" i="3" s="1"/>
  <c r="B204" i="3" s="1"/>
  <c r="Z204" i="3" l="1"/>
  <c r="AC204" i="3"/>
  <c r="AA204" i="3"/>
  <c r="P204" i="3"/>
  <c r="Q204" i="3" s="1"/>
  <c r="R204" i="3" s="1"/>
  <c r="S204" i="3" s="1"/>
  <c r="T204" i="3" s="1"/>
  <c r="F203" i="3"/>
  <c r="I203" i="3"/>
  <c r="J203" i="3"/>
  <c r="M203" i="3"/>
  <c r="N203" i="3" s="1"/>
  <c r="V203" i="3"/>
  <c r="AE203" i="3"/>
  <c r="W203" i="3" l="1"/>
  <c r="L203" i="3"/>
  <c r="U203" i="3" l="1"/>
  <c r="E204" i="3" s="1"/>
  <c r="H204" i="3" s="1"/>
  <c r="AH204" i="3"/>
  <c r="AG204" i="3"/>
  <c r="Y202" i="3"/>
  <c r="D204" i="3" l="1"/>
  <c r="G204" i="3" s="1"/>
  <c r="K204" i="3"/>
  <c r="F204" i="3" l="1"/>
  <c r="I204" i="3"/>
  <c r="J204" i="3"/>
  <c r="M204" i="3"/>
  <c r="N204" i="3" s="1"/>
  <c r="V204" i="3"/>
  <c r="A205" i="3"/>
  <c r="B205" i="3" s="1"/>
  <c r="AE204" i="3"/>
  <c r="W204" i="3" l="1"/>
  <c r="L204" i="3"/>
  <c r="AD204" i="3"/>
  <c r="AC205" i="3"/>
  <c r="P205" i="3"/>
  <c r="Q205" i="3" s="1"/>
  <c r="R205" i="3" s="1"/>
  <c r="S205" i="3" s="1"/>
  <c r="Z205" i="3"/>
  <c r="AA205" i="3"/>
  <c r="AD205" i="3"/>
  <c r="U204" i="3" l="1"/>
  <c r="Y203" i="3"/>
  <c r="T205" i="3"/>
  <c r="AH205" i="3" s="1"/>
  <c r="E205" i="3" l="1"/>
  <c r="H205" i="3" s="1"/>
  <c r="D205" i="3"/>
  <c r="AG205" i="3"/>
  <c r="K205" i="3" l="1"/>
  <c r="F205" i="3"/>
  <c r="G205" i="3"/>
  <c r="V205" i="3" l="1"/>
  <c r="A206" i="3"/>
  <c r="B206" i="3" s="1"/>
  <c r="AE205" i="3"/>
  <c r="I205" i="3"/>
  <c r="J205" i="3"/>
  <c r="M205" i="3"/>
  <c r="N205" i="3" s="1"/>
  <c r="W205" i="3" l="1"/>
  <c r="L205" i="3"/>
  <c r="AC206" i="3"/>
  <c r="P206" i="3"/>
  <c r="Q206" i="3" s="1"/>
  <c r="R206" i="3" s="1"/>
  <c r="S206" i="3" s="1"/>
  <c r="Z206" i="3"/>
  <c r="AA206" i="3"/>
  <c r="AD206" i="3"/>
  <c r="T206" i="3" l="1"/>
  <c r="AH206" i="3" s="1"/>
  <c r="U205" i="3"/>
  <c r="Y204" i="3"/>
  <c r="AG206" i="3" l="1"/>
  <c r="D206" i="3"/>
  <c r="E206" i="3"/>
  <c r="H206" i="3" s="1"/>
  <c r="F206" i="3" l="1"/>
  <c r="G206" i="3"/>
  <c r="K206" i="3"/>
  <c r="I206" i="3" l="1"/>
  <c r="J206" i="3"/>
  <c r="M206" i="3"/>
  <c r="N206" i="3" s="1"/>
  <c r="V206" i="3"/>
  <c r="A207" i="3"/>
  <c r="B207" i="3" s="1"/>
  <c r="AE206" i="3"/>
  <c r="W206" i="3" l="1"/>
  <c r="L206" i="3"/>
  <c r="P207" i="3"/>
  <c r="Q207" i="3" s="1"/>
  <c r="R207" i="3" s="1"/>
  <c r="S207" i="3" s="1"/>
  <c r="AC207" i="3"/>
  <c r="Z207" i="3"/>
  <c r="AA207" i="3"/>
  <c r="T207" i="3" l="1"/>
  <c r="U206" i="3"/>
  <c r="Y205" i="3"/>
  <c r="D207" i="3" l="1"/>
  <c r="G207" i="3" s="1"/>
  <c r="AH207" i="3"/>
  <c r="E207" i="3"/>
  <c r="H207" i="3" s="1"/>
  <c r="AG207" i="3"/>
  <c r="F207" i="3" l="1"/>
  <c r="I207" i="3"/>
  <c r="J207" i="3"/>
  <c r="AD207" i="3" s="1"/>
  <c r="M207" i="3"/>
  <c r="N207" i="3" s="1"/>
  <c r="K207" i="3"/>
  <c r="V207" i="3" l="1"/>
  <c r="W207" i="3" s="1"/>
  <c r="AE207" i="3"/>
  <c r="A208" i="3"/>
  <c r="B208" i="3" s="1"/>
  <c r="L207" i="3"/>
  <c r="Z208" i="3" l="1"/>
  <c r="AC208" i="3"/>
  <c r="AA208" i="3"/>
  <c r="P208" i="3"/>
  <c r="Q208" i="3" s="1"/>
  <c r="R208" i="3" s="1"/>
  <c r="S208" i="3" s="1"/>
  <c r="U207" i="3"/>
  <c r="Y206" i="3"/>
  <c r="T208" i="3" l="1"/>
  <c r="AG208" i="3" s="1"/>
  <c r="AH208" i="3" l="1"/>
  <c r="D208" i="3"/>
  <c r="G208" i="3" s="1"/>
  <c r="E208" i="3"/>
  <c r="H208" i="3" s="1"/>
  <c r="K208" i="3" s="1"/>
  <c r="F208" i="3" l="1"/>
  <c r="I208" i="3"/>
  <c r="J208" i="3"/>
  <c r="AD208" i="3" s="1"/>
  <c r="M208" i="3"/>
  <c r="N208" i="3" s="1"/>
  <c r="V208" i="3"/>
  <c r="A209" i="3"/>
  <c r="B209" i="3" s="1"/>
  <c r="AE208" i="3"/>
  <c r="W208" i="3" l="1"/>
  <c r="L208" i="3"/>
  <c r="P209" i="3"/>
  <c r="Q209" i="3" s="1"/>
  <c r="R209" i="3" s="1"/>
  <c r="S209" i="3" s="1"/>
  <c r="AC209" i="3"/>
  <c r="AD209" i="3"/>
  <c r="AA209" i="3"/>
  <c r="Z209" i="3"/>
  <c r="U208" i="3" l="1"/>
  <c r="Y207" i="3"/>
  <c r="T209" i="3"/>
  <c r="AH209" i="3" s="1"/>
  <c r="AG209" i="3" l="1"/>
  <c r="D209" i="3"/>
  <c r="G209" i="3" s="1"/>
  <c r="E209" i="3"/>
  <c r="H209" i="3" s="1"/>
  <c r="F209" i="3" l="1"/>
  <c r="K209" i="3"/>
  <c r="I209" i="3"/>
  <c r="J209" i="3"/>
  <c r="M209" i="3"/>
  <c r="N209" i="3" s="1"/>
  <c r="L209" i="3" l="1"/>
  <c r="V209" i="3"/>
  <c r="W209" i="3" s="1"/>
  <c r="A210" i="3"/>
  <c r="B210" i="3" s="1"/>
  <c r="AE209" i="3"/>
  <c r="AC210" i="3" l="1"/>
  <c r="Z210" i="3"/>
  <c r="P210" i="3"/>
  <c r="Q210" i="3" s="1"/>
  <c r="R210" i="3" s="1"/>
  <c r="S210" i="3" s="1"/>
  <c r="AA210" i="3"/>
  <c r="AD210" i="3"/>
  <c r="U209" i="3"/>
  <c r="Y208" i="3"/>
  <c r="T210" i="3" l="1"/>
  <c r="AG210" i="3" s="1"/>
  <c r="AH210" i="3" l="1"/>
  <c r="D210" i="3"/>
  <c r="E210" i="3"/>
  <c r="H210" i="3" s="1"/>
  <c r="F210" i="3" l="1"/>
  <c r="G210" i="3"/>
  <c r="K210" i="3"/>
  <c r="V210" i="3" l="1"/>
  <c r="AE210" i="3"/>
  <c r="A211" i="3"/>
  <c r="B211" i="3" s="1"/>
  <c r="I210" i="3"/>
  <c r="J210" i="3"/>
  <c r="M210" i="3"/>
  <c r="N210" i="3" s="1"/>
  <c r="W210" i="3" l="1"/>
  <c r="AC211" i="3"/>
  <c r="Z211" i="3"/>
  <c r="P211" i="3"/>
  <c r="Q211" i="3" s="1"/>
  <c r="R211" i="3" s="1"/>
  <c r="S211" i="3" s="1"/>
  <c r="AA211" i="3"/>
  <c r="AD211" i="3"/>
  <c r="L210" i="3"/>
  <c r="T211" i="3" l="1"/>
  <c r="AG211" i="3" s="1"/>
  <c r="U210" i="3"/>
  <c r="Y209" i="3"/>
  <c r="E211" i="3" l="1"/>
  <c r="H211" i="3" s="1"/>
  <c r="D211" i="3"/>
  <c r="AH211" i="3"/>
  <c r="K211" i="3" l="1"/>
  <c r="F211" i="3"/>
  <c r="G211" i="3"/>
  <c r="I211" i="3" l="1"/>
  <c r="J211" i="3"/>
  <c r="M211" i="3"/>
  <c r="N211" i="3" s="1"/>
  <c r="V211" i="3"/>
  <c r="AE211" i="3"/>
  <c r="A212" i="3"/>
  <c r="B212" i="3" s="1"/>
  <c r="W211" i="3" l="1"/>
  <c r="AA212" i="3"/>
  <c r="Z212" i="3"/>
  <c r="P212" i="3"/>
  <c r="Q212" i="3" s="1"/>
  <c r="R212" i="3" s="1"/>
  <c r="S212" i="3" s="1"/>
  <c r="AC212" i="3"/>
  <c r="AD212" i="3"/>
  <c r="L211" i="3"/>
  <c r="U211" i="3" l="1"/>
  <c r="Y210" i="3"/>
  <c r="T212" i="3"/>
  <c r="E212" i="3" l="1"/>
  <c r="H212" i="3" s="1"/>
  <c r="K212" i="3" s="1"/>
  <c r="AH212" i="3"/>
  <c r="AG212" i="3"/>
  <c r="D212" i="3"/>
  <c r="F212" i="3" l="1"/>
  <c r="G212" i="3"/>
  <c r="V212" i="3"/>
  <c r="A213" i="3"/>
  <c r="B213" i="3" s="1"/>
  <c r="AE212" i="3"/>
  <c r="AD213" i="3" l="1"/>
  <c r="AC213" i="3"/>
  <c r="P213" i="3"/>
  <c r="Q213" i="3" s="1"/>
  <c r="R213" i="3" s="1"/>
  <c r="S213" i="3" s="1"/>
  <c r="AA213" i="3"/>
  <c r="Z213" i="3"/>
  <c r="I212" i="3"/>
  <c r="W212" i="3" s="1"/>
  <c r="J212" i="3"/>
  <c r="M212" i="3"/>
  <c r="N212" i="3" s="1"/>
  <c r="T213" i="3" l="1"/>
  <c r="L212" i="3"/>
  <c r="U212" i="3" l="1"/>
  <c r="E213" i="3" s="1"/>
  <c r="H213" i="3" s="1"/>
  <c r="AH213" i="3"/>
  <c r="AG213" i="3"/>
  <c r="Y211" i="3"/>
  <c r="D213" i="3" l="1"/>
  <c r="G213" i="3" s="1"/>
  <c r="K213" i="3"/>
  <c r="F213" i="3" l="1"/>
  <c r="I213" i="3"/>
  <c r="J213" i="3"/>
  <c r="M213" i="3"/>
  <c r="N213" i="3" s="1"/>
  <c r="V213" i="3"/>
  <c r="A214" i="3"/>
  <c r="B214" i="3" s="1"/>
  <c r="AE213" i="3"/>
  <c r="W213" i="3" l="1"/>
  <c r="L213" i="3"/>
  <c r="P214" i="3"/>
  <c r="Q214" i="3" s="1"/>
  <c r="R214" i="3" s="1"/>
  <c r="S214" i="3" s="1"/>
  <c r="AC214" i="3"/>
  <c r="AA214" i="3"/>
  <c r="Z214" i="3"/>
  <c r="U213" i="3" l="1"/>
  <c r="Y212" i="3"/>
  <c r="T214" i="3"/>
  <c r="D214" i="3" l="1"/>
  <c r="G214" i="3" s="1"/>
  <c r="E214" i="3"/>
  <c r="H214" i="3" s="1"/>
  <c r="AG214" i="3"/>
  <c r="AH214" i="3"/>
  <c r="F214" i="3" l="1"/>
  <c r="I214" i="3"/>
  <c r="J214" i="3"/>
  <c r="M214" i="3"/>
  <c r="N214" i="3" s="1"/>
  <c r="K214" i="3"/>
  <c r="AE214" i="3" s="1"/>
  <c r="V214" i="3" l="1"/>
  <c r="W214" i="3" s="1"/>
  <c r="A215" i="3"/>
  <c r="B215" i="3" s="1"/>
  <c r="L214" i="3"/>
  <c r="AD214" i="3"/>
  <c r="U214" i="3" l="1"/>
  <c r="Y213" i="3"/>
  <c r="AC215" i="3"/>
  <c r="AD215" i="3"/>
  <c r="Z215" i="3"/>
  <c r="P215" i="3"/>
  <c r="Q215" i="3" s="1"/>
  <c r="R215" i="3" s="1"/>
  <c r="S215" i="3" s="1"/>
  <c r="AA215" i="3"/>
  <c r="T215" i="3" l="1"/>
  <c r="AH215" i="3" s="1"/>
  <c r="D215" i="3" l="1"/>
  <c r="G215" i="3" s="1"/>
  <c r="E215" i="3"/>
  <c r="H215" i="3" s="1"/>
  <c r="K215" i="3" s="1"/>
  <c r="AE215" i="3" s="1"/>
  <c r="AG215" i="3"/>
  <c r="F215" i="3" l="1"/>
  <c r="V215" i="3"/>
  <c r="A216" i="3"/>
  <c r="B216" i="3" s="1"/>
  <c r="I215" i="3"/>
  <c r="J215" i="3"/>
  <c r="M215" i="3"/>
  <c r="N215" i="3" s="1"/>
  <c r="W215" i="3" l="1"/>
  <c r="L215" i="3"/>
  <c r="P216" i="3"/>
  <c r="Q216" i="3" s="1"/>
  <c r="R216" i="3" s="1"/>
  <c r="S216" i="3" s="1"/>
  <c r="Z216" i="3"/>
  <c r="AC216" i="3"/>
  <c r="AD216" i="3"/>
  <c r="AA216" i="3"/>
  <c r="U215" i="3" l="1"/>
  <c r="Y214" i="3"/>
  <c r="T216" i="3"/>
  <c r="AH216" i="3" s="1"/>
  <c r="D216" i="3" l="1"/>
  <c r="G216" i="3" s="1"/>
  <c r="AG216" i="3"/>
  <c r="E216" i="3"/>
  <c r="H216" i="3" s="1"/>
  <c r="K216" i="3" l="1"/>
  <c r="AE216" i="3" s="1"/>
  <c r="I216" i="3"/>
  <c r="J216" i="3"/>
  <c r="M216" i="3"/>
  <c r="N216" i="3" s="1"/>
  <c r="F216" i="3"/>
  <c r="V216" i="3" l="1"/>
  <c r="W216" i="3" s="1"/>
  <c r="A217" i="3"/>
  <c r="B217" i="3" s="1"/>
  <c r="L216" i="3"/>
  <c r="U216" i="3" l="1"/>
  <c r="Y215" i="3"/>
  <c r="P217" i="3"/>
  <c r="Q217" i="3" s="1"/>
  <c r="R217" i="3" s="1"/>
  <c r="S217" i="3" s="1"/>
  <c r="AC217" i="3"/>
  <c r="AA217" i="3"/>
  <c r="Z217" i="3"/>
  <c r="T217" i="3" l="1"/>
  <c r="D217" i="3" s="1"/>
  <c r="G217" i="3" l="1"/>
  <c r="AG217" i="3"/>
  <c r="AH217" i="3"/>
  <c r="E217" i="3"/>
  <c r="H217" i="3" s="1"/>
  <c r="I217" i="3" l="1"/>
  <c r="J217" i="3"/>
  <c r="AD217" i="3" s="1"/>
  <c r="M217" i="3"/>
  <c r="N217" i="3" s="1"/>
  <c r="K217" i="3"/>
  <c r="AE217" i="3" s="1"/>
  <c r="F217" i="3"/>
  <c r="V217" i="3" l="1"/>
  <c r="W217" i="3" s="1"/>
  <c r="A218" i="3"/>
  <c r="B218" i="3" s="1"/>
  <c r="L217" i="3"/>
  <c r="U217" i="3" l="1"/>
  <c r="Y216" i="3"/>
  <c r="AC218" i="3"/>
  <c r="AA218" i="3"/>
  <c r="Z218" i="3"/>
  <c r="P218" i="3"/>
  <c r="Q218" i="3" s="1"/>
  <c r="R218" i="3" s="1"/>
  <c r="S218" i="3" s="1"/>
  <c r="T218" i="3" l="1"/>
  <c r="AG218" i="3" s="1"/>
  <c r="AH218" i="3" l="1"/>
  <c r="E218" i="3"/>
  <c r="H218" i="3" s="1"/>
  <c r="K218" i="3" s="1"/>
  <c r="AE218" i="3" s="1"/>
  <c r="D218" i="3"/>
  <c r="G218" i="3" s="1"/>
  <c r="F218" i="3" l="1"/>
  <c r="I218" i="3"/>
  <c r="J218" i="3"/>
  <c r="AD218" i="3" s="1"/>
  <c r="M218" i="3"/>
  <c r="N218" i="3" s="1"/>
  <c r="V218" i="3"/>
  <c r="A219" i="3"/>
  <c r="B219" i="3" s="1"/>
  <c r="W218" i="3" l="1"/>
  <c r="L218" i="3"/>
  <c r="P219" i="3"/>
  <c r="Q219" i="3" s="1"/>
  <c r="R219" i="3" s="1"/>
  <c r="S219" i="3" s="1"/>
  <c r="AD219" i="3"/>
  <c r="AC219" i="3"/>
  <c r="AA219" i="3"/>
  <c r="Z219" i="3"/>
  <c r="U218" i="3" l="1"/>
  <c r="Y217" i="3"/>
  <c r="T219" i="3"/>
  <c r="AG219" i="3" s="1"/>
  <c r="D219" i="3" l="1"/>
  <c r="E219" i="3"/>
  <c r="H219" i="3" s="1"/>
  <c r="AH219" i="3"/>
  <c r="F219" i="3" l="1"/>
  <c r="G219" i="3"/>
  <c r="K219" i="3"/>
  <c r="AE219" i="3" s="1"/>
  <c r="I219" i="3" l="1"/>
  <c r="J219" i="3"/>
  <c r="M219" i="3"/>
  <c r="N219" i="3" s="1"/>
  <c r="V219" i="3"/>
  <c r="A220" i="3"/>
  <c r="B220" i="3" s="1"/>
  <c r="W219" i="3" l="1"/>
  <c r="L219" i="3"/>
  <c r="AC220" i="3"/>
  <c r="AD220" i="3"/>
  <c r="Z220" i="3"/>
  <c r="P220" i="3"/>
  <c r="Q220" i="3" s="1"/>
  <c r="R220" i="3" s="1"/>
  <c r="S220" i="3" s="1"/>
  <c r="AA220" i="3"/>
  <c r="U219" i="3" l="1"/>
  <c r="Y218" i="3"/>
  <c r="T220" i="3"/>
  <c r="E220" i="3" l="1"/>
  <c r="H220" i="3" s="1"/>
  <c r="K220" i="3" s="1"/>
  <c r="AE220" i="3" s="1"/>
  <c r="D220" i="3"/>
  <c r="G220" i="3" s="1"/>
  <c r="AG220" i="3"/>
  <c r="AH220" i="3"/>
  <c r="F220" i="3" l="1"/>
  <c r="I220" i="3"/>
  <c r="J220" i="3"/>
  <c r="M220" i="3"/>
  <c r="N220" i="3" s="1"/>
  <c r="V220" i="3"/>
  <c r="A221" i="3"/>
  <c r="B221" i="3" s="1"/>
  <c r="W220" i="3" l="1"/>
  <c r="L220" i="3"/>
  <c r="AA221" i="3"/>
  <c r="AC221" i="3"/>
  <c r="AD221" i="3"/>
  <c r="P221" i="3"/>
  <c r="Q221" i="3" s="1"/>
  <c r="R221" i="3" s="1"/>
  <c r="S221" i="3" s="1"/>
  <c r="Z221" i="3"/>
  <c r="T221" i="3" l="1"/>
  <c r="U220" i="3"/>
  <c r="Y219" i="3"/>
  <c r="D221" i="3" l="1"/>
  <c r="G221" i="3" s="1"/>
  <c r="AH221" i="3"/>
  <c r="AG221" i="3"/>
  <c r="E221" i="3"/>
  <c r="H221" i="3" s="1"/>
  <c r="K221" i="3" l="1"/>
  <c r="AE221" i="3" s="1"/>
  <c r="I221" i="3"/>
  <c r="J221" i="3"/>
  <c r="M221" i="3"/>
  <c r="N221" i="3" s="1"/>
  <c r="F221" i="3"/>
  <c r="L221" i="3" l="1"/>
  <c r="V221" i="3"/>
  <c r="W221" i="3" s="1"/>
  <c r="A222" i="3"/>
  <c r="B222" i="3" s="1"/>
  <c r="P222" i="3" l="1"/>
  <c r="Q222" i="3" s="1"/>
  <c r="R222" i="3" s="1"/>
  <c r="S222" i="3" s="1"/>
  <c r="AC222" i="3"/>
  <c r="Z222" i="3"/>
  <c r="AA222" i="3"/>
  <c r="AD222" i="3"/>
  <c r="U221" i="3"/>
  <c r="Y220" i="3"/>
  <c r="T222" i="3" l="1"/>
  <c r="AH222" i="3" s="1"/>
  <c r="E222" i="3" l="1"/>
  <c r="H222" i="3" s="1"/>
  <c r="AG222" i="3"/>
  <c r="D222" i="3"/>
  <c r="F222" i="3" l="1"/>
  <c r="G222" i="3"/>
  <c r="K222" i="3"/>
  <c r="AE222" i="3" s="1"/>
  <c r="I222" i="3" l="1"/>
  <c r="J222" i="3"/>
  <c r="M222" i="3"/>
  <c r="N222" i="3" s="1"/>
  <c r="V222" i="3"/>
  <c r="A223" i="3"/>
  <c r="B223" i="3" s="1"/>
  <c r="W222" i="3" l="1"/>
  <c r="L222" i="3"/>
  <c r="P223" i="3"/>
  <c r="Q223" i="3" s="1"/>
  <c r="R223" i="3" s="1"/>
  <c r="S223" i="3" s="1"/>
  <c r="Z223" i="3"/>
  <c r="AC223" i="3"/>
  <c r="AD223" i="3"/>
  <c r="AA223" i="3"/>
  <c r="U222" i="3" l="1"/>
  <c r="Y221" i="3"/>
  <c r="T223" i="3"/>
  <c r="D223" i="3" l="1"/>
  <c r="G223" i="3" s="1"/>
  <c r="AG223" i="3"/>
  <c r="AH223" i="3"/>
  <c r="E223" i="3"/>
  <c r="H223" i="3" s="1"/>
  <c r="K223" i="3" s="1"/>
  <c r="AE223" i="3" s="1"/>
  <c r="F223" i="3" l="1"/>
  <c r="I223" i="3"/>
  <c r="J223" i="3"/>
  <c r="M223" i="3"/>
  <c r="N223" i="3" s="1"/>
  <c r="V223" i="3"/>
  <c r="A224" i="3"/>
  <c r="B224" i="3" s="1"/>
  <c r="W223" i="3" l="1"/>
  <c r="L223" i="3"/>
  <c r="Z224" i="3"/>
  <c r="P224" i="3"/>
  <c r="Q224" i="3" s="1"/>
  <c r="R224" i="3" s="1"/>
  <c r="S224" i="3" s="1"/>
  <c r="AC224" i="3"/>
  <c r="AA224" i="3"/>
  <c r="U223" i="3" l="1"/>
  <c r="Y222" i="3"/>
  <c r="T224" i="3"/>
  <c r="D224" i="3" l="1"/>
  <c r="G224" i="3" s="1"/>
  <c r="AG224" i="3"/>
  <c r="AH224" i="3"/>
  <c r="E224" i="3"/>
  <c r="H224" i="3" s="1"/>
  <c r="K224" i="3" s="1"/>
  <c r="AE224" i="3" s="1"/>
  <c r="F224" i="3" l="1"/>
  <c r="I224" i="3"/>
  <c r="J224" i="3"/>
  <c r="M224" i="3"/>
  <c r="N224" i="3" s="1"/>
  <c r="V224" i="3"/>
  <c r="A225" i="3"/>
  <c r="B225" i="3" s="1"/>
  <c r="W224" i="3" l="1"/>
  <c r="L224" i="3"/>
  <c r="AD224" i="3"/>
  <c r="AC225" i="3"/>
  <c r="P225" i="3"/>
  <c r="Q225" i="3" s="1"/>
  <c r="R225" i="3" s="1"/>
  <c r="S225" i="3" s="1"/>
  <c r="AA225" i="3"/>
  <c r="AD225" i="3"/>
  <c r="Z225" i="3"/>
  <c r="U224" i="3" l="1"/>
  <c r="Y223" i="3"/>
  <c r="T225" i="3"/>
  <c r="AG225" i="3" s="1"/>
  <c r="AH225" i="3" l="1"/>
  <c r="E225" i="3"/>
  <c r="H225" i="3" s="1"/>
  <c r="D225" i="3"/>
  <c r="K225" i="3" l="1"/>
  <c r="AE225" i="3" s="1"/>
  <c r="F225" i="3"/>
  <c r="G225" i="3"/>
  <c r="I225" i="3" l="1"/>
  <c r="J225" i="3"/>
  <c r="M225" i="3"/>
  <c r="N225" i="3" s="1"/>
  <c r="V225" i="3"/>
  <c r="A226" i="3"/>
  <c r="B226" i="3" s="1"/>
  <c r="W225" i="3" l="1"/>
  <c r="L225" i="3"/>
  <c r="AD226" i="3"/>
  <c r="Z226" i="3"/>
  <c r="AA226" i="3"/>
  <c r="P226" i="3"/>
  <c r="Q226" i="3" s="1"/>
  <c r="R226" i="3" s="1"/>
  <c r="S226" i="3" s="1"/>
  <c r="AC226" i="3"/>
  <c r="U225" i="3" l="1"/>
  <c r="Y224" i="3"/>
  <c r="T226" i="3"/>
  <c r="D226" i="3" l="1"/>
  <c r="G226" i="3" s="1"/>
  <c r="AH226" i="3"/>
  <c r="AG226" i="3"/>
  <c r="E226" i="3"/>
  <c r="H226" i="3" s="1"/>
  <c r="F226" i="3" l="1"/>
  <c r="I226" i="3"/>
  <c r="J226" i="3"/>
  <c r="M226" i="3"/>
  <c r="N226" i="3" s="1"/>
  <c r="K226" i="3"/>
  <c r="AE226" i="3" s="1"/>
  <c r="V226" i="3" l="1"/>
  <c r="W226" i="3" s="1"/>
  <c r="A227" i="3"/>
  <c r="B227" i="3" s="1"/>
  <c r="L226" i="3"/>
  <c r="U226" i="3" l="1"/>
  <c r="Y225" i="3"/>
  <c r="P227" i="3"/>
  <c r="Q227" i="3" s="1"/>
  <c r="R227" i="3" s="1"/>
  <c r="S227" i="3" s="1"/>
  <c r="AA227" i="3"/>
  <c r="Z227" i="3"/>
  <c r="AC227" i="3"/>
  <c r="T227" i="3" l="1"/>
  <c r="D227" i="3" s="1"/>
  <c r="E227" i="3" l="1"/>
  <c r="H227" i="3" s="1"/>
  <c r="K227" i="3" s="1"/>
  <c r="AE227" i="3" s="1"/>
  <c r="AH227" i="3"/>
  <c r="AG227" i="3"/>
  <c r="G227" i="3"/>
  <c r="F227" i="3" l="1"/>
  <c r="V227" i="3"/>
  <c r="A228" i="3"/>
  <c r="B228" i="3" s="1"/>
  <c r="I227" i="3"/>
  <c r="J227" i="3"/>
  <c r="AD227" i="3" s="1"/>
  <c r="M227" i="3"/>
  <c r="N227" i="3" s="1"/>
  <c r="L227" i="3" l="1"/>
  <c r="W227" i="3"/>
  <c r="AA228" i="3"/>
  <c r="Z228" i="3"/>
  <c r="P228" i="3"/>
  <c r="Q228" i="3" s="1"/>
  <c r="R228" i="3" s="1"/>
  <c r="S228" i="3" s="1"/>
  <c r="AC228" i="3"/>
  <c r="T228" i="3" l="1"/>
  <c r="AG228" i="3" s="1"/>
  <c r="U227" i="3"/>
  <c r="Y226" i="3"/>
  <c r="AH228" i="3" l="1"/>
  <c r="E228" i="3"/>
  <c r="H228" i="3" s="1"/>
  <c r="D228" i="3"/>
  <c r="K228" i="3" l="1"/>
  <c r="AE228" i="3" s="1"/>
  <c r="F228" i="3"/>
  <c r="G228" i="3"/>
  <c r="V228" i="3" l="1"/>
  <c r="A229" i="3"/>
  <c r="B229" i="3" s="1"/>
  <c r="I228" i="3"/>
  <c r="J228" i="3"/>
  <c r="AD228" i="3" s="1"/>
  <c r="M228" i="3"/>
  <c r="N228" i="3" s="1"/>
  <c r="W228" i="3" l="1"/>
  <c r="L228" i="3"/>
  <c r="AA229" i="3"/>
  <c r="AD229" i="3"/>
  <c r="AC229" i="3"/>
  <c r="P229" i="3"/>
  <c r="Q229" i="3" s="1"/>
  <c r="R229" i="3" s="1"/>
  <c r="S229" i="3" s="1"/>
  <c r="Z229" i="3"/>
  <c r="U228" i="3" l="1"/>
  <c r="Y227" i="3"/>
  <c r="T229" i="3"/>
  <c r="AH229" i="3" s="1"/>
  <c r="D229" i="3" l="1"/>
  <c r="E229" i="3"/>
  <c r="H229" i="3" s="1"/>
  <c r="AG229" i="3"/>
  <c r="K229" i="3" l="1"/>
  <c r="AE229" i="3" s="1"/>
  <c r="F229" i="3"/>
  <c r="G229" i="3"/>
  <c r="V229" i="3" l="1"/>
  <c r="A230" i="3"/>
  <c r="B230" i="3" s="1"/>
  <c r="I229" i="3"/>
  <c r="J229" i="3"/>
  <c r="M229" i="3"/>
  <c r="N229" i="3" s="1"/>
  <c r="L229" i="3" l="1"/>
  <c r="W229" i="3"/>
  <c r="P230" i="3"/>
  <c r="Q230" i="3" s="1"/>
  <c r="R230" i="3" s="1"/>
  <c r="S230" i="3" s="1"/>
  <c r="AA230" i="3"/>
  <c r="AC230" i="3"/>
  <c r="AD230" i="3"/>
  <c r="Z230" i="3"/>
  <c r="U229" i="3" l="1"/>
  <c r="Y228" i="3"/>
  <c r="T230" i="3"/>
  <c r="AH230" i="3" s="1"/>
  <c r="AG230" i="3" l="1"/>
  <c r="D230" i="3"/>
  <c r="E230" i="3"/>
  <c r="H230" i="3" s="1"/>
  <c r="K230" i="3" l="1"/>
  <c r="AE230" i="3" s="1"/>
  <c r="F230" i="3"/>
  <c r="G230" i="3"/>
  <c r="I230" i="3" l="1"/>
  <c r="J230" i="3"/>
  <c r="M230" i="3"/>
  <c r="N230" i="3" s="1"/>
  <c r="V230" i="3"/>
  <c r="A231" i="3"/>
  <c r="B231" i="3" s="1"/>
  <c r="W230" i="3" l="1"/>
  <c r="L230" i="3"/>
  <c r="AD231" i="3"/>
  <c r="P231" i="3"/>
  <c r="Q231" i="3" s="1"/>
  <c r="R231" i="3" s="1"/>
  <c r="S231" i="3" s="1"/>
  <c r="AA231" i="3"/>
  <c r="Z231" i="3"/>
  <c r="AC231" i="3"/>
  <c r="T231" i="3" l="1"/>
  <c r="U230" i="3"/>
  <c r="Y229" i="3"/>
  <c r="D231" i="3" l="1"/>
  <c r="G231" i="3" s="1"/>
  <c r="E231" i="3"/>
  <c r="H231" i="3" s="1"/>
  <c r="K231" i="3" s="1"/>
  <c r="AE231" i="3" s="1"/>
  <c r="AG231" i="3"/>
  <c r="AH231" i="3"/>
  <c r="F231" i="3" l="1"/>
  <c r="V231" i="3"/>
  <c r="A232" i="3"/>
  <c r="B232" i="3" s="1"/>
  <c r="I231" i="3"/>
  <c r="J231" i="3"/>
  <c r="M231" i="3"/>
  <c r="N231" i="3" s="1"/>
  <c r="L231" i="3" l="1"/>
  <c r="W231" i="3"/>
  <c r="P232" i="3"/>
  <c r="Q232" i="3" s="1"/>
  <c r="R232" i="3" s="1"/>
  <c r="S232" i="3" s="1"/>
  <c r="AD232" i="3"/>
  <c r="Z232" i="3"/>
  <c r="AA232" i="3"/>
  <c r="AC232" i="3"/>
  <c r="U231" i="3" l="1"/>
  <c r="Y230" i="3"/>
  <c r="T232" i="3"/>
  <c r="D232" i="3" l="1"/>
  <c r="G232" i="3" s="1"/>
  <c r="AG232" i="3"/>
  <c r="E232" i="3"/>
  <c r="H232" i="3" s="1"/>
  <c r="AH232" i="3"/>
  <c r="F232" i="3" l="1"/>
  <c r="I232" i="3"/>
  <c r="J232" i="3"/>
  <c r="M232" i="3"/>
  <c r="N232" i="3" s="1"/>
  <c r="K232" i="3"/>
  <c r="AE232" i="3" s="1"/>
  <c r="V232" i="3" l="1"/>
  <c r="W232" i="3" s="1"/>
  <c r="A233" i="3"/>
  <c r="B233" i="3" s="1"/>
  <c r="L232" i="3"/>
  <c r="U232" i="3" l="1"/>
  <c r="Y231" i="3"/>
  <c r="AA233" i="3"/>
  <c r="AD233" i="3"/>
  <c r="AC233" i="3"/>
  <c r="P233" i="3"/>
  <c r="Q233" i="3" s="1"/>
  <c r="R233" i="3" s="1"/>
  <c r="S233" i="3" s="1"/>
  <c r="Z233" i="3"/>
  <c r="T233" i="3" l="1"/>
  <c r="D233" i="3" s="1"/>
  <c r="AG233" i="3" l="1"/>
  <c r="AH233" i="3"/>
  <c r="E233" i="3"/>
  <c r="H233" i="3" s="1"/>
  <c r="K233" i="3" s="1"/>
  <c r="AE233" i="3" s="1"/>
  <c r="G233" i="3"/>
  <c r="F233" i="3" l="1"/>
  <c r="I233" i="3"/>
  <c r="J233" i="3"/>
  <c r="M233" i="3"/>
  <c r="N233" i="3" s="1"/>
  <c r="V233" i="3"/>
  <c r="A234" i="3"/>
  <c r="B234" i="3" s="1"/>
  <c r="W233" i="3" l="1"/>
  <c r="L233" i="3"/>
  <c r="Z234" i="3"/>
  <c r="P234" i="3"/>
  <c r="Q234" i="3" s="1"/>
  <c r="R234" i="3" s="1"/>
  <c r="S234" i="3" s="1"/>
  <c r="AC234" i="3"/>
  <c r="AA234" i="3"/>
  <c r="U233" i="3" l="1"/>
  <c r="Y232" i="3"/>
  <c r="T234" i="3"/>
  <c r="E234" i="3" l="1"/>
  <c r="H234" i="3" s="1"/>
  <c r="K234" i="3" s="1"/>
  <c r="AE234" i="3" s="1"/>
  <c r="AG234" i="3"/>
  <c r="AH234" i="3"/>
  <c r="D234" i="3"/>
  <c r="G234" i="3" s="1"/>
  <c r="F234" i="3" l="1"/>
  <c r="I234" i="3"/>
  <c r="J234" i="3"/>
  <c r="M234" i="3"/>
  <c r="N234" i="3" s="1"/>
  <c r="V234" i="3"/>
  <c r="A235" i="3"/>
  <c r="B235" i="3" s="1"/>
  <c r="L234" i="3" l="1"/>
  <c r="AD234" i="3"/>
  <c r="W234" i="3"/>
  <c r="AC235" i="3"/>
  <c r="AA235" i="3"/>
  <c r="Z235" i="3"/>
  <c r="P235" i="3"/>
  <c r="Q235" i="3" s="1"/>
  <c r="R235" i="3" s="1"/>
  <c r="S235" i="3" s="1"/>
  <c r="AD235" i="3"/>
  <c r="U234" i="3" l="1"/>
  <c r="Y233" i="3"/>
  <c r="T235" i="3"/>
  <c r="E235" i="3" l="1"/>
  <c r="H235" i="3" s="1"/>
  <c r="K235" i="3" s="1"/>
  <c r="AE235" i="3" s="1"/>
  <c r="AG235" i="3"/>
  <c r="D235" i="3"/>
  <c r="AH235" i="3"/>
  <c r="F235" i="3" l="1"/>
  <c r="G235" i="3"/>
  <c r="V235" i="3"/>
  <c r="A236" i="3"/>
  <c r="B236" i="3" s="1"/>
  <c r="AD236" i="3" l="1"/>
  <c r="P236" i="3"/>
  <c r="Q236" i="3" s="1"/>
  <c r="R236" i="3" s="1"/>
  <c r="S236" i="3" s="1"/>
  <c r="AA236" i="3"/>
  <c r="Z236" i="3"/>
  <c r="AC236" i="3"/>
  <c r="I235" i="3"/>
  <c r="W235" i="3" s="1"/>
  <c r="J235" i="3"/>
  <c r="M235" i="3"/>
  <c r="N235" i="3" s="1"/>
  <c r="T236" i="3" l="1"/>
  <c r="L235" i="3"/>
  <c r="U235" i="3" l="1"/>
  <c r="D236" i="3" s="1"/>
  <c r="AH236" i="3"/>
  <c r="AG236" i="3"/>
  <c r="Y234" i="3"/>
  <c r="E236" i="3" l="1"/>
  <c r="H236" i="3" s="1"/>
  <c r="K236" i="3" s="1"/>
  <c r="AE236" i="3" s="1"/>
  <c r="G236" i="3"/>
  <c r="F236" i="3" l="1"/>
  <c r="I236" i="3"/>
  <c r="J236" i="3"/>
  <c r="M236" i="3"/>
  <c r="N236" i="3" s="1"/>
  <c r="V236" i="3"/>
  <c r="A237" i="3"/>
  <c r="B237" i="3" s="1"/>
  <c r="W236" i="3" l="1"/>
  <c r="L236" i="3"/>
  <c r="P237" i="3"/>
  <c r="Q237" i="3" s="1"/>
  <c r="R237" i="3" s="1"/>
  <c r="S237" i="3" s="1"/>
  <c r="AA237" i="3"/>
  <c r="Z237" i="3"/>
  <c r="AC237" i="3"/>
  <c r="U236" i="3" l="1"/>
  <c r="Y235" i="3"/>
  <c r="T237" i="3"/>
  <c r="AH237" i="3" s="1"/>
  <c r="E237" i="3" l="1"/>
  <c r="H237" i="3" s="1"/>
  <c r="K237" i="3" s="1"/>
  <c r="AE237" i="3" s="1"/>
  <c r="AG237" i="3"/>
  <c r="D237" i="3"/>
  <c r="F237" i="3" l="1"/>
  <c r="G237" i="3"/>
  <c r="M237" i="3" s="1"/>
  <c r="N237" i="3" s="1"/>
  <c r="V237" i="3"/>
  <c r="A238" i="3"/>
  <c r="B238" i="3" s="1"/>
  <c r="I237" i="3" l="1"/>
  <c r="W237" i="3" s="1"/>
  <c r="J237" i="3"/>
  <c r="P238" i="3"/>
  <c r="Q238" i="3" s="1"/>
  <c r="R238" i="3" s="1"/>
  <c r="S238" i="3" s="1"/>
  <c r="Z238" i="3"/>
  <c r="AC238" i="3"/>
  <c r="AA238" i="3"/>
  <c r="L237" i="3" l="1"/>
  <c r="U237" i="3" s="1"/>
  <c r="AD237" i="3"/>
  <c r="T238" i="3"/>
  <c r="Y236" i="3" l="1"/>
  <c r="AG238" i="3"/>
  <c r="AH238" i="3"/>
  <c r="E238" i="3"/>
  <c r="H238" i="3" s="1"/>
  <c r="K238" i="3" s="1"/>
  <c r="AE238" i="3" s="1"/>
  <c r="D238" i="3"/>
  <c r="F238" i="3" l="1"/>
  <c r="G238" i="3"/>
  <c r="M238" i="3" s="1"/>
  <c r="N238" i="3" s="1"/>
  <c r="V238" i="3"/>
  <c r="A239" i="3"/>
  <c r="B239" i="3" s="1"/>
  <c r="I238" i="3" l="1"/>
  <c r="W238" i="3" s="1"/>
  <c r="J238" i="3"/>
  <c r="AD239" i="3"/>
  <c r="P239" i="3"/>
  <c r="Q239" i="3" s="1"/>
  <c r="R239" i="3" s="1"/>
  <c r="S239" i="3" s="1"/>
  <c r="AC239" i="3"/>
  <c r="Z239" i="3"/>
  <c r="AA239" i="3"/>
  <c r="L238" i="3" l="1"/>
  <c r="U238" i="3" s="1"/>
  <c r="AD238" i="3"/>
  <c r="T239" i="3"/>
  <c r="Y237" i="3" l="1"/>
  <c r="D239" i="3"/>
  <c r="G239" i="3" s="1"/>
  <c r="E239" i="3"/>
  <c r="H239" i="3" s="1"/>
  <c r="K239" i="3" s="1"/>
  <c r="AE239" i="3" s="1"/>
  <c r="AG239" i="3"/>
  <c r="AH239" i="3"/>
  <c r="F239" i="3" l="1"/>
  <c r="I239" i="3"/>
  <c r="J239" i="3"/>
  <c r="M239" i="3"/>
  <c r="N239" i="3" s="1"/>
  <c r="V239" i="3"/>
  <c r="A240" i="3"/>
  <c r="B240" i="3" s="1"/>
  <c r="W239" i="3" l="1"/>
  <c r="L239" i="3"/>
  <c r="Z240" i="3"/>
  <c r="P240" i="3"/>
  <c r="Q240" i="3" s="1"/>
  <c r="R240" i="3" s="1"/>
  <c r="S240" i="3" s="1"/>
  <c r="AD240" i="3"/>
  <c r="AA240" i="3"/>
  <c r="AC240" i="3"/>
  <c r="U239" i="3" l="1"/>
  <c r="Y238" i="3"/>
  <c r="T240" i="3"/>
  <c r="E240" i="3" l="1"/>
  <c r="H240" i="3" s="1"/>
  <c r="K240" i="3" s="1"/>
  <c r="AE240" i="3" s="1"/>
  <c r="D240" i="3"/>
  <c r="AG240" i="3"/>
  <c r="AH240" i="3"/>
  <c r="V240" i="3" l="1"/>
  <c r="A241" i="3"/>
  <c r="B241" i="3" s="1"/>
  <c r="F240" i="3"/>
  <c r="G240" i="3"/>
  <c r="I240" i="3" l="1"/>
  <c r="W240" i="3" s="1"/>
  <c r="J240" i="3"/>
  <c r="M240" i="3"/>
  <c r="N240" i="3" s="1"/>
  <c r="Z241" i="3"/>
  <c r="AD241" i="3"/>
  <c r="AC241" i="3"/>
  <c r="P241" i="3"/>
  <c r="Q241" i="3" s="1"/>
  <c r="R241" i="3" s="1"/>
  <c r="S241" i="3" s="1"/>
  <c r="AA241" i="3"/>
  <c r="T241" i="3" l="1"/>
  <c r="L240" i="3"/>
  <c r="AG241" i="3" l="1"/>
  <c r="AH241" i="3"/>
  <c r="U240" i="3"/>
  <c r="D241" i="3" s="1"/>
  <c r="Y239" i="3"/>
  <c r="G241" i="3" l="1"/>
  <c r="E241" i="3"/>
  <c r="H241" i="3" s="1"/>
  <c r="F241" i="3" l="1"/>
  <c r="I241" i="3"/>
  <c r="J241" i="3"/>
  <c r="M241" i="3"/>
  <c r="N241" i="3" s="1"/>
  <c r="K241" i="3"/>
  <c r="AE241" i="3" s="1"/>
  <c r="V241" i="3" l="1"/>
  <c r="W241" i="3" s="1"/>
  <c r="A242" i="3"/>
  <c r="B242" i="3" s="1"/>
  <c r="L241" i="3"/>
  <c r="U241" i="3" l="1"/>
  <c r="Y240" i="3"/>
  <c r="Z242" i="3"/>
  <c r="AA242" i="3"/>
  <c r="P242" i="3"/>
  <c r="Q242" i="3" s="1"/>
  <c r="R242" i="3" s="1"/>
  <c r="S242" i="3" s="1"/>
  <c r="AD242" i="3"/>
  <c r="AC242" i="3"/>
  <c r="T242" i="3" l="1"/>
  <c r="D242" i="3" s="1"/>
  <c r="E242" i="3" l="1"/>
  <c r="H242" i="3" s="1"/>
  <c r="K242" i="3" s="1"/>
  <c r="AE242" i="3" s="1"/>
  <c r="G242" i="3"/>
  <c r="AH242" i="3"/>
  <c r="AG242" i="3"/>
  <c r="F242" i="3" l="1"/>
  <c r="I242" i="3"/>
  <c r="J242" i="3"/>
  <c r="M242" i="3"/>
  <c r="N242" i="3" s="1"/>
  <c r="V242" i="3"/>
  <c r="A243" i="3"/>
  <c r="B243" i="3" s="1"/>
  <c r="W242" i="3" l="1"/>
  <c r="L242" i="3"/>
  <c r="AA243" i="3"/>
  <c r="AC243" i="3"/>
  <c r="Z243" i="3"/>
  <c r="P243" i="3"/>
  <c r="Q243" i="3" s="1"/>
  <c r="R243" i="3" s="1"/>
  <c r="S243" i="3" s="1"/>
  <c r="AD243" i="3"/>
  <c r="U242" i="3" l="1"/>
  <c r="Y241" i="3"/>
  <c r="T243" i="3"/>
  <c r="AH243" i="3" s="1"/>
  <c r="D243" i="3" l="1"/>
  <c r="G243" i="3" s="1"/>
  <c r="E243" i="3"/>
  <c r="H243" i="3" s="1"/>
  <c r="K243" i="3" s="1"/>
  <c r="AE243" i="3" s="1"/>
  <c r="AG243" i="3"/>
  <c r="F243" i="3" l="1"/>
  <c r="I243" i="3"/>
  <c r="J243" i="3"/>
  <c r="M243" i="3"/>
  <c r="N243" i="3" s="1"/>
  <c r="V243" i="3"/>
  <c r="A244" i="3"/>
  <c r="B244" i="3" s="1"/>
  <c r="W243" i="3" l="1"/>
  <c r="L243" i="3"/>
  <c r="AA244" i="3"/>
  <c r="P244" i="3"/>
  <c r="Q244" i="3" s="1"/>
  <c r="R244" i="3" s="1"/>
  <c r="S244" i="3" s="1"/>
  <c r="Z244" i="3"/>
  <c r="AC244" i="3"/>
  <c r="U243" i="3" l="1"/>
  <c r="Y242" i="3"/>
  <c r="T244" i="3"/>
  <c r="D244" i="3" l="1"/>
  <c r="G244" i="3" s="1"/>
  <c r="E244" i="3"/>
  <c r="H244" i="3" s="1"/>
  <c r="AG244" i="3"/>
  <c r="AH244" i="3"/>
  <c r="I244" i="3" l="1"/>
  <c r="J244" i="3"/>
  <c r="M244" i="3"/>
  <c r="N244" i="3" s="1"/>
  <c r="F244" i="3"/>
  <c r="K244" i="3"/>
  <c r="AE244" i="3" s="1"/>
  <c r="L244" i="3" l="1"/>
  <c r="AD244" i="3"/>
  <c r="V244" i="3"/>
  <c r="W244" i="3" s="1"/>
  <c r="A245" i="3"/>
  <c r="B245" i="3" s="1"/>
  <c r="U244" i="3" l="1"/>
  <c r="Y243" i="3"/>
  <c r="Z245" i="3"/>
  <c r="AD245" i="3"/>
  <c r="AA245" i="3"/>
  <c r="P245" i="3"/>
  <c r="Q245" i="3" s="1"/>
  <c r="R245" i="3" s="1"/>
  <c r="S245" i="3" s="1"/>
  <c r="AC245" i="3"/>
  <c r="T245" i="3" l="1"/>
  <c r="AG245" i="3" s="1"/>
  <c r="D245" i="3" l="1"/>
  <c r="G245" i="3" s="1"/>
  <c r="AH245" i="3"/>
  <c r="E245" i="3"/>
  <c r="H245" i="3" s="1"/>
  <c r="F245" i="3" l="1"/>
  <c r="I245" i="3"/>
  <c r="J245" i="3"/>
  <c r="M245" i="3"/>
  <c r="N245" i="3" s="1"/>
  <c r="K245" i="3"/>
  <c r="AE245" i="3" s="1"/>
  <c r="V245" i="3" l="1"/>
  <c r="W245" i="3" s="1"/>
  <c r="A246" i="3"/>
  <c r="B246" i="3" s="1"/>
  <c r="L245" i="3"/>
  <c r="U245" i="3" l="1"/>
  <c r="Y244" i="3"/>
  <c r="P246" i="3"/>
  <c r="Q246" i="3" s="1"/>
  <c r="R246" i="3" s="1"/>
  <c r="S246" i="3" s="1"/>
  <c r="AC246" i="3"/>
  <c r="Z246" i="3"/>
  <c r="AD246" i="3"/>
  <c r="AA246" i="3"/>
  <c r="T246" i="3" l="1"/>
  <c r="D246" i="3" s="1"/>
  <c r="E246" i="3" l="1"/>
  <c r="H246" i="3" s="1"/>
  <c r="K246" i="3" s="1"/>
  <c r="AE246" i="3" s="1"/>
  <c r="AG246" i="3"/>
  <c r="AH246" i="3"/>
  <c r="G246" i="3"/>
  <c r="F246" i="3" l="1"/>
  <c r="I246" i="3"/>
  <c r="J246" i="3"/>
  <c r="M246" i="3"/>
  <c r="N246" i="3" s="1"/>
  <c r="V246" i="3"/>
  <c r="A247" i="3"/>
  <c r="B247" i="3" s="1"/>
  <c r="W246" i="3" l="1"/>
  <c r="L246" i="3"/>
  <c r="P247" i="3"/>
  <c r="Q247" i="3" s="1"/>
  <c r="R247" i="3" s="1"/>
  <c r="S247" i="3" s="1"/>
  <c r="AA247" i="3"/>
  <c r="AC247" i="3"/>
  <c r="Z247" i="3"/>
  <c r="U246" i="3" l="1"/>
  <c r="Y245" i="3"/>
  <c r="T247" i="3"/>
  <c r="AG247" i="3" s="1"/>
  <c r="AH247" i="3" l="1"/>
  <c r="D247" i="3"/>
  <c r="E247" i="3"/>
  <c r="H247" i="3" s="1"/>
  <c r="K247" i="3" s="1"/>
  <c r="AE247" i="3" s="1"/>
  <c r="F247" i="3" l="1"/>
  <c r="G247" i="3"/>
  <c r="M247" i="3" s="1"/>
  <c r="N247" i="3" s="1"/>
  <c r="V247" i="3"/>
  <c r="A248" i="3"/>
  <c r="B248" i="3" s="1"/>
  <c r="I247" i="3" l="1"/>
  <c r="W247" i="3" s="1"/>
  <c r="J247" i="3"/>
  <c r="Z248" i="3"/>
  <c r="P248" i="3"/>
  <c r="Q248" i="3" s="1"/>
  <c r="R248" i="3" s="1"/>
  <c r="S248" i="3" s="1"/>
  <c r="AA248" i="3"/>
  <c r="AC248" i="3"/>
  <c r="L247" i="3" l="1"/>
  <c r="U247" i="3" s="1"/>
  <c r="AD247" i="3"/>
  <c r="T248" i="3"/>
  <c r="AG248" i="3" l="1"/>
  <c r="Y246" i="3"/>
  <c r="E248" i="3"/>
  <c r="H248" i="3" s="1"/>
  <c r="K248" i="3" s="1"/>
  <c r="AE248" i="3" s="1"/>
  <c r="AH248" i="3"/>
  <c r="D248" i="3"/>
  <c r="G248" i="3" s="1"/>
  <c r="F248" i="3" l="1"/>
  <c r="I248" i="3"/>
  <c r="J248" i="3"/>
  <c r="AD248" i="3" s="1"/>
  <c r="M248" i="3"/>
  <c r="N248" i="3" s="1"/>
  <c r="V248" i="3"/>
  <c r="A249" i="3"/>
  <c r="B249" i="3" s="1"/>
  <c r="W248" i="3" l="1"/>
  <c r="L248" i="3"/>
  <c r="AC249" i="3"/>
  <c r="P249" i="3"/>
  <c r="Q249" i="3" s="1"/>
  <c r="R249" i="3" s="1"/>
  <c r="S249" i="3" s="1"/>
  <c r="Z249" i="3"/>
  <c r="AD249" i="3"/>
  <c r="AA249" i="3"/>
  <c r="U248" i="3" l="1"/>
  <c r="Y247" i="3"/>
  <c r="T249" i="3"/>
  <c r="AG249" i="3" s="1"/>
  <c r="D249" i="3" l="1"/>
  <c r="G249" i="3" s="1"/>
  <c r="AH249" i="3"/>
  <c r="E249" i="3"/>
  <c r="H249" i="3" s="1"/>
  <c r="K249" i="3" s="1"/>
  <c r="AE249" i="3" s="1"/>
  <c r="F249" i="3" l="1"/>
  <c r="I249" i="3"/>
  <c r="J249" i="3"/>
  <c r="M249" i="3"/>
  <c r="N249" i="3" s="1"/>
  <c r="V249" i="3"/>
  <c r="A250" i="3"/>
  <c r="B250" i="3" s="1"/>
  <c r="W249" i="3" l="1"/>
  <c r="L249" i="3"/>
  <c r="AC250" i="3"/>
  <c r="AA250" i="3"/>
  <c r="P250" i="3"/>
  <c r="Q250" i="3" s="1"/>
  <c r="R250" i="3" s="1"/>
  <c r="S250" i="3" s="1"/>
  <c r="AD250" i="3"/>
  <c r="Z250" i="3"/>
  <c r="T250" i="3" l="1"/>
  <c r="AG250" i="3" s="1"/>
  <c r="U249" i="3"/>
  <c r="Y248" i="3"/>
  <c r="D250" i="3" l="1"/>
  <c r="E250" i="3"/>
  <c r="H250" i="3" s="1"/>
  <c r="AH250" i="3"/>
  <c r="F250" i="3" l="1"/>
  <c r="G250" i="3"/>
  <c r="K250" i="3"/>
  <c r="AE250" i="3" s="1"/>
  <c r="V250" i="3" l="1"/>
  <c r="A251" i="3"/>
  <c r="B251" i="3" s="1"/>
  <c r="I250" i="3"/>
  <c r="J250" i="3"/>
  <c r="M250" i="3"/>
  <c r="N250" i="3" s="1"/>
  <c r="W250" i="3" l="1"/>
  <c r="L250" i="3"/>
  <c r="P251" i="3"/>
  <c r="Q251" i="3" s="1"/>
  <c r="R251" i="3" s="1"/>
  <c r="S251" i="3" s="1"/>
  <c r="AC251" i="3"/>
  <c r="AA251" i="3"/>
  <c r="Z251" i="3"/>
  <c r="AD251" i="3"/>
  <c r="U250" i="3" l="1"/>
  <c r="Y249" i="3"/>
  <c r="T251" i="3"/>
  <c r="D251" i="3" l="1"/>
  <c r="G251" i="3" s="1"/>
  <c r="AG251" i="3"/>
  <c r="AH251" i="3"/>
  <c r="E251" i="3"/>
  <c r="H251" i="3" s="1"/>
  <c r="I251" i="3" l="1"/>
  <c r="J251" i="3"/>
  <c r="M251" i="3"/>
  <c r="N251" i="3" s="1"/>
  <c r="K251" i="3"/>
  <c r="AE251" i="3" s="1"/>
  <c r="F251" i="3"/>
  <c r="V251" i="3" l="1"/>
  <c r="W251" i="3" s="1"/>
  <c r="A252" i="3"/>
  <c r="B252" i="3" s="1"/>
  <c r="L251" i="3"/>
  <c r="U251" i="3" l="1"/>
  <c r="Y250" i="3"/>
  <c r="AD252" i="3"/>
  <c r="Z252" i="3"/>
  <c r="AA252" i="3"/>
  <c r="P252" i="3"/>
  <c r="Q252" i="3" s="1"/>
  <c r="R252" i="3" s="1"/>
  <c r="S252" i="3" s="1"/>
  <c r="AC252" i="3"/>
  <c r="T252" i="3" l="1"/>
  <c r="AH252" i="3" s="1"/>
  <c r="E252" i="3" l="1"/>
  <c r="H252" i="3" s="1"/>
  <c r="K252" i="3" s="1"/>
  <c r="AE252" i="3" s="1"/>
  <c r="AG252" i="3"/>
  <c r="D252" i="3"/>
  <c r="F252" i="3" l="1"/>
  <c r="G252" i="3"/>
  <c r="V252" i="3"/>
  <c r="A253" i="3"/>
  <c r="B253" i="3" s="1"/>
  <c r="AC253" i="3" l="1"/>
  <c r="AA253" i="3"/>
  <c r="AD253" i="3"/>
  <c r="P253" i="3"/>
  <c r="Q253" i="3" s="1"/>
  <c r="R253" i="3" s="1"/>
  <c r="S253" i="3" s="1"/>
  <c r="Z253" i="3"/>
  <c r="I252" i="3"/>
  <c r="W252" i="3" s="1"/>
  <c r="J252" i="3"/>
  <c r="M252" i="3"/>
  <c r="N252" i="3" s="1"/>
  <c r="L252" i="3" l="1"/>
  <c r="T253" i="3"/>
  <c r="AH253" i="3" l="1"/>
  <c r="U252" i="3"/>
  <c r="E253" i="3" s="1"/>
  <c r="H253" i="3" s="1"/>
  <c r="AG253" i="3"/>
  <c r="Y251" i="3"/>
  <c r="D253" i="3" l="1"/>
  <c r="F253" i="3" s="1"/>
  <c r="K253" i="3"/>
  <c r="AE253" i="3" s="1"/>
  <c r="G253" i="3" l="1"/>
  <c r="J253" i="3" s="1"/>
  <c r="V253" i="3"/>
  <c r="A254" i="3"/>
  <c r="B254" i="3" s="1"/>
  <c r="M253" i="3" l="1"/>
  <c r="N253" i="3" s="1"/>
  <c r="I253" i="3"/>
  <c r="W253" i="3" s="1"/>
  <c r="L253" i="3"/>
  <c r="AA254" i="3"/>
  <c r="AC254" i="3"/>
  <c r="P254" i="3"/>
  <c r="Q254" i="3" s="1"/>
  <c r="R254" i="3" s="1"/>
  <c r="S254" i="3" s="1"/>
  <c r="Z254" i="3"/>
  <c r="U253" i="3" l="1"/>
  <c r="Y252" i="3"/>
  <c r="T254" i="3"/>
  <c r="AH254" i="3" s="1"/>
  <c r="D254" i="3" l="1"/>
  <c r="G254" i="3" s="1"/>
  <c r="E254" i="3"/>
  <c r="H254" i="3" s="1"/>
  <c r="K254" i="3" s="1"/>
  <c r="AE254" i="3" s="1"/>
  <c r="AG254" i="3"/>
  <c r="F254" i="3" l="1"/>
  <c r="I254" i="3"/>
  <c r="J254" i="3"/>
  <c r="M254" i="3"/>
  <c r="N254" i="3" s="1"/>
  <c r="V254" i="3"/>
  <c r="A255" i="3"/>
  <c r="B255" i="3" s="1"/>
  <c r="W254" i="3" l="1"/>
  <c r="L254" i="3"/>
  <c r="AD254" i="3"/>
  <c r="AA255" i="3"/>
  <c r="AC255" i="3"/>
  <c r="AD255" i="3"/>
  <c r="Z255" i="3"/>
  <c r="P255" i="3"/>
  <c r="Q255" i="3" s="1"/>
  <c r="R255" i="3" s="1"/>
  <c r="S255" i="3" s="1"/>
  <c r="U254" i="3" l="1"/>
  <c r="Y253" i="3"/>
  <c r="T255" i="3"/>
  <c r="D255" i="3" l="1"/>
  <c r="G255" i="3" s="1"/>
  <c r="AG255" i="3"/>
  <c r="AH255" i="3"/>
  <c r="E255" i="3"/>
  <c r="H255" i="3" s="1"/>
  <c r="K255" i="3" s="1"/>
  <c r="AE255" i="3" s="1"/>
  <c r="F255" i="3" l="1"/>
  <c r="I255" i="3"/>
  <c r="J255" i="3"/>
  <c r="M255" i="3"/>
  <c r="N255" i="3" s="1"/>
  <c r="V255" i="3"/>
  <c r="A256" i="3"/>
  <c r="B256" i="3" s="1"/>
  <c r="W255" i="3" l="1"/>
  <c r="L255" i="3"/>
  <c r="AA256" i="3"/>
  <c r="AD256" i="3"/>
  <c r="P256" i="3"/>
  <c r="Q256" i="3" s="1"/>
  <c r="R256" i="3" s="1"/>
  <c r="S256" i="3" s="1"/>
  <c r="Z256" i="3"/>
  <c r="AC256" i="3"/>
  <c r="U255" i="3" l="1"/>
  <c r="Y254" i="3"/>
  <c r="T256" i="3"/>
  <c r="D256" i="3" l="1"/>
  <c r="G256" i="3" s="1"/>
  <c r="E256" i="3"/>
  <c r="H256" i="3" s="1"/>
  <c r="AH256" i="3"/>
  <c r="AG256" i="3"/>
  <c r="F256" i="3" l="1"/>
  <c r="I256" i="3"/>
  <c r="J256" i="3"/>
  <c r="M256" i="3"/>
  <c r="N256" i="3" s="1"/>
  <c r="K256" i="3"/>
  <c r="AE256" i="3" s="1"/>
  <c r="L256" i="3" l="1"/>
  <c r="V256" i="3"/>
  <c r="W256" i="3" s="1"/>
  <c r="A257" i="3"/>
  <c r="B257" i="3" s="1"/>
  <c r="U256" i="3" l="1"/>
  <c r="Y255" i="3"/>
  <c r="AC257" i="3"/>
  <c r="Z257" i="3"/>
  <c r="P257" i="3"/>
  <c r="Q257" i="3" s="1"/>
  <c r="R257" i="3" s="1"/>
  <c r="S257" i="3" s="1"/>
  <c r="AA257" i="3"/>
  <c r="T257" i="3" l="1"/>
  <c r="D257" i="3" s="1"/>
  <c r="E257" i="3" l="1"/>
  <c r="H257" i="3" s="1"/>
  <c r="K257" i="3" s="1"/>
  <c r="AE257" i="3" s="1"/>
  <c r="AG257" i="3"/>
  <c r="AH257" i="3"/>
  <c r="G257" i="3"/>
  <c r="F257" i="3" l="1"/>
  <c r="V257" i="3"/>
  <c r="A258" i="3"/>
  <c r="B258" i="3" s="1"/>
  <c r="I257" i="3"/>
  <c r="J257" i="3"/>
  <c r="AD257" i="3" s="1"/>
  <c r="M257" i="3"/>
  <c r="N257" i="3" s="1"/>
  <c r="W257" i="3" l="1"/>
  <c r="L257" i="3"/>
  <c r="AC258" i="3"/>
  <c r="Z258" i="3"/>
  <c r="P258" i="3"/>
  <c r="Q258" i="3" s="1"/>
  <c r="R258" i="3" s="1"/>
  <c r="S258" i="3" s="1"/>
  <c r="AA258" i="3"/>
  <c r="U257" i="3" l="1"/>
  <c r="Y256" i="3"/>
  <c r="T258" i="3"/>
  <c r="AG258" i="3" s="1"/>
  <c r="E258" i="3" l="1"/>
  <c r="H258" i="3" s="1"/>
  <c r="D258" i="3"/>
  <c r="AH258" i="3"/>
  <c r="F258" i="3" l="1"/>
  <c r="G258" i="3"/>
  <c r="K258" i="3"/>
  <c r="AE258" i="3" s="1"/>
  <c r="V258" i="3" l="1"/>
  <c r="A259" i="3"/>
  <c r="B259" i="3" s="1"/>
  <c r="I258" i="3"/>
  <c r="J258" i="3"/>
  <c r="AD258" i="3" s="1"/>
  <c r="M258" i="3"/>
  <c r="N258" i="3" s="1"/>
  <c r="L258" i="3" l="1"/>
  <c r="AC259" i="3"/>
  <c r="P259" i="3"/>
  <c r="Q259" i="3" s="1"/>
  <c r="R259" i="3" s="1"/>
  <c r="S259" i="3" s="1"/>
  <c r="Z259" i="3"/>
  <c r="AD259" i="3"/>
  <c r="AA259" i="3"/>
  <c r="W258" i="3"/>
  <c r="U258" i="3" l="1"/>
  <c r="Y257" i="3"/>
  <c r="T259" i="3"/>
  <c r="AH259" i="3" s="1"/>
  <c r="D259" i="3" l="1"/>
  <c r="G259" i="3" s="1"/>
  <c r="AG259" i="3"/>
  <c r="E259" i="3"/>
  <c r="H259" i="3" s="1"/>
  <c r="K259" i="3" s="1"/>
  <c r="AE259" i="3" s="1"/>
  <c r="F259" i="3" l="1"/>
  <c r="I259" i="3"/>
  <c r="J259" i="3"/>
  <c r="M259" i="3"/>
  <c r="N259" i="3" s="1"/>
  <c r="V259" i="3"/>
  <c r="A260" i="3"/>
  <c r="B260" i="3" s="1"/>
  <c r="W259" i="3" l="1"/>
  <c r="L259" i="3"/>
  <c r="AA260" i="3"/>
  <c r="P260" i="3"/>
  <c r="Q260" i="3" s="1"/>
  <c r="R260" i="3" s="1"/>
  <c r="S260" i="3" s="1"/>
  <c r="AD260" i="3"/>
  <c r="Z260" i="3"/>
  <c r="AC260" i="3"/>
  <c r="U259" i="3" l="1"/>
  <c r="Y258" i="3"/>
  <c r="T260" i="3"/>
  <c r="AH260" i="3" s="1"/>
  <c r="AG260" i="3" l="1"/>
  <c r="D260" i="3"/>
  <c r="E260" i="3"/>
  <c r="H260" i="3" s="1"/>
  <c r="K260" i="3" l="1"/>
  <c r="AE260" i="3" s="1"/>
  <c r="F260" i="3"/>
  <c r="G260" i="3"/>
  <c r="I260" i="3" l="1"/>
  <c r="J260" i="3"/>
  <c r="M260" i="3"/>
  <c r="N260" i="3" s="1"/>
  <c r="V260" i="3"/>
  <c r="A261" i="3"/>
  <c r="B261" i="3" s="1"/>
  <c r="W260" i="3" l="1"/>
  <c r="L260" i="3"/>
  <c r="Z261" i="3"/>
  <c r="AA261" i="3"/>
  <c r="AD261" i="3"/>
  <c r="P261" i="3"/>
  <c r="Q261" i="3" s="1"/>
  <c r="R261" i="3" s="1"/>
  <c r="S261" i="3" s="1"/>
  <c r="AC261" i="3"/>
  <c r="U260" i="3" l="1"/>
  <c r="Y259" i="3"/>
  <c r="T261" i="3"/>
  <c r="AH261" i="3" s="1"/>
  <c r="E261" i="3" l="1"/>
  <c r="H261" i="3" s="1"/>
  <c r="D261" i="3"/>
  <c r="AG261" i="3"/>
  <c r="K261" i="3" l="1"/>
  <c r="AE261" i="3" s="1"/>
  <c r="F261" i="3"/>
  <c r="G261" i="3"/>
  <c r="I261" i="3" l="1"/>
  <c r="J261" i="3"/>
  <c r="M261" i="3"/>
  <c r="N261" i="3" s="1"/>
  <c r="V261" i="3"/>
  <c r="A262" i="3"/>
  <c r="B262" i="3" s="1"/>
  <c r="W261" i="3" l="1"/>
  <c r="L261" i="3"/>
  <c r="AA262" i="3"/>
  <c r="Z262" i="3"/>
  <c r="P262" i="3"/>
  <c r="Q262" i="3" s="1"/>
  <c r="R262" i="3" s="1"/>
  <c r="S262" i="3" s="1"/>
  <c r="AC262" i="3"/>
  <c r="AD262" i="3"/>
  <c r="T262" i="3" l="1"/>
  <c r="AG262" i="3" s="1"/>
  <c r="U261" i="3"/>
  <c r="Y260" i="3"/>
  <c r="E262" i="3" l="1"/>
  <c r="H262" i="3" s="1"/>
  <c r="K262" i="3" s="1"/>
  <c r="AE262" i="3" s="1"/>
  <c r="AH262" i="3"/>
  <c r="D262" i="3"/>
  <c r="F262" i="3" l="1"/>
  <c r="G262" i="3"/>
  <c r="V262" i="3"/>
  <c r="A263" i="3"/>
  <c r="B263" i="3" s="1"/>
  <c r="P263" i="3" l="1"/>
  <c r="Q263" i="3" s="1"/>
  <c r="R263" i="3" s="1"/>
  <c r="S263" i="3" s="1"/>
  <c r="AA263" i="3"/>
  <c r="Z263" i="3"/>
  <c r="AD263" i="3"/>
  <c r="AC263" i="3"/>
  <c r="I262" i="3"/>
  <c r="W262" i="3" s="1"/>
  <c r="J262" i="3"/>
  <c r="M262" i="3"/>
  <c r="N262" i="3" s="1"/>
  <c r="L262" i="3" l="1"/>
  <c r="T263" i="3"/>
  <c r="U262" i="3" l="1"/>
  <c r="E263" i="3" s="1"/>
  <c r="H263" i="3" s="1"/>
  <c r="AH263" i="3"/>
  <c r="AG263" i="3"/>
  <c r="Y261" i="3"/>
  <c r="D263" i="3" l="1"/>
  <c r="G263" i="3" s="1"/>
  <c r="K263" i="3"/>
  <c r="AE263" i="3" s="1"/>
  <c r="F263" i="3" l="1"/>
  <c r="V263" i="3"/>
  <c r="A264" i="3"/>
  <c r="B264" i="3" s="1"/>
  <c r="I263" i="3"/>
  <c r="J263" i="3"/>
  <c r="M263" i="3"/>
  <c r="N263" i="3" s="1"/>
  <c r="W263" i="3" l="1"/>
  <c r="L263" i="3"/>
  <c r="P264" i="3"/>
  <c r="Q264" i="3" s="1"/>
  <c r="R264" i="3" s="1"/>
  <c r="S264" i="3" s="1"/>
  <c r="AA264" i="3"/>
  <c r="AC264" i="3"/>
  <c r="Z264" i="3"/>
  <c r="U263" i="3" l="1"/>
  <c r="Y262" i="3"/>
  <c r="T264" i="3"/>
  <c r="AH264" i="3" s="1"/>
  <c r="AG264" i="3" l="1"/>
  <c r="D264" i="3"/>
  <c r="G264" i="3" s="1"/>
  <c r="E264" i="3"/>
  <c r="H264" i="3" s="1"/>
  <c r="K264" i="3" l="1"/>
  <c r="AE264" i="3" s="1"/>
  <c r="I264" i="3"/>
  <c r="J264" i="3"/>
  <c r="AD264" i="3" s="1"/>
  <c r="M264" i="3"/>
  <c r="N264" i="3" s="1"/>
  <c r="F264" i="3"/>
  <c r="L264" i="3" l="1"/>
  <c r="V264" i="3"/>
  <c r="W264" i="3" s="1"/>
  <c r="A265" i="3"/>
  <c r="B265" i="3" s="1"/>
  <c r="U264" i="3" l="1"/>
  <c r="Y263" i="3"/>
  <c r="P265" i="3"/>
  <c r="Q265" i="3" s="1"/>
  <c r="R265" i="3" s="1"/>
  <c r="S265" i="3" s="1"/>
  <c r="AA265" i="3"/>
  <c r="AD265" i="3"/>
  <c r="Z265" i="3"/>
  <c r="AC265" i="3"/>
  <c r="T265" i="3" l="1"/>
  <c r="AG265" i="3" l="1"/>
  <c r="AH265" i="3"/>
  <c r="D265" i="3"/>
  <c r="E265" i="3"/>
  <c r="H265" i="3" s="1"/>
  <c r="F265" i="3" l="1"/>
  <c r="G265" i="3"/>
  <c r="K265" i="3"/>
  <c r="AE265" i="3" s="1"/>
  <c r="I265" i="3" l="1"/>
  <c r="J265" i="3"/>
  <c r="M265" i="3"/>
  <c r="N265" i="3" s="1"/>
  <c r="V265" i="3"/>
  <c r="A266" i="3"/>
  <c r="B266" i="3" s="1"/>
  <c r="L265" i="3" l="1"/>
  <c r="W265" i="3"/>
  <c r="P266" i="3"/>
  <c r="Q266" i="3" s="1"/>
  <c r="R266" i="3" s="1"/>
  <c r="S266" i="3" s="1"/>
  <c r="AC266" i="3"/>
  <c r="Z266" i="3"/>
  <c r="AA266" i="3"/>
  <c r="AD266" i="3"/>
  <c r="T266" i="3" l="1"/>
  <c r="U265" i="3"/>
  <c r="Y264" i="3"/>
  <c r="E266" i="3" l="1"/>
  <c r="H266" i="3" s="1"/>
  <c r="K266" i="3" s="1"/>
  <c r="AE266" i="3" s="1"/>
  <c r="AH266" i="3"/>
  <c r="AG266" i="3"/>
  <c r="D266" i="3"/>
  <c r="V266" i="3" l="1"/>
  <c r="A267" i="3"/>
  <c r="B267" i="3" s="1"/>
  <c r="F266" i="3"/>
  <c r="G266" i="3"/>
  <c r="I266" i="3" l="1"/>
  <c r="W266" i="3" s="1"/>
  <c r="J266" i="3"/>
  <c r="M266" i="3"/>
  <c r="N266" i="3" s="1"/>
  <c r="AC267" i="3"/>
  <c r="P267" i="3"/>
  <c r="Q267" i="3" s="1"/>
  <c r="R267" i="3" s="1"/>
  <c r="S267" i="3" s="1"/>
  <c r="AA267" i="3"/>
  <c r="Z267" i="3"/>
  <c r="T267" i="3" l="1"/>
  <c r="L266" i="3"/>
  <c r="AH267" i="3" l="1"/>
  <c r="AG267" i="3"/>
  <c r="U266" i="3"/>
  <c r="E267" i="3" s="1"/>
  <c r="H267" i="3" s="1"/>
  <c r="Y265" i="3"/>
  <c r="K267" i="3" l="1"/>
  <c r="AE267" i="3" s="1"/>
  <c r="D267" i="3"/>
  <c r="V267" i="3" l="1"/>
  <c r="A268" i="3"/>
  <c r="B268" i="3" s="1"/>
  <c r="F267" i="3"/>
  <c r="G267" i="3"/>
  <c r="I267" i="3" l="1"/>
  <c r="W267" i="3" s="1"/>
  <c r="J267" i="3"/>
  <c r="AD267" i="3" s="1"/>
  <c r="M267" i="3"/>
  <c r="N267" i="3" s="1"/>
  <c r="AC268" i="3"/>
  <c r="P268" i="3"/>
  <c r="Q268" i="3" s="1"/>
  <c r="R268" i="3" s="1"/>
  <c r="S268" i="3" s="1"/>
  <c r="Z268" i="3"/>
  <c r="AA268" i="3"/>
  <c r="T268" i="3" l="1"/>
  <c r="L267" i="3"/>
  <c r="U267" i="3" l="1"/>
  <c r="E268" i="3" s="1"/>
  <c r="H268" i="3" s="1"/>
  <c r="AH268" i="3"/>
  <c r="AG268" i="3"/>
  <c r="Y266" i="3"/>
  <c r="K268" i="3" l="1"/>
  <c r="AE268" i="3" s="1"/>
  <c r="D268" i="3"/>
  <c r="V268" i="3" l="1"/>
  <c r="A269" i="3"/>
  <c r="B269" i="3" s="1"/>
  <c r="F268" i="3"/>
  <c r="G268" i="3"/>
  <c r="I268" i="3" l="1"/>
  <c r="W268" i="3" s="1"/>
  <c r="J268" i="3"/>
  <c r="AD268" i="3" s="1"/>
  <c r="M268" i="3"/>
  <c r="N268" i="3" s="1"/>
  <c r="AD269" i="3"/>
  <c r="P269" i="3"/>
  <c r="Q269" i="3" s="1"/>
  <c r="R269" i="3" s="1"/>
  <c r="S269" i="3" s="1"/>
  <c r="AA269" i="3"/>
  <c r="Z269" i="3"/>
  <c r="AC269" i="3"/>
  <c r="T269" i="3" l="1"/>
  <c r="L268" i="3"/>
  <c r="U268" i="3" l="1"/>
  <c r="D269" i="3" s="1"/>
  <c r="AH269" i="3"/>
  <c r="AG269" i="3"/>
  <c r="Y267" i="3"/>
  <c r="G269" i="3" l="1"/>
  <c r="E269" i="3"/>
  <c r="H269" i="3" s="1"/>
  <c r="F269" i="3" l="1"/>
  <c r="I269" i="3"/>
  <c r="J269" i="3"/>
  <c r="M269" i="3"/>
  <c r="N269" i="3" s="1"/>
  <c r="K269" i="3"/>
  <c r="AE269" i="3" s="1"/>
  <c r="V269" i="3" l="1"/>
  <c r="W269" i="3" s="1"/>
  <c r="A270" i="3"/>
  <c r="B270" i="3" s="1"/>
  <c r="L269" i="3"/>
  <c r="U269" i="3" l="1"/>
  <c r="Y268" i="3"/>
  <c r="AA270" i="3"/>
  <c r="Z270" i="3"/>
  <c r="P270" i="3"/>
  <c r="Q270" i="3" s="1"/>
  <c r="R270" i="3" s="1"/>
  <c r="S270" i="3" s="1"/>
  <c r="AC270" i="3"/>
  <c r="AD270" i="3"/>
  <c r="T270" i="3" l="1"/>
  <c r="AG270" i="3" s="1"/>
  <c r="AH270" i="3" l="1"/>
  <c r="E270" i="3"/>
  <c r="H270" i="3" s="1"/>
  <c r="K270" i="3" s="1"/>
  <c r="AE270" i="3" s="1"/>
  <c r="D270" i="3"/>
  <c r="G270" i="3" s="1"/>
  <c r="F270" i="3" l="1"/>
  <c r="V270" i="3"/>
  <c r="A271" i="3"/>
  <c r="B271" i="3" s="1"/>
  <c r="I270" i="3"/>
  <c r="J270" i="3"/>
  <c r="M270" i="3"/>
  <c r="N270" i="3" s="1"/>
  <c r="L270" i="3" l="1"/>
  <c r="Z271" i="3"/>
  <c r="AA271" i="3"/>
  <c r="P271" i="3"/>
  <c r="Q271" i="3" s="1"/>
  <c r="R271" i="3" s="1"/>
  <c r="S271" i="3" s="1"/>
  <c r="AC271" i="3"/>
  <c r="AD271" i="3"/>
  <c r="W270" i="3"/>
  <c r="U270" i="3" l="1"/>
  <c r="Y269" i="3"/>
  <c r="T271" i="3"/>
  <c r="AH271" i="3" s="1"/>
  <c r="AG271" i="3" l="1"/>
  <c r="D271" i="3"/>
  <c r="E271" i="3"/>
  <c r="H271" i="3" s="1"/>
  <c r="K271" i="3" l="1"/>
  <c r="AE271" i="3" s="1"/>
  <c r="F271" i="3"/>
  <c r="G271" i="3"/>
  <c r="I271" i="3" l="1"/>
  <c r="J271" i="3"/>
  <c r="M271" i="3"/>
  <c r="N271" i="3" s="1"/>
  <c r="V271" i="3"/>
  <c r="A272" i="3"/>
  <c r="B272" i="3" s="1"/>
  <c r="W271" i="3" l="1"/>
  <c r="L271" i="3"/>
  <c r="AD272" i="3"/>
  <c r="Z272" i="3"/>
  <c r="AA272" i="3"/>
  <c r="P272" i="3"/>
  <c r="Q272" i="3" s="1"/>
  <c r="R272" i="3" s="1"/>
  <c r="S272" i="3" s="1"/>
  <c r="AC272" i="3"/>
  <c r="T272" i="3" l="1"/>
  <c r="U271" i="3"/>
  <c r="Y270" i="3"/>
  <c r="D272" i="3" l="1"/>
  <c r="G272" i="3" s="1"/>
  <c r="E272" i="3"/>
  <c r="H272" i="3" s="1"/>
  <c r="K272" i="3" s="1"/>
  <c r="AE272" i="3" s="1"/>
  <c r="AG272" i="3"/>
  <c r="AH272" i="3"/>
  <c r="F272" i="3" l="1"/>
  <c r="I272" i="3"/>
  <c r="J272" i="3"/>
  <c r="M272" i="3"/>
  <c r="N272" i="3" s="1"/>
  <c r="V272" i="3"/>
  <c r="A273" i="3"/>
  <c r="B273" i="3" s="1"/>
  <c r="W272" i="3" l="1"/>
  <c r="L272" i="3"/>
  <c r="AA273" i="3"/>
  <c r="P273" i="3"/>
  <c r="Q273" i="3" s="1"/>
  <c r="R273" i="3" s="1"/>
  <c r="S273" i="3" s="1"/>
  <c r="Z273" i="3"/>
  <c r="AC273" i="3"/>
  <c r="AD273" i="3"/>
  <c r="T273" i="3" l="1"/>
  <c r="AG273" i="3" s="1"/>
  <c r="U272" i="3"/>
  <c r="Y271" i="3"/>
  <c r="D273" i="3" l="1"/>
  <c r="G273" i="3" s="1"/>
  <c r="AH273" i="3"/>
  <c r="E273" i="3"/>
  <c r="H273" i="3" s="1"/>
  <c r="F273" i="3" l="1"/>
  <c r="I273" i="3"/>
  <c r="J273" i="3"/>
  <c r="M273" i="3"/>
  <c r="N273" i="3" s="1"/>
  <c r="K273" i="3"/>
  <c r="AE273" i="3" s="1"/>
  <c r="L273" i="3" l="1"/>
  <c r="V273" i="3"/>
  <c r="W273" i="3" s="1"/>
  <c r="A274" i="3"/>
  <c r="B274" i="3" s="1"/>
  <c r="P274" i="3" l="1"/>
  <c r="Q274" i="3" s="1"/>
  <c r="R274" i="3" s="1"/>
  <c r="S274" i="3" s="1"/>
  <c r="AC274" i="3"/>
  <c r="Z274" i="3"/>
  <c r="AA274" i="3"/>
  <c r="U273" i="3"/>
  <c r="Y272" i="3"/>
  <c r="T274" i="3" l="1"/>
  <c r="AG274" i="3" s="1"/>
  <c r="D274" i="3" l="1"/>
  <c r="G274" i="3" s="1"/>
  <c r="AH274" i="3"/>
  <c r="E274" i="3"/>
  <c r="H274" i="3" s="1"/>
  <c r="I274" i="3" l="1"/>
  <c r="J274" i="3"/>
  <c r="AD274" i="3" s="1"/>
  <c r="M274" i="3"/>
  <c r="N274" i="3" s="1"/>
  <c r="K274" i="3"/>
  <c r="AE274" i="3" s="1"/>
  <c r="F274" i="3"/>
  <c r="L274" i="3" l="1"/>
  <c r="V274" i="3"/>
  <c r="W274" i="3" s="1"/>
  <c r="A275" i="3"/>
  <c r="B275" i="3" s="1"/>
  <c r="U274" i="3" l="1"/>
  <c r="Y273" i="3"/>
  <c r="AA275" i="3"/>
  <c r="P275" i="3"/>
  <c r="Q275" i="3" s="1"/>
  <c r="R275" i="3" s="1"/>
  <c r="S275" i="3" s="1"/>
  <c r="AD275" i="3"/>
  <c r="Z275" i="3"/>
  <c r="AC275" i="3"/>
  <c r="T275" i="3" l="1"/>
  <c r="AH275" i="3" s="1"/>
  <c r="E275" i="3" l="1"/>
  <c r="H275" i="3" s="1"/>
  <c r="AG275" i="3"/>
  <c r="D275" i="3"/>
  <c r="F275" i="3" l="1"/>
  <c r="G275" i="3"/>
  <c r="K275" i="3"/>
  <c r="AE275" i="3" s="1"/>
  <c r="I275" i="3" l="1"/>
  <c r="J275" i="3"/>
  <c r="M275" i="3"/>
  <c r="N275" i="3" s="1"/>
  <c r="V275" i="3"/>
  <c r="A276" i="3"/>
  <c r="B276" i="3" s="1"/>
  <c r="W275" i="3" l="1"/>
  <c r="L275" i="3"/>
  <c r="AA276" i="3"/>
  <c r="Z276" i="3"/>
  <c r="P276" i="3"/>
  <c r="Q276" i="3" s="1"/>
  <c r="R276" i="3" s="1"/>
  <c r="S276" i="3" s="1"/>
  <c r="AC276" i="3"/>
  <c r="AD276" i="3"/>
  <c r="U275" i="3" l="1"/>
  <c r="Y274" i="3"/>
  <c r="T276" i="3"/>
  <c r="AH276" i="3" s="1"/>
  <c r="D276" i="3" l="1"/>
  <c r="AG276" i="3"/>
  <c r="E276" i="3"/>
  <c r="H276" i="3" s="1"/>
  <c r="F276" i="3" l="1"/>
  <c r="G276" i="3"/>
  <c r="K276" i="3"/>
  <c r="AE276" i="3" s="1"/>
  <c r="I276" i="3" l="1"/>
  <c r="J276" i="3"/>
  <c r="M276" i="3"/>
  <c r="N276" i="3" s="1"/>
  <c r="V276" i="3"/>
  <c r="A277" i="3"/>
  <c r="B277" i="3" s="1"/>
  <c r="W276" i="3" l="1"/>
  <c r="L276" i="3"/>
  <c r="P277" i="3"/>
  <c r="Q277" i="3" s="1"/>
  <c r="R277" i="3" s="1"/>
  <c r="S277" i="3" s="1"/>
  <c r="AC277" i="3"/>
  <c r="Z277" i="3"/>
  <c r="AA277" i="3"/>
  <c r="U276" i="3" l="1"/>
  <c r="Y275" i="3"/>
  <c r="T277" i="3"/>
  <c r="AG277" i="3" s="1"/>
  <c r="D277" i="3" l="1"/>
  <c r="G277" i="3" s="1"/>
  <c r="E277" i="3"/>
  <c r="H277" i="3" s="1"/>
  <c r="K277" i="3" s="1"/>
  <c r="AE277" i="3" s="1"/>
  <c r="AH277" i="3"/>
  <c r="F277" i="3" l="1"/>
  <c r="V277" i="3"/>
  <c r="A278" i="3"/>
  <c r="B278" i="3" s="1"/>
  <c r="I277" i="3"/>
  <c r="J277" i="3"/>
  <c r="AD277" i="3" s="1"/>
  <c r="M277" i="3"/>
  <c r="N277" i="3" s="1"/>
  <c r="W277" i="3" l="1"/>
  <c r="L277" i="3"/>
  <c r="AC278" i="3"/>
  <c r="Z278" i="3"/>
  <c r="P278" i="3"/>
  <c r="Q278" i="3" s="1"/>
  <c r="R278" i="3" s="1"/>
  <c r="S278" i="3" s="1"/>
  <c r="AA278" i="3"/>
  <c r="T278" i="3" l="1"/>
  <c r="U277" i="3"/>
  <c r="Y276" i="3"/>
  <c r="E278" i="3" l="1"/>
  <c r="H278" i="3" s="1"/>
  <c r="K278" i="3" s="1"/>
  <c r="AE278" i="3" s="1"/>
  <c r="D278" i="3"/>
  <c r="AH278" i="3"/>
  <c r="AG278" i="3"/>
  <c r="V278" i="3" l="1"/>
  <c r="A279" i="3"/>
  <c r="B279" i="3" s="1"/>
  <c r="F278" i="3"/>
  <c r="G278" i="3"/>
  <c r="I278" i="3" l="1"/>
  <c r="W278" i="3" s="1"/>
  <c r="J278" i="3"/>
  <c r="AD278" i="3" s="1"/>
  <c r="M278" i="3"/>
  <c r="N278" i="3" s="1"/>
  <c r="P279" i="3"/>
  <c r="Q279" i="3" s="1"/>
  <c r="R279" i="3" s="1"/>
  <c r="S279" i="3" s="1"/>
  <c r="AA279" i="3"/>
  <c r="AD279" i="3"/>
  <c r="Z279" i="3"/>
  <c r="AC279" i="3"/>
  <c r="T279" i="3" l="1"/>
  <c r="L278" i="3"/>
  <c r="U278" i="3" l="1"/>
  <c r="D279" i="3" s="1"/>
  <c r="AG279" i="3"/>
  <c r="AH279" i="3"/>
  <c r="Y277" i="3"/>
  <c r="G279" i="3" l="1"/>
  <c r="E279" i="3"/>
  <c r="H279" i="3" s="1"/>
  <c r="I279" i="3" l="1"/>
  <c r="J279" i="3"/>
  <c r="M279" i="3"/>
  <c r="N279" i="3" s="1"/>
  <c r="F279" i="3"/>
  <c r="K279" i="3"/>
  <c r="AE279" i="3" s="1"/>
  <c r="V279" i="3" l="1"/>
  <c r="W279" i="3" s="1"/>
  <c r="A280" i="3"/>
  <c r="B280" i="3" s="1"/>
  <c r="L279" i="3"/>
  <c r="U279" i="3" l="1"/>
  <c r="Y278" i="3"/>
  <c r="AA280" i="3"/>
  <c r="P280" i="3"/>
  <c r="Q280" i="3" s="1"/>
  <c r="R280" i="3" s="1"/>
  <c r="S280" i="3" s="1"/>
  <c r="AD280" i="3"/>
  <c r="AC280" i="3"/>
  <c r="Z280" i="3"/>
  <c r="T280" i="3" l="1"/>
  <c r="AH280" i="3" s="1"/>
  <c r="D280" i="3" l="1"/>
  <c r="G280" i="3" s="1"/>
  <c r="E280" i="3"/>
  <c r="H280" i="3" s="1"/>
  <c r="K280" i="3" s="1"/>
  <c r="AE280" i="3" s="1"/>
  <c r="AG280" i="3"/>
  <c r="F280" i="3" l="1"/>
  <c r="I280" i="3"/>
  <c r="J280" i="3"/>
  <c r="M280" i="3"/>
  <c r="N280" i="3" s="1"/>
  <c r="V280" i="3"/>
  <c r="A281" i="3"/>
  <c r="B281" i="3" s="1"/>
  <c r="L280" i="3" l="1"/>
  <c r="W280" i="3"/>
  <c r="AC281" i="3"/>
  <c r="AA281" i="3"/>
  <c r="P281" i="3"/>
  <c r="Q281" i="3" s="1"/>
  <c r="R281" i="3" s="1"/>
  <c r="S281" i="3" s="1"/>
  <c r="AD281" i="3"/>
  <c r="Z281" i="3"/>
  <c r="T281" i="3" l="1"/>
  <c r="AG281" i="3" s="1"/>
  <c r="U280" i="3"/>
  <c r="Y279" i="3"/>
  <c r="D281" i="3" l="1"/>
  <c r="E281" i="3"/>
  <c r="H281" i="3" s="1"/>
  <c r="AH281" i="3"/>
  <c r="F281" i="3" l="1"/>
  <c r="G281" i="3"/>
  <c r="K281" i="3"/>
  <c r="AE281" i="3" s="1"/>
  <c r="I281" i="3" l="1"/>
  <c r="J281" i="3"/>
  <c r="M281" i="3"/>
  <c r="N281" i="3" s="1"/>
  <c r="V281" i="3"/>
  <c r="A282" i="3"/>
  <c r="B282" i="3" s="1"/>
  <c r="W281" i="3" l="1"/>
  <c r="L281" i="3"/>
  <c r="AC282" i="3"/>
  <c r="Z282" i="3"/>
  <c r="AD282" i="3"/>
  <c r="P282" i="3"/>
  <c r="Q282" i="3" s="1"/>
  <c r="R282" i="3" s="1"/>
  <c r="S282" i="3" s="1"/>
  <c r="AA282" i="3"/>
  <c r="U281" i="3" l="1"/>
  <c r="Y280" i="3"/>
  <c r="T282" i="3"/>
  <c r="D282" i="3" l="1"/>
  <c r="G282" i="3" s="1"/>
  <c r="E282" i="3"/>
  <c r="H282" i="3" s="1"/>
  <c r="AH282" i="3"/>
  <c r="AG282" i="3"/>
  <c r="F282" i="3" l="1"/>
  <c r="I282" i="3"/>
  <c r="J282" i="3"/>
  <c r="M282" i="3"/>
  <c r="N282" i="3" s="1"/>
  <c r="K282" i="3"/>
  <c r="AE282" i="3" s="1"/>
  <c r="V282" i="3" l="1"/>
  <c r="W282" i="3" s="1"/>
  <c r="A283" i="3"/>
  <c r="B283" i="3" s="1"/>
  <c r="L282" i="3"/>
  <c r="U282" i="3" l="1"/>
  <c r="Y281" i="3"/>
  <c r="Z283" i="3"/>
  <c r="AC283" i="3"/>
  <c r="AD283" i="3"/>
  <c r="P283" i="3"/>
  <c r="Q283" i="3" s="1"/>
  <c r="R283" i="3" s="1"/>
  <c r="S283" i="3" s="1"/>
  <c r="AA283" i="3"/>
  <c r="T283" i="3" l="1"/>
  <c r="AH283" i="3" s="1"/>
  <c r="AG283" i="3" l="1"/>
  <c r="E283" i="3"/>
  <c r="H283" i="3" s="1"/>
  <c r="K283" i="3" s="1"/>
  <c r="AE283" i="3" s="1"/>
  <c r="D283" i="3"/>
  <c r="F283" i="3" l="1"/>
  <c r="G283" i="3"/>
  <c r="J283" i="3" s="1"/>
  <c r="V283" i="3"/>
  <c r="A284" i="3"/>
  <c r="B284" i="3" s="1"/>
  <c r="M283" i="3" l="1"/>
  <c r="N283" i="3" s="1"/>
  <c r="I283" i="3"/>
  <c r="W283" i="3" s="1"/>
  <c r="L283" i="3"/>
  <c r="AC284" i="3"/>
  <c r="AA284" i="3"/>
  <c r="P284" i="3"/>
  <c r="Q284" i="3" s="1"/>
  <c r="R284" i="3" s="1"/>
  <c r="S284" i="3" s="1"/>
  <c r="Z284" i="3"/>
  <c r="T284" i="3" l="1"/>
  <c r="AH284" i="3" s="1"/>
  <c r="U283" i="3"/>
  <c r="Y282" i="3"/>
  <c r="AG284" i="3" l="1"/>
  <c r="D284" i="3"/>
  <c r="E284" i="3"/>
  <c r="H284" i="3" s="1"/>
  <c r="F284" i="3" l="1"/>
  <c r="G284" i="3"/>
  <c r="K284" i="3"/>
  <c r="AE284" i="3" s="1"/>
  <c r="V284" i="3" l="1"/>
  <c r="A285" i="3"/>
  <c r="B285" i="3" s="1"/>
  <c r="I284" i="3"/>
  <c r="J284" i="3"/>
  <c r="AD284" i="3" s="1"/>
  <c r="M284" i="3"/>
  <c r="N284" i="3" s="1"/>
  <c r="W284" i="3" l="1"/>
  <c r="L284" i="3"/>
  <c r="AD285" i="3"/>
  <c r="AA285" i="3"/>
  <c r="P285" i="3"/>
  <c r="Q285" i="3" s="1"/>
  <c r="R285" i="3" s="1"/>
  <c r="S285" i="3" s="1"/>
  <c r="Z285" i="3"/>
  <c r="AC285" i="3"/>
  <c r="U284" i="3" l="1"/>
  <c r="Y283" i="3"/>
  <c r="T285" i="3"/>
  <c r="E285" i="3" l="1"/>
  <c r="H285" i="3" s="1"/>
  <c r="K285" i="3" s="1"/>
  <c r="AE285" i="3" s="1"/>
  <c r="AH285" i="3"/>
  <c r="D285" i="3"/>
  <c r="G285" i="3" s="1"/>
  <c r="AG285" i="3"/>
  <c r="F285" i="3" l="1"/>
  <c r="V285" i="3"/>
  <c r="A286" i="3"/>
  <c r="B286" i="3" s="1"/>
  <c r="I285" i="3"/>
  <c r="J285" i="3"/>
  <c r="M285" i="3"/>
  <c r="N285" i="3" s="1"/>
  <c r="W285" i="3" l="1"/>
  <c r="L285" i="3"/>
  <c r="AA286" i="3"/>
  <c r="P286" i="3"/>
  <c r="Q286" i="3" s="1"/>
  <c r="R286" i="3" s="1"/>
  <c r="S286" i="3" s="1"/>
  <c r="AD286" i="3"/>
  <c r="AC286" i="3"/>
  <c r="Z286" i="3"/>
  <c r="T286" i="3" l="1"/>
  <c r="AH286" i="3" s="1"/>
  <c r="U285" i="3"/>
  <c r="Y284" i="3"/>
  <c r="D286" i="3" l="1"/>
  <c r="G286" i="3" s="1"/>
  <c r="AG286" i="3"/>
  <c r="E286" i="3"/>
  <c r="H286" i="3" s="1"/>
  <c r="F286" i="3" l="1"/>
  <c r="I286" i="3"/>
  <c r="J286" i="3"/>
  <c r="M286" i="3"/>
  <c r="N286" i="3" s="1"/>
  <c r="K286" i="3"/>
  <c r="AE286" i="3" s="1"/>
  <c r="V286" i="3" l="1"/>
  <c r="W286" i="3" s="1"/>
  <c r="A287" i="3"/>
  <c r="B287" i="3" s="1"/>
  <c r="L286" i="3"/>
  <c r="U286" i="3" l="1"/>
  <c r="Y285" i="3"/>
  <c r="P287" i="3"/>
  <c r="Q287" i="3" s="1"/>
  <c r="R287" i="3" s="1"/>
  <c r="S287" i="3" s="1"/>
  <c r="AA287" i="3"/>
  <c r="Z287" i="3"/>
  <c r="AC287" i="3"/>
  <c r="T287" i="3" l="1"/>
  <c r="D287" i="3" s="1"/>
  <c r="G287" i="3" l="1"/>
  <c r="AH287" i="3"/>
  <c r="AG287" i="3"/>
  <c r="E287" i="3"/>
  <c r="H287" i="3" s="1"/>
  <c r="F287" i="3" l="1"/>
  <c r="K287" i="3"/>
  <c r="AE287" i="3" s="1"/>
  <c r="I287" i="3"/>
  <c r="J287" i="3"/>
  <c r="AD287" i="3" s="1"/>
  <c r="M287" i="3"/>
  <c r="N287" i="3" s="1"/>
  <c r="L287" i="3" l="1"/>
  <c r="V287" i="3"/>
  <c r="W287" i="3" s="1"/>
  <c r="A288" i="3"/>
  <c r="B288" i="3" s="1"/>
  <c r="U287" i="3" l="1"/>
  <c r="Y286" i="3"/>
  <c r="P288" i="3"/>
  <c r="Q288" i="3" s="1"/>
  <c r="R288" i="3" s="1"/>
  <c r="S288" i="3" s="1"/>
  <c r="AA288" i="3"/>
  <c r="AC288" i="3"/>
  <c r="Z288" i="3"/>
  <c r="T288" i="3" l="1"/>
  <c r="D288" i="3" s="1"/>
  <c r="AG288" i="3" l="1"/>
  <c r="AH288" i="3"/>
  <c r="E288" i="3"/>
  <c r="H288" i="3" s="1"/>
  <c r="K288" i="3" s="1"/>
  <c r="AE288" i="3" s="1"/>
  <c r="G288" i="3"/>
  <c r="F288" i="3" l="1"/>
  <c r="I288" i="3"/>
  <c r="J288" i="3"/>
  <c r="AD288" i="3" s="1"/>
  <c r="M288" i="3"/>
  <c r="N288" i="3" s="1"/>
  <c r="V288" i="3"/>
  <c r="A289" i="3"/>
  <c r="B289" i="3" s="1"/>
  <c r="W288" i="3" l="1"/>
  <c r="L288" i="3"/>
  <c r="AD289" i="3"/>
  <c r="P289" i="3"/>
  <c r="Q289" i="3" s="1"/>
  <c r="R289" i="3" s="1"/>
  <c r="S289" i="3" s="1"/>
  <c r="AA289" i="3"/>
  <c r="AC289" i="3"/>
  <c r="Z289" i="3"/>
  <c r="T289" i="3" l="1"/>
  <c r="U288" i="3"/>
  <c r="Y287" i="3"/>
  <c r="E289" i="3" l="1"/>
  <c r="H289" i="3" s="1"/>
  <c r="K289" i="3" s="1"/>
  <c r="AE289" i="3" s="1"/>
  <c r="AH289" i="3"/>
  <c r="AG289" i="3"/>
  <c r="D289" i="3"/>
  <c r="V289" i="3" l="1"/>
  <c r="A290" i="3"/>
  <c r="B290" i="3" s="1"/>
  <c r="F289" i="3"/>
  <c r="G289" i="3"/>
  <c r="I289" i="3" l="1"/>
  <c r="W289" i="3" s="1"/>
  <c r="J289" i="3"/>
  <c r="M289" i="3"/>
  <c r="N289" i="3" s="1"/>
  <c r="AA290" i="3"/>
  <c r="AC290" i="3"/>
  <c r="Z290" i="3"/>
  <c r="P290" i="3"/>
  <c r="Q290" i="3" s="1"/>
  <c r="R290" i="3" s="1"/>
  <c r="S290" i="3" s="1"/>
  <c r="AD290" i="3"/>
  <c r="T290" i="3" l="1"/>
  <c r="L289" i="3"/>
  <c r="U289" i="3" l="1"/>
  <c r="E290" i="3" s="1"/>
  <c r="H290" i="3" s="1"/>
  <c r="AH290" i="3"/>
  <c r="AG290" i="3"/>
  <c r="Y288" i="3"/>
  <c r="D290" i="3" l="1"/>
  <c r="G290" i="3" s="1"/>
  <c r="K290" i="3"/>
  <c r="AE290" i="3" s="1"/>
  <c r="F290" i="3" l="1"/>
  <c r="I290" i="3"/>
  <c r="J290" i="3"/>
  <c r="M290" i="3"/>
  <c r="N290" i="3" s="1"/>
  <c r="V290" i="3"/>
  <c r="A291" i="3"/>
  <c r="B291" i="3" s="1"/>
  <c r="L290" i="3" l="1"/>
  <c r="W290" i="3"/>
  <c r="P291" i="3"/>
  <c r="Q291" i="3" s="1"/>
  <c r="R291" i="3" s="1"/>
  <c r="S291" i="3" s="1"/>
  <c r="AD291" i="3"/>
  <c r="Z291" i="3"/>
  <c r="AA291" i="3"/>
  <c r="AC291" i="3"/>
  <c r="U290" i="3" l="1"/>
  <c r="Y289" i="3"/>
  <c r="T291" i="3"/>
  <c r="AG291" i="3" s="1"/>
  <c r="D291" i="3" l="1"/>
  <c r="E291" i="3"/>
  <c r="H291" i="3" s="1"/>
  <c r="AH291" i="3"/>
  <c r="K291" i="3" l="1"/>
  <c r="AE291" i="3" s="1"/>
  <c r="F291" i="3"/>
  <c r="G291" i="3"/>
  <c r="I291" i="3" l="1"/>
  <c r="J291" i="3"/>
  <c r="M291" i="3"/>
  <c r="N291" i="3" s="1"/>
  <c r="V291" i="3"/>
  <c r="A292" i="3"/>
  <c r="B292" i="3" s="1"/>
  <c r="W291" i="3" l="1"/>
  <c r="L291" i="3"/>
  <c r="Z292" i="3"/>
  <c r="AC292" i="3"/>
  <c r="AD292" i="3"/>
  <c r="AA292" i="3"/>
  <c r="P292" i="3"/>
  <c r="Q292" i="3" s="1"/>
  <c r="R292" i="3" s="1"/>
  <c r="S292" i="3" s="1"/>
  <c r="U291" i="3" l="1"/>
  <c r="Y290" i="3"/>
  <c r="T292" i="3"/>
  <c r="E292" i="3" l="1"/>
  <c r="H292" i="3" s="1"/>
  <c r="K292" i="3" s="1"/>
  <c r="AE292" i="3" s="1"/>
  <c r="D292" i="3"/>
  <c r="AG292" i="3"/>
  <c r="AH292" i="3"/>
  <c r="V292" i="3" l="1"/>
  <c r="A293" i="3"/>
  <c r="B293" i="3" s="1"/>
  <c r="F292" i="3"/>
  <c r="G292" i="3"/>
  <c r="I292" i="3" l="1"/>
  <c r="W292" i="3" s="1"/>
  <c r="J292" i="3"/>
  <c r="M292" i="3"/>
  <c r="N292" i="3" s="1"/>
  <c r="Z293" i="3"/>
  <c r="AC293" i="3"/>
  <c r="AD293" i="3"/>
  <c r="P293" i="3"/>
  <c r="Q293" i="3" s="1"/>
  <c r="R293" i="3" s="1"/>
  <c r="S293" i="3" s="1"/>
  <c r="AA293" i="3"/>
  <c r="L292" i="3" l="1"/>
  <c r="T293" i="3"/>
  <c r="U292" i="3" l="1"/>
  <c r="E293" i="3" s="1"/>
  <c r="H293" i="3" s="1"/>
  <c r="AH293" i="3"/>
  <c r="AG293" i="3"/>
  <c r="Y291" i="3"/>
  <c r="K293" i="3" l="1"/>
  <c r="AE293" i="3" s="1"/>
  <c r="D293" i="3"/>
  <c r="V293" i="3" l="1"/>
  <c r="A294" i="3"/>
  <c r="B294" i="3" s="1"/>
  <c r="F293" i="3"/>
  <c r="G293" i="3"/>
  <c r="I293" i="3" l="1"/>
  <c r="W293" i="3" s="1"/>
  <c r="J293" i="3"/>
  <c r="M293" i="3"/>
  <c r="N293" i="3" s="1"/>
  <c r="AA294" i="3"/>
  <c r="P294" i="3"/>
  <c r="Q294" i="3" s="1"/>
  <c r="R294" i="3" s="1"/>
  <c r="S294" i="3" s="1"/>
  <c r="Z294" i="3"/>
  <c r="AC294" i="3"/>
  <c r="L293" i="3" l="1"/>
  <c r="T294" i="3"/>
  <c r="AG294" i="3" l="1"/>
  <c r="U293" i="3"/>
  <c r="E294" i="3" s="1"/>
  <c r="H294" i="3" s="1"/>
  <c r="AH294" i="3"/>
  <c r="Y292" i="3"/>
  <c r="D294" i="3" l="1"/>
  <c r="G294" i="3" s="1"/>
  <c r="K294" i="3"/>
  <c r="AE294" i="3" s="1"/>
  <c r="F294" i="3" l="1"/>
  <c r="I294" i="3"/>
  <c r="J294" i="3"/>
  <c r="AD294" i="3" s="1"/>
  <c r="M294" i="3"/>
  <c r="N294" i="3" s="1"/>
  <c r="V294" i="3"/>
  <c r="A295" i="3"/>
  <c r="B295" i="3" s="1"/>
  <c r="L294" i="3" l="1"/>
  <c r="W294" i="3"/>
  <c r="AA295" i="3"/>
  <c r="AD295" i="3"/>
  <c r="P295" i="3"/>
  <c r="Q295" i="3" s="1"/>
  <c r="R295" i="3" s="1"/>
  <c r="S295" i="3" s="1"/>
  <c r="AC295" i="3"/>
  <c r="Z295" i="3"/>
  <c r="U294" i="3" l="1"/>
  <c r="Y293" i="3"/>
  <c r="T295" i="3"/>
  <c r="AG295" i="3" s="1"/>
  <c r="D295" i="3" l="1"/>
  <c r="AH295" i="3"/>
  <c r="E295" i="3"/>
  <c r="H295" i="3" s="1"/>
  <c r="F295" i="3" l="1"/>
  <c r="G295" i="3"/>
  <c r="K295" i="3"/>
  <c r="AE295" i="3" s="1"/>
  <c r="V295" i="3" l="1"/>
  <c r="A296" i="3"/>
  <c r="B296" i="3" s="1"/>
  <c r="I295" i="3"/>
  <c r="J295" i="3"/>
  <c r="M295" i="3"/>
  <c r="N295" i="3" s="1"/>
  <c r="L295" i="3" l="1"/>
  <c r="AC296" i="3"/>
  <c r="Z296" i="3"/>
  <c r="AD296" i="3"/>
  <c r="P296" i="3"/>
  <c r="Q296" i="3" s="1"/>
  <c r="R296" i="3" s="1"/>
  <c r="S296" i="3" s="1"/>
  <c r="AA296" i="3"/>
  <c r="W295" i="3"/>
  <c r="T296" i="3" l="1"/>
  <c r="U295" i="3"/>
  <c r="Y294" i="3"/>
  <c r="D296" i="3" l="1"/>
  <c r="G296" i="3" s="1"/>
  <c r="AG296" i="3"/>
  <c r="AH296" i="3"/>
  <c r="E296" i="3"/>
  <c r="H296" i="3" s="1"/>
  <c r="F296" i="3" l="1"/>
  <c r="I296" i="3"/>
  <c r="J296" i="3"/>
  <c r="M296" i="3"/>
  <c r="N296" i="3" s="1"/>
  <c r="K296" i="3"/>
  <c r="AE296" i="3" s="1"/>
  <c r="V296" i="3" l="1"/>
  <c r="W296" i="3" s="1"/>
  <c r="A297" i="3"/>
  <c r="B297" i="3" s="1"/>
  <c r="L296" i="3"/>
  <c r="U296" i="3" l="1"/>
  <c r="Y295" i="3"/>
  <c r="AA297" i="3"/>
  <c r="P297" i="3"/>
  <c r="Q297" i="3" s="1"/>
  <c r="R297" i="3" s="1"/>
  <c r="S297" i="3" s="1"/>
  <c r="Z297" i="3"/>
  <c r="AC297" i="3"/>
  <c r="T297" i="3" l="1"/>
  <c r="E297" i="3" s="1"/>
  <c r="H297" i="3" s="1"/>
  <c r="D297" i="3" l="1"/>
  <c r="F297" i="3" s="1"/>
  <c r="AG297" i="3"/>
  <c r="K297" i="3"/>
  <c r="AE297" i="3" s="1"/>
  <c r="AH297" i="3"/>
  <c r="G297" i="3" l="1"/>
  <c r="M297" i="3" s="1"/>
  <c r="N297" i="3" s="1"/>
  <c r="V297" i="3"/>
  <c r="A298" i="3"/>
  <c r="B298" i="3" s="1"/>
  <c r="J297" i="3" l="1"/>
  <c r="I297" i="3"/>
  <c r="W297" i="3" s="1"/>
  <c r="Z298" i="3"/>
  <c r="P298" i="3"/>
  <c r="Q298" i="3" s="1"/>
  <c r="R298" i="3" s="1"/>
  <c r="S298" i="3" s="1"/>
  <c r="AA298" i="3"/>
  <c r="AC298" i="3"/>
  <c r="L297" i="3" l="1"/>
  <c r="U297" i="3" s="1"/>
  <c r="AD297" i="3"/>
  <c r="T298" i="3"/>
  <c r="Y296" i="3" l="1"/>
  <c r="E298" i="3"/>
  <c r="H298" i="3" s="1"/>
  <c r="K298" i="3" s="1"/>
  <c r="AE298" i="3" s="1"/>
  <c r="AH298" i="3"/>
  <c r="D298" i="3"/>
  <c r="AG298" i="3"/>
  <c r="F298" i="3" l="1"/>
  <c r="G298" i="3"/>
  <c r="V298" i="3"/>
  <c r="A299" i="3"/>
  <c r="B299" i="3" s="1"/>
  <c r="I298" i="3" l="1"/>
  <c r="W298" i="3" s="1"/>
  <c r="J298" i="3"/>
  <c r="AD298" i="3" s="1"/>
  <c r="M298" i="3"/>
  <c r="N298" i="3" s="1"/>
  <c r="Z299" i="3"/>
  <c r="AD299" i="3"/>
  <c r="P299" i="3"/>
  <c r="Q299" i="3" s="1"/>
  <c r="R299" i="3" s="1"/>
  <c r="S299" i="3" s="1"/>
  <c r="AA299" i="3"/>
  <c r="AC299" i="3"/>
  <c r="L298" i="3" l="1"/>
  <c r="T299" i="3"/>
  <c r="AG299" i="3" l="1"/>
  <c r="U298" i="3"/>
  <c r="E299" i="3" s="1"/>
  <c r="H299" i="3" s="1"/>
  <c r="AH299" i="3"/>
  <c r="Y297" i="3"/>
  <c r="D299" i="3" l="1"/>
  <c r="G299" i="3" s="1"/>
  <c r="K299" i="3"/>
  <c r="AE299" i="3" s="1"/>
  <c r="F299" i="3" l="1"/>
  <c r="I299" i="3"/>
  <c r="J299" i="3"/>
  <c r="M299" i="3"/>
  <c r="N299" i="3" s="1"/>
  <c r="V299" i="3"/>
  <c r="A300" i="3"/>
  <c r="B300" i="3" s="1"/>
  <c r="W299" i="3" l="1"/>
  <c r="L299" i="3"/>
  <c r="Z300" i="3"/>
  <c r="P300" i="3"/>
  <c r="Q300" i="3" s="1"/>
  <c r="R300" i="3" s="1"/>
  <c r="S300" i="3" s="1"/>
  <c r="AD300" i="3"/>
  <c r="AA300" i="3"/>
  <c r="AC300" i="3"/>
  <c r="U299" i="3" l="1"/>
  <c r="Y298" i="3"/>
  <c r="T300" i="3"/>
  <c r="E300" i="3" l="1"/>
  <c r="H300" i="3" s="1"/>
  <c r="K300" i="3" s="1"/>
  <c r="AE300" i="3" s="1"/>
  <c r="AH300" i="3"/>
  <c r="AG300" i="3"/>
  <c r="D300" i="3"/>
  <c r="F300" i="3" l="1"/>
  <c r="G300" i="3"/>
  <c r="V300" i="3"/>
  <c r="A301" i="3"/>
  <c r="B301" i="3" s="1"/>
  <c r="I300" i="3" l="1"/>
  <c r="W300" i="3" s="1"/>
  <c r="J300" i="3"/>
  <c r="M300" i="3"/>
  <c r="N300" i="3" s="1"/>
  <c r="AC301" i="3"/>
  <c r="Z301" i="3"/>
  <c r="AD301" i="3"/>
  <c r="AA301" i="3"/>
  <c r="P301" i="3"/>
  <c r="Q301" i="3" s="1"/>
  <c r="R301" i="3" s="1"/>
  <c r="S301" i="3" s="1"/>
  <c r="L300" i="3" l="1"/>
  <c r="T301" i="3"/>
  <c r="AH301" i="3" l="1"/>
  <c r="U300" i="3"/>
  <c r="D301" i="3" s="1"/>
  <c r="AG301" i="3"/>
  <c r="Y299" i="3"/>
  <c r="E301" i="3" l="1"/>
  <c r="H301" i="3" s="1"/>
  <c r="K301" i="3" s="1"/>
  <c r="AE301" i="3" s="1"/>
  <c r="G301" i="3"/>
  <c r="F301" i="3" l="1"/>
  <c r="I301" i="3"/>
  <c r="J301" i="3"/>
  <c r="M301" i="3"/>
  <c r="N301" i="3" s="1"/>
  <c r="V301" i="3"/>
  <c r="A302" i="3"/>
  <c r="B302" i="3" s="1"/>
  <c r="W301" i="3" l="1"/>
  <c r="L301" i="3"/>
  <c r="P302" i="3"/>
  <c r="Q302" i="3" s="1"/>
  <c r="R302" i="3" s="1"/>
  <c r="S302" i="3" s="1"/>
  <c r="AA302" i="3"/>
  <c r="AC302" i="3"/>
  <c r="AD302" i="3"/>
  <c r="Z302" i="3"/>
  <c r="U301" i="3" l="1"/>
  <c r="Y300" i="3"/>
  <c r="T302" i="3"/>
  <c r="AG302" i="3" s="1"/>
  <c r="AH302" i="3" l="1"/>
  <c r="D302" i="3"/>
  <c r="E302" i="3"/>
  <c r="H302" i="3" s="1"/>
  <c r="K302" i="3" s="1"/>
  <c r="AE302" i="3" s="1"/>
  <c r="F302" i="3" l="1"/>
  <c r="G302" i="3"/>
  <c r="M302" i="3" s="1"/>
  <c r="N302" i="3" s="1"/>
  <c r="V302" i="3"/>
  <c r="A303" i="3"/>
  <c r="B303" i="3" s="1"/>
  <c r="I302" i="3" l="1"/>
  <c r="W302" i="3" s="1"/>
  <c r="J302" i="3"/>
  <c r="L302" i="3" s="1"/>
  <c r="AD303" i="3"/>
  <c r="Z303" i="3"/>
  <c r="P303" i="3"/>
  <c r="Q303" i="3" s="1"/>
  <c r="R303" i="3" s="1"/>
  <c r="S303" i="3" s="1"/>
  <c r="AA303" i="3"/>
  <c r="AC303" i="3"/>
  <c r="T303" i="3" l="1"/>
  <c r="U302" i="3"/>
  <c r="Y301" i="3"/>
  <c r="E303" i="3" l="1"/>
  <c r="H303" i="3" s="1"/>
  <c r="K303" i="3" s="1"/>
  <c r="AE303" i="3" s="1"/>
  <c r="D303" i="3"/>
  <c r="G303" i="3" s="1"/>
  <c r="AH303" i="3"/>
  <c r="AG303" i="3"/>
  <c r="F303" i="3" l="1"/>
  <c r="I303" i="3"/>
  <c r="J303" i="3"/>
  <c r="M303" i="3"/>
  <c r="N303" i="3" s="1"/>
  <c r="V303" i="3"/>
  <c r="A304" i="3"/>
  <c r="B304" i="3" s="1"/>
  <c r="W303" i="3" l="1"/>
  <c r="L303" i="3"/>
  <c r="Z304" i="3"/>
  <c r="P304" i="3"/>
  <c r="Q304" i="3" s="1"/>
  <c r="R304" i="3" s="1"/>
  <c r="S304" i="3" s="1"/>
  <c r="AC304" i="3"/>
  <c r="AA304" i="3"/>
  <c r="U303" i="3" l="1"/>
  <c r="Y302" i="3"/>
  <c r="T304" i="3"/>
  <c r="AH304" i="3" s="1"/>
  <c r="AG304" i="3" l="1"/>
  <c r="D304" i="3"/>
  <c r="G304" i="3" s="1"/>
  <c r="E304" i="3"/>
  <c r="H304" i="3" s="1"/>
  <c r="K304" i="3" s="1"/>
  <c r="AE304" i="3" s="1"/>
  <c r="F304" i="3" l="1"/>
  <c r="I304" i="3"/>
  <c r="J304" i="3"/>
  <c r="AD304" i="3" s="1"/>
  <c r="M304" i="3"/>
  <c r="N304" i="3" s="1"/>
  <c r="V304" i="3"/>
  <c r="A305" i="3"/>
  <c r="B305" i="3" s="1"/>
  <c r="W304" i="3" l="1"/>
  <c r="L304" i="3"/>
  <c r="Z305" i="3"/>
  <c r="AA305" i="3"/>
  <c r="P305" i="3"/>
  <c r="Q305" i="3" s="1"/>
  <c r="R305" i="3" s="1"/>
  <c r="S305" i="3" s="1"/>
  <c r="AC305" i="3"/>
  <c r="AD305" i="3"/>
  <c r="U304" i="3" l="1"/>
  <c r="Y303" i="3"/>
  <c r="T305" i="3"/>
  <c r="AG305" i="3" s="1"/>
  <c r="AH305" i="3" l="1"/>
  <c r="E305" i="3"/>
  <c r="H305" i="3" s="1"/>
  <c r="K305" i="3" s="1"/>
  <c r="AE305" i="3" s="1"/>
  <c r="D305" i="3"/>
  <c r="V305" i="3" l="1"/>
  <c r="A306" i="3"/>
  <c r="B306" i="3" s="1"/>
  <c r="F305" i="3"/>
  <c r="G305" i="3"/>
  <c r="I305" i="3" l="1"/>
  <c r="W305" i="3" s="1"/>
  <c r="J305" i="3"/>
  <c r="M305" i="3"/>
  <c r="N305" i="3" s="1"/>
  <c r="AA306" i="3"/>
  <c r="Z306" i="3"/>
  <c r="P306" i="3"/>
  <c r="Q306" i="3" s="1"/>
  <c r="R306" i="3" s="1"/>
  <c r="S306" i="3" s="1"/>
  <c r="AC306" i="3"/>
  <c r="AD306" i="3"/>
  <c r="T306" i="3" l="1"/>
  <c r="L305" i="3"/>
  <c r="U305" i="3" l="1"/>
  <c r="E306" i="3" s="1"/>
  <c r="H306" i="3" s="1"/>
  <c r="AH306" i="3"/>
  <c r="AG306" i="3"/>
  <c r="Y304" i="3"/>
  <c r="D306" i="3" l="1"/>
  <c r="G306" i="3" s="1"/>
  <c r="K306" i="3"/>
  <c r="AE306" i="3" s="1"/>
  <c r="F306" i="3" l="1"/>
  <c r="I306" i="3"/>
  <c r="J306" i="3"/>
  <c r="M306" i="3"/>
  <c r="N306" i="3" s="1"/>
  <c r="V306" i="3"/>
  <c r="A307" i="3"/>
  <c r="B307" i="3" s="1"/>
  <c r="W306" i="3" l="1"/>
  <c r="L306" i="3"/>
  <c r="AC307" i="3"/>
  <c r="P307" i="3"/>
  <c r="Q307" i="3" s="1"/>
  <c r="R307" i="3" s="1"/>
  <c r="S307" i="3" s="1"/>
  <c r="AA307" i="3"/>
  <c r="Z307" i="3"/>
  <c r="T307" i="3" l="1"/>
  <c r="AH307" i="3" s="1"/>
  <c r="U306" i="3"/>
  <c r="Y305" i="3"/>
  <c r="D307" i="3" l="1"/>
  <c r="E307" i="3"/>
  <c r="H307" i="3" s="1"/>
  <c r="AG307" i="3"/>
  <c r="F307" i="3" l="1"/>
  <c r="G307" i="3"/>
  <c r="K307" i="3"/>
  <c r="AE307" i="3" s="1"/>
  <c r="I307" i="3" l="1"/>
  <c r="J307" i="3"/>
  <c r="AD307" i="3" s="1"/>
  <c r="M307" i="3"/>
  <c r="N307" i="3" s="1"/>
  <c r="V307" i="3"/>
  <c r="A308" i="3"/>
  <c r="B308" i="3" s="1"/>
  <c r="L307" i="3" l="1"/>
  <c r="Z308" i="3"/>
  <c r="AA308" i="3"/>
  <c r="P308" i="3"/>
  <c r="Q308" i="3" s="1"/>
  <c r="R308" i="3" s="1"/>
  <c r="S308" i="3" s="1"/>
  <c r="AC308" i="3"/>
  <c r="W307" i="3"/>
  <c r="T308" i="3" l="1"/>
  <c r="U307" i="3"/>
  <c r="Y306" i="3"/>
  <c r="E308" i="3" l="1"/>
  <c r="H308" i="3" s="1"/>
  <c r="K308" i="3" s="1"/>
  <c r="AE308" i="3" s="1"/>
  <c r="AH308" i="3"/>
  <c r="AG308" i="3"/>
  <c r="D308" i="3"/>
  <c r="F308" i="3" l="1"/>
  <c r="G308" i="3"/>
  <c r="V308" i="3"/>
  <c r="A309" i="3"/>
  <c r="B309" i="3" s="1"/>
  <c r="I308" i="3" l="1"/>
  <c r="W308" i="3" s="1"/>
  <c r="J308" i="3"/>
  <c r="AD308" i="3" s="1"/>
  <c r="M308" i="3"/>
  <c r="N308" i="3" s="1"/>
  <c r="AC309" i="3"/>
  <c r="AD309" i="3"/>
  <c r="P309" i="3"/>
  <c r="Q309" i="3" s="1"/>
  <c r="R309" i="3" s="1"/>
  <c r="S309" i="3" s="1"/>
  <c r="AA309" i="3"/>
  <c r="Z309" i="3"/>
  <c r="T309" i="3" l="1"/>
  <c r="L308" i="3"/>
  <c r="AG309" i="3" l="1"/>
  <c r="AH309" i="3"/>
  <c r="U308" i="3"/>
  <c r="E309" i="3" s="1"/>
  <c r="H309" i="3" s="1"/>
  <c r="Y307" i="3"/>
  <c r="D309" i="3" l="1"/>
  <c r="G309" i="3" s="1"/>
  <c r="K309" i="3"/>
  <c r="AE309" i="3" s="1"/>
  <c r="F309" i="3" l="1"/>
  <c r="V309" i="3"/>
  <c r="A310" i="3"/>
  <c r="B310" i="3" s="1"/>
  <c r="I309" i="3"/>
  <c r="J309" i="3"/>
  <c r="M309" i="3"/>
  <c r="N309" i="3" s="1"/>
  <c r="W309" i="3" l="1"/>
  <c r="L309" i="3"/>
  <c r="AC310" i="3"/>
  <c r="AD310" i="3"/>
  <c r="Z310" i="3"/>
  <c r="AA310" i="3"/>
  <c r="P310" i="3"/>
  <c r="Q310" i="3" s="1"/>
  <c r="R310" i="3" s="1"/>
  <c r="S310" i="3" s="1"/>
  <c r="T310" i="3" l="1"/>
  <c r="AH310" i="3" s="1"/>
  <c r="U309" i="3"/>
  <c r="Y308" i="3"/>
  <c r="AG310" i="3" l="1"/>
  <c r="E310" i="3"/>
  <c r="H310" i="3" s="1"/>
  <c r="D310" i="3"/>
  <c r="K310" i="3" l="1"/>
  <c r="AE310" i="3" s="1"/>
  <c r="F310" i="3"/>
  <c r="G310" i="3"/>
  <c r="I310" i="3" l="1"/>
  <c r="J310" i="3"/>
  <c r="M310" i="3"/>
  <c r="N310" i="3" s="1"/>
  <c r="V310" i="3"/>
  <c r="A311" i="3"/>
  <c r="B311" i="3" s="1"/>
  <c r="W310" i="3" l="1"/>
  <c r="L310" i="3"/>
  <c r="AA311" i="3"/>
  <c r="Z311" i="3"/>
  <c r="P311" i="3"/>
  <c r="Q311" i="3" s="1"/>
  <c r="R311" i="3" s="1"/>
  <c r="S311" i="3" s="1"/>
  <c r="AC311" i="3"/>
  <c r="AD311" i="3"/>
  <c r="T311" i="3" l="1"/>
  <c r="AH311" i="3" s="1"/>
  <c r="U310" i="3"/>
  <c r="Y309" i="3"/>
  <c r="D311" i="3" l="1"/>
  <c r="G311" i="3" s="1"/>
  <c r="E311" i="3"/>
  <c r="H311" i="3" s="1"/>
  <c r="AG311" i="3"/>
  <c r="I311" i="3" l="1"/>
  <c r="J311" i="3"/>
  <c r="M311" i="3"/>
  <c r="N311" i="3" s="1"/>
  <c r="K311" i="3"/>
  <c r="AE311" i="3" s="1"/>
  <c r="F311" i="3"/>
  <c r="V311" i="3" l="1"/>
  <c r="W311" i="3" s="1"/>
  <c r="A312" i="3"/>
  <c r="B312" i="3" s="1"/>
  <c r="L311" i="3"/>
  <c r="U311" i="3" l="1"/>
  <c r="Y310" i="3"/>
  <c r="AA312" i="3"/>
  <c r="Z312" i="3"/>
  <c r="AD312" i="3"/>
  <c r="P312" i="3"/>
  <c r="Q312" i="3" s="1"/>
  <c r="R312" i="3" s="1"/>
  <c r="S312" i="3" s="1"/>
  <c r="AC312" i="3"/>
  <c r="T312" i="3" l="1"/>
  <c r="AG312" i="3" s="1"/>
  <c r="E312" i="3" l="1"/>
  <c r="H312" i="3" s="1"/>
  <c r="K312" i="3" s="1"/>
  <c r="AE312" i="3" s="1"/>
  <c r="D312" i="3"/>
  <c r="AH312" i="3"/>
  <c r="V312" i="3" l="1"/>
  <c r="A313" i="3"/>
  <c r="B313" i="3" s="1"/>
  <c r="F312" i="3"/>
  <c r="G312" i="3"/>
  <c r="I312" i="3" l="1"/>
  <c r="W312" i="3" s="1"/>
  <c r="J312" i="3"/>
  <c r="M312" i="3"/>
  <c r="N312" i="3" s="1"/>
  <c r="Z313" i="3"/>
  <c r="AC313" i="3"/>
  <c r="P313" i="3"/>
  <c r="Q313" i="3" s="1"/>
  <c r="R313" i="3" s="1"/>
  <c r="S313" i="3" s="1"/>
  <c r="AD313" i="3"/>
  <c r="AA313" i="3"/>
  <c r="T313" i="3" l="1"/>
  <c r="L312" i="3"/>
  <c r="AG313" i="3" l="1"/>
  <c r="AH313" i="3"/>
  <c r="U312" i="3"/>
  <c r="D313" i="3" s="1"/>
  <c r="Y311" i="3"/>
  <c r="E313" i="3" l="1"/>
  <c r="H313" i="3" s="1"/>
  <c r="K313" i="3" s="1"/>
  <c r="AE313" i="3" s="1"/>
  <c r="G313" i="3"/>
  <c r="F313" i="3" l="1"/>
  <c r="I313" i="3"/>
  <c r="J313" i="3"/>
  <c r="M313" i="3"/>
  <c r="N313" i="3" s="1"/>
  <c r="V313" i="3"/>
  <c r="A314" i="3"/>
  <c r="B314" i="3" s="1"/>
  <c r="Z314" i="3" l="1"/>
  <c r="AC314" i="3"/>
  <c r="AA314" i="3"/>
  <c r="P314" i="3"/>
  <c r="Q314" i="3" s="1"/>
  <c r="R314" i="3" s="1"/>
  <c r="S314" i="3" s="1"/>
  <c r="L313" i="3"/>
  <c r="W313" i="3"/>
  <c r="U313" i="3" l="1"/>
  <c r="Y312" i="3"/>
  <c r="T314" i="3"/>
  <c r="D314" i="3" l="1"/>
  <c r="G314" i="3" s="1"/>
  <c r="AG314" i="3"/>
  <c r="AH314" i="3"/>
  <c r="E314" i="3"/>
  <c r="H314" i="3" s="1"/>
  <c r="F314" i="3" l="1"/>
  <c r="I314" i="3"/>
  <c r="J314" i="3"/>
  <c r="AD314" i="3" s="1"/>
  <c r="M314" i="3"/>
  <c r="N314" i="3" s="1"/>
  <c r="K314" i="3"/>
  <c r="AE314" i="3" s="1"/>
  <c r="V314" i="3" l="1"/>
  <c r="W314" i="3" s="1"/>
  <c r="A315" i="3"/>
  <c r="B315" i="3" s="1"/>
  <c r="L314" i="3"/>
  <c r="U314" i="3" l="1"/>
  <c r="Y313" i="3"/>
  <c r="Z315" i="3"/>
  <c r="P315" i="3"/>
  <c r="Q315" i="3" s="1"/>
  <c r="R315" i="3" s="1"/>
  <c r="S315" i="3" s="1"/>
  <c r="AD315" i="3"/>
  <c r="AA315" i="3"/>
  <c r="AC315" i="3"/>
  <c r="T315" i="3" l="1"/>
  <c r="D315" i="3" s="1"/>
  <c r="AH315" i="3" l="1"/>
  <c r="AG315" i="3"/>
  <c r="E315" i="3"/>
  <c r="H315" i="3" s="1"/>
  <c r="K315" i="3" s="1"/>
  <c r="AE315" i="3" s="1"/>
  <c r="G315" i="3"/>
  <c r="F315" i="3" l="1"/>
  <c r="I315" i="3"/>
  <c r="J315" i="3"/>
  <c r="M315" i="3"/>
  <c r="N315" i="3" s="1"/>
  <c r="V315" i="3"/>
  <c r="A316" i="3"/>
  <c r="B316" i="3" s="1"/>
  <c r="W315" i="3" l="1"/>
  <c r="L315" i="3"/>
  <c r="Z316" i="3"/>
  <c r="AC316" i="3"/>
  <c r="P316" i="3"/>
  <c r="Q316" i="3" s="1"/>
  <c r="R316" i="3" s="1"/>
  <c r="S316" i="3" s="1"/>
  <c r="AD316" i="3"/>
  <c r="AA316" i="3"/>
  <c r="U315" i="3" l="1"/>
  <c r="Y314" i="3"/>
  <c r="T316" i="3"/>
  <c r="AG316" i="3" s="1"/>
  <c r="D316" i="3" l="1"/>
  <c r="AH316" i="3"/>
  <c r="E316" i="3"/>
  <c r="H316" i="3" s="1"/>
  <c r="F316" i="3" l="1"/>
  <c r="G316" i="3"/>
  <c r="K316" i="3"/>
  <c r="AE316" i="3" s="1"/>
  <c r="V316" i="3" l="1"/>
  <c r="A317" i="3"/>
  <c r="B317" i="3" s="1"/>
  <c r="I316" i="3"/>
  <c r="J316" i="3"/>
  <c r="M316" i="3"/>
  <c r="N316" i="3" s="1"/>
  <c r="W316" i="3" l="1"/>
  <c r="L316" i="3"/>
  <c r="Z317" i="3"/>
  <c r="AA317" i="3"/>
  <c r="P317" i="3"/>
  <c r="Q317" i="3" s="1"/>
  <c r="R317" i="3" s="1"/>
  <c r="S317" i="3" s="1"/>
  <c r="AC317" i="3"/>
  <c r="T317" i="3" l="1"/>
  <c r="AG317" i="3" s="1"/>
  <c r="U316" i="3"/>
  <c r="Y315" i="3"/>
  <c r="E317" i="3" l="1"/>
  <c r="H317" i="3" s="1"/>
  <c r="K317" i="3" s="1"/>
  <c r="AE317" i="3" s="1"/>
  <c r="D317" i="3"/>
  <c r="AH317" i="3"/>
  <c r="V317" i="3" l="1"/>
  <c r="A318" i="3"/>
  <c r="B318" i="3" s="1"/>
  <c r="F317" i="3"/>
  <c r="G317" i="3"/>
  <c r="I317" i="3" l="1"/>
  <c r="W317" i="3" s="1"/>
  <c r="J317" i="3"/>
  <c r="AD317" i="3" s="1"/>
  <c r="M317" i="3"/>
  <c r="N317" i="3" s="1"/>
  <c r="AA318" i="3"/>
  <c r="P318" i="3"/>
  <c r="Q318" i="3" s="1"/>
  <c r="R318" i="3" s="1"/>
  <c r="S318" i="3" s="1"/>
  <c r="Z318" i="3"/>
  <c r="AC318" i="3"/>
  <c r="T318" i="3" l="1"/>
  <c r="L317" i="3"/>
  <c r="AH318" i="3" l="1"/>
  <c r="AG318" i="3"/>
  <c r="U317" i="3"/>
  <c r="E318" i="3" s="1"/>
  <c r="H318" i="3" s="1"/>
  <c r="Y316" i="3"/>
  <c r="K318" i="3" l="1"/>
  <c r="AE318" i="3" s="1"/>
  <c r="D318" i="3"/>
  <c r="V318" i="3" l="1"/>
  <c r="A319" i="3"/>
  <c r="B319" i="3" s="1"/>
  <c r="F318" i="3"/>
  <c r="G318" i="3"/>
  <c r="I318" i="3" l="1"/>
  <c r="W318" i="3" s="1"/>
  <c r="J318" i="3"/>
  <c r="AD318" i="3" s="1"/>
  <c r="M318" i="3"/>
  <c r="N318" i="3" s="1"/>
  <c r="Z319" i="3"/>
  <c r="AC319" i="3"/>
  <c r="P319" i="3"/>
  <c r="Q319" i="3" s="1"/>
  <c r="R319" i="3" s="1"/>
  <c r="S319" i="3" s="1"/>
  <c r="AD319" i="3"/>
  <c r="AA319" i="3"/>
  <c r="T319" i="3" l="1"/>
  <c r="L318" i="3"/>
  <c r="U318" i="3" l="1"/>
  <c r="E319" i="3" s="1"/>
  <c r="H319" i="3" s="1"/>
  <c r="AH319" i="3"/>
  <c r="AG319" i="3"/>
  <c r="Y317" i="3"/>
  <c r="D319" i="3" l="1"/>
  <c r="G319" i="3" s="1"/>
  <c r="K319" i="3"/>
  <c r="AE319" i="3" s="1"/>
  <c r="F319" i="3" l="1"/>
  <c r="V319" i="3"/>
  <c r="A320" i="3"/>
  <c r="B320" i="3" s="1"/>
  <c r="I319" i="3"/>
  <c r="J319" i="3"/>
  <c r="M319" i="3"/>
  <c r="N319" i="3" s="1"/>
  <c r="L319" i="3" l="1"/>
  <c r="W319" i="3"/>
  <c r="AA320" i="3"/>
  <c r="AC320" i="3"/>
  <c r="P320" i="3"/>
  <c r="Q320" i="3" s="1"/>
  <c r="R320" i="3" s="1"/>
  <c r="S320" i="3" s="1"/>
  <c r="Z320" i="3"/>
  <c r="AD320" i="3"/>
  <c r="U319" i="3" l="1"/>
  <c r="Y318" i="3"/>
  <c r="T320" i="3"/>
  <c r="AH320" i="3" s="1"/>
  <c r="D320" i="3" l="1"/>
  <c r="AG320" i="3"/>
  <c r="E320" i="3"/>
  <c r="H320" i="3" s="1"/>
  <c r="F320" i="3" l="1"/>
  <c r="G320" i="3"/>
  <c r="K320" i="3"/>
  <c r="AE320" i="3" s="1"/>
  <c r="I320" i="3" l="1"/>
  <c r="J320" i="3"/>
  <c r="M320" i="3"/>
  <c r="N320" i="3" s="1"/>
  <c r="V320" i="3"/>
  <c r="A321" i="3"/>
  <c r="B321" i="3" s="1"/>
  <c r="W320" i="3" l="1"/>
  <c r="L320" i="3"/>
  <c r="AC321" i="3"/>
  <c r="AA321" i="3"/>
  <c r="Z321" i="3"/>
  <c r="P321" i="3"/>
  <c r="Q321" i="3" s="1"/>
  <c r="R321" i="3" s="1"/>
  <c r="S321" i="3" s="1"/>
  <c r="AD321" i="3"/>
  <c r="U320" i="3" l="1"/>
  <c r="Y319" i="3"/>
  <c r="T321" i="3"/>
  <c r="D321" i="3" l="1"/>
  <c r="G321" i="3" s="1"/>
  <c r="AH321" i="3"/>
  <c r="E321" i="3"/>
  <c r="H321" i="3" s="1"/>
  <c r="AG321" i="3"/>
  <c r="F321" i="3" l="1"/>
  <c r="I321" i="3"/>
  <c r="J321" i="3"/>
  <c r="M321" i="3"/>
  <c r="N321" i="3" s="1"/>
  <c r="K321" i="3"/>
  <c r="AE321" i="3" s="1"/>
  <c r="V321" i="3" l="1"/>
  <c r="W321" i="3" s="1"/>
  <c r="A322" i="3"/>
  <c r="B322" i="3" s="1"/>
  <c r="L321" i="3"/>
  <c r="U321" i="3" l="1"/>
  <c r="Y320" i="3"/>
  <c r="P322" i="3"/>
  <c r="Q322" i="3" s="1"/>
  <c r="R322" i="3" s="1"/>
  <c r="S322" i="3" s="1"/>
  <c r="Z322" i="3"/>
  <c r="AC322" i="3"/>
  <c r="AD322" i="3"/>
  <c r="AA322" i="3"/>
  <c r="T322" i="3" l="1"/>
  <c r="AH322" i="3" s="1"/>
  <c r="E322" i="3" l="1"/>
  <c r="H322" i="3" s="1"/>
  <c r="K322" i="3" s="1"/>
  <c r="AE322" i="3" s="1"/>
  <c r="AG322" i="3"/>
  <c r="D322" i="3"/>
  <c r="V322" i="3" l="1"/>
  <c r="A323" i="3"/>
  <c r="B323" i="3" s="1"/>
  <c r="F322" i="3"/>
  <c r="G322" i="3"/>
  <c r="I322" i="3" l="1"/>
  <c r="W322" i="3" s="1"/>
  <c r="J322" i="3"/>
  <c r="M322" i="3"/>
  <c r="N322" i="3" s="1"/>
  <c r="P323" i="3"/>
  <c r="Q323" i="3" s="1"/>
  <c r="R323" i="3" s="1"/>
  <c r="S323" i="3" s="1"/>
  <c r="AA323" i="3"/>
  <c r="Z323" i="3"/>
  <c r="AD323" i="3"/>
  <c r="AC323" i="3"/>
  <c r="T323" i="3" l="1"/>
  <c r="L322" i="3"/>
  <c r="AH323" i="3" l="1"/>
  <c r="U322" i="3"/>
  <c r="D323" i="3" s="1"/>
  <c r="AG323" i="3"/>
  <c r="Y321" i="3"/>
  <c r="G323" i="3" l="1"/>
  <c r="E323" i="3"/>
  <c r="H323" i="3" s="1"/>
  <c r="F323" i="3" l="1"/>
  <c r="K323" i="3"/>
  <c r="AE323" i="3" s="1"/>
  <c r="I323" i="3"/>
  <c r="J323" i="3"/>
  <c r="M323" i="3"/>
  <c r="N323" i="3" s="1"/>
  <c r="L323" i="3" l="1"/>
  <c r="V323" i="3"/>
  <c r="W323" i="3" s="1"/>
  <c r="A324" i="3"/>
  <c r="B324" i="3" s="1"/>
  <c r="U323" i="3" l="1"/>
  <c r="Y322" i="3"/>
  <c r="Z324" i="3"/>
  <c r="P324" i="3"/>
  <c r="Q324" i="3" s="1"/>
  <c r="R324" i="3" s="1"/>
  <c r="S324" i="3" s="1"/>
  <c r="AA324" i="3"/>
  <c r="AC324" i="3"/>
  <c r="T324" i="3" l="1"/>
  <c r="AG324" i="3" s="1"/>
  <c r="E324" i="3" l="1"/>
  <c r="H324" i="3" s="1"/>
  <c r="K324" i="3" s="1"/>
  <c r="AE324" i="3" s="1"/>
  <c r="AH324" i="3"/>
  <c r="D324" i="3"/>
  <c r="V324" i="3" l="1"/>
  <c r="A325" i="3"/>
  <c r="B325" i="3" s="1"/>
  <c r="F324" i="3"/>
  <c r="G324" i="3"/>
  <c r="I324" i="3" l="1"/>
  <c r="W324" i="3" s="1"/>
  <c r="J324" i="3"/>
  <c r="AD324" i="3" s="1"/>
  <c r="M324" i="3"/>
  <c r="N324" i="3" s="1"/>
  <c r="P325" i="3"/>
  <c r="Q325" i="3" s="1"/>
  <c r="R325" i="3" s="1"/>
  <c r="S325" i="3" s="1"/>
  <c r="AC325" i="3"/>
  <c r="Z325" i="3"/>
  <c r="AA325" i="3"/>
  <c r="T325" i="3" l="1"/>
  <c r="L324" i="3"/>
  <c r="AG325" i="3" l="1"/>
  <c r="U324" i="3"/>
  <c r="D325" i="3" s="1"/>
  <c r="AH325" i="3"/>
  <c r="Y323" i="3"/>
  <c r="E325" i="3" l="1"/>
  <c r="H325" i="3" s="1"/>
  <c r="K325" i="3" s="1"/>
  <c r="AE325" i="3" s="1"/>
  <c r="G325" i="3"/>
  <c r="F325" i="3" l="1"/>
  <c r="V325" i="3"/>
  <c r="A326" i="3"/>
  <c r="B326" i="3" s="1"/>
  <c r="I325" i="3"/>
  <c r="J325" i="3"/>
  <c r="AD325" i="3" s="1"/>
  <c r="M325" i="3"/>
  <c r="N325" i="3" s="1"/>
  <c r="L325" i="3" l="1"/>
  <c r="W325" i="3"/>
  <c r="P326" i="3"/>
  <c r="Q326" i="3" s="1"/>
  <c r="R326" i="3" s="1"/>
  <c r="S326" i="3" s="1"/>
  <c r="AA326" i="3"/>
  <c r="AC326" i="3"/>
  <c r="Z326" i="3"/>
  <c r="U325" i="3" l="1"/>
  <c r="Y324" i="3"/>
  <c r="T326" i="3"/>
  <c r="AH326" i="3" s="1"/>
  <c r="E326" i="3" l="1"/>
  <c r="H326" i="3" s="1"/>
  <c r="K326" i="3" s="1"/>
  <c r="AE326" i="3" s="1"/>
  <c r="AG326" i="3"/>
  <c r="D326" i="3"/>
  <c r="G326" i="3" s="1"/>
  <c r="F326" i="3" l="1"/>
  <c r="I326" i="3"/>
  <c r="J326" i="3"/>
  <c r="AD326" i="3" s="1"/>
  <c r="M326" i="3"/>
  <c r="N326" i="3" s="1"/>
  <c r="V326" i="3"/>
  <c r="A327" i="3"/>
  <c r="B327" i="3" s="1"/>
  <c r="W326" i="3" l="1"/>
  <c r="L326" i="3"/>
  <c r="Z327" i="3"/>
  <c r="AA327" i="3"/>
  <c r="P327" i="3"/>
  <c r="Q327" i="3" s="1"/>
  <c r="R327" i="3" s="1"/>
  <c r="S327" i="3" s="1"/>
  <c r="AC327" i="3"/>
  <c r="U326" i="3" l="1"/>
  <c r="Y325" i="3"/>
  <c r="T327" i="3"/>
  <c r="AH327" i="3" s="1"/>
  <c r="E327" i="3" l="1"/>
  <c r="H327" i="3" s="1"/>
  <c r="K327" i="3" s="1"/>
  <c r="AE327" i="3" s="1"/>
  <c r="D327" i="3"/>
  <c r="AG327" i="3"/>
  <c r="F327" i="3" l="1"/>
  <c r="G327" i="3"/>
  <c r="M327" i="3" s="1"/>
  <c r="N327" i="3" s="1"/>
  <c r="V327" i="3"/>
  <c r="A328" i="3"/>
  <c r="B328" i="3" s="1"/>
  <c r="I327" i="3" l="1"/>
  <c r="W327" i="3" s="1"/>
  <c r="J327" i="3"/>
  <c r="Z328" i="3"/>
  <c r="P328" i="3"/>
  <c r="Q328" i="3" s="1"/>
  <c r="R328" i="3" s="1"/>
  <c r="S328" i="3" s="1"/>
  <c r="AA328" i="3"/>
  <c r="AC328" i="3"/>
  <c r="L327" i="3" l="1"/>
  <c r="U327" i="3" s="1"/>
  <c r="AD327" i="3"/>
  <c r="T328" i="3"/>
  <c r="AG328" i="3" l="1"/>
  <c r="Y326" i="3"/>
  <c r="AH328" i="3"/>
  <c r="E328" i="3"/>
  <c r="H328" i="3" s="1"/>
  <c r="K328" i="3" s="1"/>
  <c r="AE328" i="3" s="1"/>
  <c r="D328" i="3"/>
  <c r="V328" i="3" l="1"/>
  <c r="A329" i="3"/>
  <c r="B329" i="3" s="1"/>
  <c r="F328" i="3"/>
  <c r="G328" i="3"/>
  <c r="I328" i="3" l="1"/>
  <c r="W328" i="3" s="1"/>
  <c r="J328" i="3"/>
  <c r="AD328" i="3" s="1"/>
  <c r="M328" i="3"/>
  <c r="N328" i="3" s="1"/>
  <c r="P329" i="3"/>
  <c r="Q329" i="3" s="1"/>
  <c r="R329" i="3" s="1"/>
  <c r="S329" i="3" s="1"/>
  <c r="Z329" i="3"/>
  <c r="AC329" i="3"/>
  <c r="AA329" i="3"/>
  <c r="T329" i="3" l="1"/>
  <c r="L328" i="3"/>
  <c r="AH329" i="3" l="1"/>
  <c r="U328" i="3"/>
  <c r="D329" i="3" s="1"/>
  <c r="AG329" i="3"/>
  <c r="Y327" i="3"/>
  <c r="E329" i="3" l="1"/>
  <c r="H329" i="3" s="1"/>
  <c r="K329" i="3" s="1"/>
  <c r="AE329" i="3" s="1"/>
  <c r="G329" i="3"/>
  <c r="F329" i="3" l="1"/>
  <c r="I329" i="3"/>
  <c r="J329" i="3"/>
  <c r="AD329" i="3" s="1"/>
  <c r="M329" i="3"/>
  <c r="N329" i="3" s="1"/>
  <c r="V329" i="3"/>
  <c r="A330" i="3"/>
  <c r="B330" i="3" s="1"/>
  <c r="W329" i="3" l="1"/>
  <c r="L329" i="3"/>
  <c r="AA330" i="3"/>
  <c r="AC330" i="3"/>
  <c r="P330" i="3"/>
  <c r="Q330" i="3" s="1"/>
  <c r="R330" i="3" s="1"/>
  <c r="S330" i="3" s="1"/>
  <c r="Z330" i="3"/>
  <c r="U329" i="3" l="1"/>
  <c r="Y328" i="3"/>
  <c r="T330" i="3"/>
  <c r="AH330" i="3" s="1"/>
  <c r="AG330" i="3" l="1"/>
  <c r="E330" i="3"/>
  <c r="H330" i="3" s="1"/>
  <c r="D330" i="3"/>
  <c r="K330" i="3" l="1"/>
  <c r="AE330" i="3" s="1"/>
  <c r="F330" i="3"/>
  <c r="G330" i="3"/>
  <c r="I330" i="3" l="1"/>
  <c r="J330" i="3"/>
  <c r="AD330" i="3" s="1"/>
  <c r="M330" i="3"/>
  <c r="N330" i="3" s="1"/>
  <c r="V330" i="3"/>
  <c r="A331" i="3"/>
  <c r="B331" i="3" s="1"/>
  <c r="W330" i="3" l="1"/>
  <c r="L330" i="3"/>
  <c r="P331" i="3"/>
  <c r="Q331" i="3" s="1"/>
  <c r="R331" i="3" s="1"/>
  <c r="S331" i="3" s="1"/>
  <c r="AA331" i="3"/>
  <c r="AC331" i="3"/>
  <c r="Z331" i="3"/>
  <c r="U330" i="3" l="1"/>
  <c r="Y329" i="3"/>
  <c r="T331" i="3"/>
  <c r="D331" i="3" l="1"/>
  <c r="G331" i="3" s="1"/>
  <c r="AH331" i="3"/>
  <c r="AG331" i="3"/>
  <c r="E331" i="3"/>
  <c r="H331" i="3" s="1"/>
  <c r="F331" i="3" l="1"/>
  <c r="I331" i="3"/>
  <c r="J331" i="3"/>
  <c r="AD331" i="3" s="1"/>
  <c r="M331" i="3"/>
  <c r="N331" i="3" s="1"/>
  <c r="K331" i="3"/>
  <c r="AE331" i="3" s="1"/>
  <c r="V331" i="3" l="1"/>
  <c r="W331" i="3" s="1"/>
  <c r="A332" i="3"/>
  <c r="B332" i="3" s="1"/>
  <c r="L331" i="3"/>
  <c r="U331" i="3" l="1"/>
  <c r="Y330" i="3"/>
  <c r="AA332" i="3"/>
  <c r="Z332" i="3"/>
  <c r="AC332" i="3"/>
  <c r="P332" i="3"/>
  <c r="Q332" i="3" s="1"/>
  <c r="R332" i="3" s="1"/>
  <c r="S332" i="3" s="1"/>
  <c r="T332" i="3" l="1"/>
  <c r="AG332" i="3" s="1"/>
  <c r="E332" i="3" l="1"/>
  <c r="H332" i="3" s="1"/>
  <c r="K332" i="3" s="1"/>
  <c r="AE332" i="3" s="1"/>
  <c r="D332" i="3"/>
  <c r="AH332" i="3"/>
  <c r="V332" i="3" l="1"/>
  <c r="A333" i="3"/>
  <c r="B333" i="3" s="1"/>
  <c r="F332" i="3"/>
  <c r="G332" i="3"/>
  <c r="I332" i="3" l="1"/>
  <c r="W332" i="3" s="1"/>
  <c r="J332" i="3"/>
  <c r="AD332" i="3" s="1"/>
  <c r="M332" i="3"/>
  <c r="N332" i="3" s="1"/>
  <c r="AA333" i="3"/>
  <c r="P333" i="3"/>
  <c r="Q333" i="3" s="1"/>
  <c r="R333" i="3" s="1"/>
  <c r="S333" i="3" s="1"/>
  <c r="Z333" i="3"/>
  <c r="AC333" i="3"/>
  <c r="T333" i="3" l="1"/>
  <c r="L332" i="3"/>
  <c r="AH333" i="3" l="1"/>
  <c r="AG333" i="3"/>
  <c r="U332" i="3"/>
  <c r="D333" i="3" s="1"/>
  <c r="Y331" i="3"/>
  <c r="E333" i="3" l="1"/>
  <c r="H333" i="3" s="1"/>
  <c r="K333" i="3" s="1"/>
  <c r="AE333" i="3" s="1"/>
  <c r="G333" i="3"/>
  <c r="F333" i="3" l="1"/>
  <c r="I333" i="3"/>
  <c r="J333" i="3"/>
  <c r="AD333" i="3" s="1"/>
  <c r="M333" i="3"/>
  <c r="N333" i="3" s="1"/>
  <c r="V333" i="3"/>
  <c r="A334" i="3"/>
  <c r="B334" i="3" s="1"/>
  <c r="W333" i="3" l="1"/>
  <c r="L333" i="3"/>
  <c r="AA334" i="3"/>
  <c r="P334" i="3"/>
  <c r="Q334" i="3" s="1"/>
  <c r="R334" i="3" s="1"/>
  <c r="S334" i="3" s="1"/>
  <c r="Z334" i="3"/>
  <c r="AC334" i="3"/>
  <c r="T334" i="3" l="1"/>
  <c r="AH334" i="3" s="1"/>
  <c r="U333" i="3"/>
  <c r="Y332" i="3"/>
  <c r="D334" i="3" l="1"/>
  <c r="G334" i="3" s="1"/>
  <c r="E334" i="3"/>
  <c r="H334" i="3" s="1"/>
  <c r="AG334" i="3"/>
  <c r="F334" i="3" l="1"/>
  <c r="I334" i="3"/>
  <c r="J334" i="3"/>
  <c r="AD334" i="3" s="1"/>
  <c r="M334" i="3"/>
  <c r="N334" i="3" s="1"/>
  <c r="K334" i="3"/>
  <c r="AE334" i="3" s="1"/>
  <c r="L334" i="3" l="1"/>
  <c r="V334" i="3"/>
  <c r="W334" i="3" s="1"/>
  <c r="A335" i="3"/>
  <c r="B335" i="3" s="1"/>
  <c r="U334" i="3" l="1"/>
  <c r="Y333" i="3"/>
  <c r="AC335" i="3"/>
  <c r="P335" i="3"/>
  <c r="Q335" i="3" s="1"/>
  <c r="R335" i="3" s="1"/>
  <c r="S335" i="3" s="1"/>
  <c r="AA335" i="3"/>
  <c r="Z335" i="3"/>
  <c r="T335" i="3" l="1"/>
  <c r="AG335" i="3" s="1"/>
  <c r="AH335" i="3" l="1"/>
  <c r="D335" i="3"/>
  <c r="E335" i="3"/>
  <c r="H335" i="3" s="1"/>
  <c r="F335" i="3" l="1"/>
  <c r="G335" i="3"/>
  <c r="K335" i="3"/>
  <c r="AE335" i="3" s="1"/>
  <c r="I335" i="3" l="1"/>
  <c r="J335" i="3"/>
  <c r="AD335" i="3" s="1"/>
  <c r="M335" i="3"/>
  <c r="N335" i="3" s="1"/>
  <c r="V335" i="3"/>
  <c r="A336" i="3"/>
  <c r="B336" i="3" s="1"/>
  <c r="W335" i="3" l="1"/>
  <c r="L335" i="3"/>
  <c r="AA336" i="3"/>
  <c r="P336" i="3"/>
  <c r="Q336" i="3" s="1"/>
  <c r="R336" i="3" s="1"/>
  <c r="S336" i="3" s="1"/>
  <c r="AC336" i="3"/>
  <c r="Z336" i="3"/>
  <c r="T336" i="3" l="1"/>
  <c r="AG336" i="3" s="1"/>
  <c r="U335" i="3"/>
  <c r="Y334" i="3"/>
  <c r="E336" i="3" l="1"/>
  <c r="H336" i="3" s="1"/>
  <c r="D336" i="3"/>
  <c r="AH336" i="3"/>
  <c r="K336" i="3" l="1"/>
  <c r="AE336" i="3" s="1"/>
  <c r="F336" i="3"/>
  <c r="G336" i="3"/>
  <c r="I336" i="3" l="1"/>
  <c r="J336" i="3"/>
  <c r="AD336" i="3" s="1"/>
  <c r="M336" i="3"/>
  <c r="N336" i="3" s="1"/>
  <c r="V336" i="3"/>
  <c r="A337" i="3"/>
  <c r="B337" i="3" s="1"/>
  <c r="W336" i="3" l="1"/>
  <c r="P337" i="3"/>
  <c r="Q337" i="3" s="1"/>
  <c r="R337" i="3" s="1"/>
  <c r="S337" i="3" s="1"/>
  <c r="AC337" i="3"/>
  <c r="AA337" i="3"/>
  <c r="Z337" i="3"/>
  <c r="L336" i="3"/>
  <c r="T337" i="3" l="1"/>
  <c r="U336" i="3"/>
  <c r="Y335" i="3"/>
  <c r="E337" i="3" l="1"/>
  <c r="H337" i="3" s="1"/>
  <c r="K337" i="3" s="1"/>
  <c r="AE337" i="3" s="1"/>
  <c r="AH337" i="3"/>
  <c r="AG337" i="3"/>
  <c r="D337" i="3"/>
  <c r="V337" i="3" l="1"/>
  <c r="A338" i="3"/>
  <c r="B338" i="3" s="1"/>
  <c r="F337" i="3"/>
  <c r="G337" i="3"/>
  <c r="I337" i="3" l="1"/>
  <c r="W337" i="3" s="1"/>
  <c r="J337" i="3"/>
  <c r="AD337" i="3" s="1"/>
  <c r="M337" i="3"/>
  <c r="N337" i="3" s="1"/>
  <c r="P338" i="3"/>
  <c r="Q338" i="3" s="1"/>
  <c r="R338" i="3" s="1"/>
  <c r="S338" i="3" s="1"/>
  <c r="Z338" i="3"/>
  <c r="AC338" i="3"/>
  <c r="AA338" i="3"/>
  <c r="T338" i="3" l="1"/>
  <c r="L337" i="3"/>
  <c r="AH338" i="3" l="1"/>
  <c r="U337" i="3"/>
  <c r="E338" i="3" s="1"/>
  <c r="H338" i="3" s="1"/>
  <c r="AG338" i="3"/>
  <c r="Y336" i="3"/>
  <c r="D338" i="3" l="1"/>
  <c r="F338" i="3" s="1"/>
  <c r="K338" i="3"/>
  <c r="AE338" i="3" s="1"/>
  <c r="G338" i="3" l="1"/>
  <c r="M338" i="3" s="1"/>
  <c r="N338" i="3" s="1"/>
  <c r="V338" i="3"/>
  <c r="A339" i="3"/>
  <c r="B339" i="3" s="1"/>
  <c r="I338" i="3" l="1"/>
  <c r="W338" i="3" s="1"/>
  <c r="J338" i="3"/>
  <c r="Z339" i="3"/>
  <c r="P339" i="3"/>
  <c r="Q339" i="3" s="1"/>
  <c r="R339" i="3" s="1"/>
  <c r="S339" i="3" s="1"/>
  <c r="AA339" i="3"/>
  <c r="AC339" i="3"/>
  <c r="L338" i="3" l="1"/>
  <c r="U338" i="3" s="1"/>
  <c r="AD338" i="3"/>
  <c r="T339" i="3"/>
  <c r="Y337" i="3" l="1"/>
  <c r="AG339" i="3"/>
  <c r="AH339" i="3"/>
  <c r="E339" i="3"/>
  <c r="H339" i="3" s="1"/>
  <c r="D339" i="3"/>
  <c r="K339" i="3" l="1"/>
  <c r="AE339" i="3" s="1"/>
  <c r="F339" i="3"/>
  <c r="G339" i="3"/>
  <c r="V339" i="3" l="1"/>
  <c r="A340" i="3"/>
  <c r="B340" i="3" s="1"/>
  <c r="I339" i="3"/>
  <c r="J339" i="3"/>
  <c r="AD339" i="3" s="1"/>
  <c r="M339" i="3"/>
  <c r="N339" i="3" s="1"/>
  <c r="W339" i="3" l="1"/>
  <c r="L339" i="3"/>
  <c r="Z340" i="3"/>
  <c r="P340" i="3"/>
  <c r="Q340" i="3" s="1"/>
  <c r="R340" i="3" s="1"/>
  <c r="S340" i="3" s="1"/>
  <c r="AC340" i="3"/>
  <c r="AA340" i="3"/>
  <c r="T340" i="3" l="1"/>
  <c r="U339" i="3"/>
  <c r="Y338" i="3"/>
  <c r="D340" i="3" l="1"/>
  <c r="G340" i="3" s="1"/>
  <c r="E340" i="3"/>
  <c r="H340" i="3" s="1"/>
  <c r="K340" i="3" s="1"/>
  <c r="AE340" i="3" s="1"/>
  <c r="AH340" i="3"/>
  <c r="AG340" i="3"/>
  <c r="F340" i="3" l="1"/>
  <c r="V340" i="3"/>
  <c r="A341" i="3"/>
  <c r="B341" i="3" s="1"/>
  <c r="I340" i="3"/>
  <c r="J340" i="3"/>
  <c r="AD340" i="3" s="1"/>
  <c r="M340" i="3"/>
  <c r="N340" i="3" s="1"/>
  <c r="W340" i="3" l="1"/>
  <c r="L340" i="3"/>
  <c r="Z341" i="3"/>
  <c r="P341" i="3"/>
  <c r="Q341" i="3" s="1"/>
  <c r="R341" i="3" s="1"/>
  <c r="S341" i="3" s="1"/>
  <c r="AA341" i="3"/>
  <c r="AC341" i="3"/>
  <c r="U340" i="3" l="1"/>
  <c r="Y339" i="3"/>
  <c r="T341" i="3"/>
  <c r="AG341" i="3" s="1"/>
  <c r="D341" i="3" l="1"/>
  <c r="AH341" i="3"/>
  <c r="E341" i="3"/>
  <c r="H341" i="3" s="1"/>
  <c r="F341" i="3" l="1"/>
  <c r="G341" i="3"/>
  <c r="K341" i="3"/>
  <c r="AE341" i="3" s="1"/>
  <c r="I341" i="3" l="1"/>
  <c r="J341" i="3"/>
  <c r="AD341" i="3" s="1"/>
  <c r="M341" i="3"/>
  <c r="N341" i="3" s="1"/>
  <c r="V341" i="3"/>
  <c r="A342" i="3"/>
  <c r="B342" i="3" s="1"/>
  <c r="L341" i="3" l="1"/>
  <c r="W341" i="3"/>
  <c r="Z342" i="3"/>
  <c r="P342" i="3"/>
  <c r="Q342" i="3" s="1"/>
  <c r="R342" i="3" s="1"/>
  <c r="S342" i="3" s="1"/>
  <c r="AA342" i="3"/>
  <c r="AC342" i="3"/>
  <c r="U341" i="3" l="1"/>
  <c r="Y340" i="3"/>
  <c r="T342" i="3"/>
  <c r="D342" i="3" l="1"/>
  <c r="G342" i="3" s="1"/>
  <c r="AH342" i="3"/>
  <c r="E342" i="3"/>
  <c r="H342" i="3" s="1"/>
  <c r="AG342" i="3"/>
  <c r="F342" i="3" l="1"/>
  <c r="I342" i="3"/>
  <c r="J342" i="3"/>
  <c r="AD342" i="3" s="1"/>
  <c r="M342" i="3"/>
  <c r="N342" i="3" s="1"/>
  <c r="K342" i="3"/>
  <c r="AE342" i="3" s="1"/>
  <c r="V342" i="3" l="1"/>
  <c r="W342" i="3" s="1"/>
  <c r="A343" i="3"/>
  <c r="B343" i="3" s="1"/>
  <c r="L342" i="3"/>
  <c r="U342" i="3" l="1"/>
  <c r="Y341" i="3"/>
  <c r="P343" i="3"/>
  <c r="Q343" i="3" s="1"/>
  <c r="R343" i="3" s="1"/>
  <c r="S343" i="3" s="1"/>
  <c r="AA343" i="3"/>
  <c r="Z343" i="3"/>
  <c r="AC343" i="3"/>
  <c r="T343" i="3" l="1"/>
  <c r="D343" i="3" s="1"/>
  <c r="E343" i="3" l="1"/>
  <c r="H343" i="3" s="1"/>
  <c r="K343" i="3" s="1"/>
  <c r="AE343" i="3" s="1"/>
  <c r="G343" i="3"/>
  <c r="AG343" i="3"/>
  <c r="AH343" i="3"/>
  <c r="F343" i="3" l="1"/>
  <c r="I343" i="3"/>
  <c r="J343" i="3"/>
  <c r="AD343" i="3" s="1"/>
  <c r="M343" i="3"/>
  <c r="N343" i="3" s="1"/>
  <c r="V343" i="3"/>
  <c r="A344" i="3"/>
  <c r="B344" i="3" s="1"/>
  <c r="W343" i="3" l="1"/>
  <c r="L343" i="3"/>
  <c r="AA344" i="3"/>
  <c r="Z344" i="3"/>
  <c r="P344" i="3"/>
  <c r="Q344" i="3" s="1"/>
  <c r="R344" i="3" s="1"/>
  <c r="S344" i="3" s="1"/>
  <c r="AC344" i="3"/>
  <c r="U343" i="3" l="1"/>
  <c r="Y342" i="3"/>
  <c r="T344" i="3"/>
  <c r="AH344" i="3" s="1"/>
  <c r="AG344" i="3" l="1"/>
  <c r="E344" i="3"/>
  <c r="H344" i="3" s="1"/>
  <c r="D344" i="3"/>
  <c r="F344" i="3" l="1"/>
  <c r="G344" i="3"/>
  <c r="K344" i="3"/>
  <c r="AE344" i="3" s="1"/>
  <c r="I344" i="3" l="1"/>
  <c r="J344" i="3"/>
  <c r="AD344" i="3" s="1"/>
  <c r="M344" i="3"/>
  <c r="N344" i="3" s="1"/>
  <c r="V344" i="3"/>
  <c r="A345" i="3"/>
  <c r="B345" i="3" s="1"/>
  <c r="W344" i="3" l="1"/>
  <c r="P345" i="3"/>
  <c r="Q345" i="3" s="1"/>
  <c r="R345" i="3" s="1"/>
  <c r="S345" i="3" s="1"/>
  <c r="Z345" i="3"/>
  <c r="AC345" i="3"/>
  <c r="AA345" i="3"/>
  <c r="L344" i="3"/>
  <c r="T345" i="3" l="1"/>
  <c r="U344" i="3"/>
  <c r="Y343" i="3"/>
  <c r="E345" i="3" l="1"/>
  <c r="H345" i="3" s="1"/>
  <c r="K345" i="3" s="1"/>
  <c r="AE345" i="3" s="1"/>
  <c r="AH345" i="3"/>
  <c r="D345" i="3"/>
  <c r="AG345" i="3"/>
  <c r="F345" i="3" l="1"/>
  <c r="G345" i="3"/>
  <c r="V345" i="3"/>
  <c r="A346" i="3"/>
  <c r="B346" i="3" s="1"/>
  <c r="AC346" i="3" l="1"/>
  <c r="P346" i="3"/>
  <c r="Q346" i="3" s="1"/>
  <c r="R346" i="3" s="1"/>
  <c r="S346" i="3" s="1"/>
  <c r="AA346" i="3"/>
  <c r="Z346" i="3"/>
  <c r="I345" i="3"/>
  <c r="W345" i="3" s="1"/>
  <c r="J345" i="3"/>
  <c r="AD345" i="3" s="1"/>
  <c r="M345" i="3"/>
  <c r="N345" i="3" s="1"/>
  <c r="L345" i="3" l="1"/>
  <c r="T346" i="3"/>
  <c r="AH346" i="3" l="1"/>
  <c r="AG346" i="3"/>
  <c r="U345" i="3"/>
  <c r="D346" i="3" s="1"/>
  <c r="Y344" i="3"/>
  <c r="G346" i="3" l="1"/>
  <c r="E346" i="3"/>
  <c r="H346" i="3" s="1"/>
  <c r="F346" i="3" l="1"/>
  <c r="I346" i="3"/>
  <c r="J346" i="3"/>
  <c r="AD346" i="3" s="1"/>
  <c r="M346" i="3"/>
  <c r="N346" i="3" s="1"/>
  <c r="K346" i="3"/>
  <c r="AE346" i="3" s="1"/>
  <c r="V346" i="3" l="1"/>
  <c r="W346" i="3" s="1"/>
  <c r="A347" i="3"/>
  <c r="B347" i="3" s="1"/>
  <c r="L346" i="3"/>
  <c r="U346" i="3" l="1"/>
  <c r="Y345" i="3"/>
  <c r="AC347" i="3"/>
  <c r="Z347" i="3"/>
  <c r="AA347" i="3"/>
  <c r="P347" i="3"/>
  <c r="Q347" i="3" s="1"/>
  <c r="R347" i="3" s="1"/>
  <c r="S347" i="3" s="1"/>
  <c r="T347" i="3" l="1"/>
  <c r="E347" i="3" s="1"/>
  <c r="H347" i="3" s="1"/>
  <c r="K347" i="3" l="1"/>
  <c r="AE347" i="3" s="1"/>
  <c r="AH347" i="3"/>
  <c r="AG347" i="3"/>
  <c r="D347" i="3"/>
  <c r="F347" i="3" l="1"/>
  <c r="G347" i="3"/>
  <c r="V347" i="3"/>
  <c r="A348" i="3"/>
  <c r="B348" i="3" s="1"/>
  <c r="I347" i="3" l="1"/>
  <c r="W347" i="3" s="1"/>
  <c r="J347" i="3"/>
  <c r="AD347" i="3" s="1"/>
  <c r="M347" i="3"/>
  <c r="N347" i="3" s="1"/>
  <c r="AC348" i="3"/>
  <c r="AA348" i="3"/>
  <c r="P348" i="3"/>
  <c r="Q348" i="3" s="1"/>
  <c r="R348" i="3" s="1"/>
  <c r="S348" i="3" s="1"/>
  <c r="Z348" i="3"/>
  <c r="L347" i="3" l="1"/>
  <c r="T348" i="3"/>
  <c r="U347" i="3" l="1"/>
  <c r="D348" i="3" s="1"/>
  <c r="AH348" i="3"/>
  <c r="AG348" i="3"/>
  <c r="Y346" i="3"/>
  <c r="E348" i="3" l="1"/>
  <c r="H348" i="3" s="1"/>
  <c r="K348" i="3" s="1"/>
  <c r="AE348" i="3" s="1"/>
  <c r="G348" i="3"/>
  <c r="F348" i="3" l="1"/>
  <c r="I348" i="3"/>
  <c r="J348" i="3"/>
  <c r="AD348" i="3" s="1"/>
  <c r="M348" i="3"/>
  <c r="N348" i="3" s="1"/>
  <c r="V348" i="3"/>
  <c r="A349" i="3"/>
  <c r="B349" i="3" s="1"/>
  <c r="W348" i="3" l="1"/>
  <c r="L348" i="3"/>
  <c r="AC349" i="3"/>
  <c r="P349" i="3"/>
  <c r="Q349" i="3" s="1"/>
  <c r="R349" i="3" s="1"/>
  <c r="S349" i="3" s="1"/>
  <c r="AA349" i="3"/>
  <c r="Z349" i="3"/>
  <c r="U348" i="3" l="1"/>
  <c r="Y347" i="3"/>
  <c r="T349" i="3"/>
  <c r="AG349" i="3" s="1"/>
  <c r="E349" i="3" l="1"/>
  <c r="H349" i="3" s="1"/>
  <c r="K349" i="3" s="1"/>
  <c r="AE349" i="3" s="1"/>
  <c r="D349" i="3"/>
  <c r="AH349" i="3"/>
  <c r="V349" i="3" l="1"/>
  <c r="A350" i="3"/>
  <c r="B350" i="3" s="1"/>
  <c r="F349" i="3"/>
  <c r="G349" i="3"/>
  <c r="I349" i="3" l="1"/>
  <c r="W349" i="3" s="1"/>
  <c r="J349" i="3"/>
  <c r="AD349" i="3" s="1"/>
  <c r="M349" i="3"/>
  <c r="N349" i="3" s="1"/>
  <c r="P350" i="3"/>
  <c r="Q350" i="3" s="1"/>
  <c r="R350" i="3" s="1"/>
  <c r="S350" i="3" s="1"/>
  <c r="Z350" i="3"/>
  <c r="AC350" i="3"/>
  <c r="AA350" i="3"/>
  <c r="T350" i="3" l="1"/>
  <c r="L349" i="3"/>
  <c r="U349" i="3" l="1"/>
  <c r="D350" i="3" s="1"/>
  <c r="AG350" i="3"/>
  <c r="AH350" i="3"/>
  <c r="Y348" i="3"/>
  <c r="E350" i="3" l="1"/>
  <c r="H350" i="3" s="1"/>
  <c r="K350" i="3" s="1"/>
  <c r="AE350" i="3" s="1"/>
  <c r="G350" i="3"/>
  <c r="F350" i="3" l="1"/>
  <c r="V350" i="3"/>
  <c r="A351" i="3"/>
  <c r="B351" i="3" s="1"/>
  <c r="I350" i="3"/>
  <c r="J350" i="3"/>
  <c r="AD350" i="3" s="1"/>
  <c r="M350" i="3"/>
  <c r="N350" i="3" s="1"/>
  <c r="W350" i="3" l="1"/>
  <c r="L350" i="3"/>
  <c r="AA351" i="3"/>
  <c r="P351" i="3"/>
  <c r="Q351" i="3" s="1"/>
  <c r="R351" i="3" s="1"/>
  <c r="S351" i="3" s="1"/>
  <c r="Z351" i="3"/>
  <c r="AC351" i="3"/>
  <c r="U350" i="3" l="1"/>
  <c r="Y349" i="3"/>
  <c r="T351" i="3"/>
  <c r="D351" i="3" l="1"/>
  <c r="G351" i="3" s="1"/>
  <c r="AH351" i="3"/>
  <c r="E351" i="3"/>
  <c r="H351" i="3" s="1"/>
  <c r="K351" i="3" s="1"/>
  <c r="AE351" i="3" s="1"/>
  <c r="AG351" i="3"/>
  <c r="F351" i="3" l="1"/>
  <c r="V351" i="3"/>
  <c r="A352" i="3"/>
  <c r="B352" i="3" s="1"/>
  <c r="I351" i="3"/>
  <c r="J351" i="3"/>
  <c r="AD351" i="3" s="1"/>
  <c r="M351" i="3"/>
  <c r="N351" i="3" s="1"/>
  <c r="L351" i="3" l="1"/>
  <c r="W351" i="3"/>
  <c r="AC352" i="3"/>
  <c r="P352" i="3"/>
  <c r="Q352" i="3" s="1"/>
  <c r="R352" i="3" s="1"/>
  <c r="S352" i="3" s="1"/>
  <c r="AA352" i="3"/>
  <c r="Z352" i="3"/>
  <c r="U351" i="3" l="1"/>
  <c r="Y350" i="3"/>
  <c r="T352" i="3"/>
  <c r="E352" i="3" l="1"/>
  <c r="H352" i="3" s="1"/>
  <c r="K352" i="3" s="1"/>
  <c r="AE352" i="3" s="1"/>
  <c r="AH352" i="3"/>
  <c r="D352" i="3"/>
  <c r="AG352" i="3"/>
  <c r="F352" i="3" l="1"/>
  <c r="G352" i="3"/>
  <c r="V352" i="3"/>
  <c r="A353" i="3"/>
  <c r="B353" i="3" s="1"/>
  <c r="AC353" i="3" l="1"/>
  <c r="AA353" i="3"/>
  <c r="P353" i="3"/>
  <c r="Q353" i="3" s="1"/>
  <c r="R353" i="3" s="1"/>
  <c r="S353" i="3" s="1"/>
  <c r="Z353" i="3"/>
  <c r="I352" i="3"/>
  <c r="W352" i="3" s="1"/>
  <c r="J352" i="3"/>
  <c r="AD352" i="3" s="1"/>
  <c r="M352" i="3"/>
  <c r="N352" i="3" s="1"/>
  <c r="T353" i="3" l="1"/>
  <c r="L352" i="3"/>
  <c r="U352" i="3" l="1"/>
  <c r="D353" i="3" s="1"/>
  <c r="AH353" i="3"/>
  <c r="AG353" i="3"/>
  <c r="Y351" i="3"/>
  <c r="E353" i="3" l="1"/>
  <c r="H353" i="3" s="1"/>
  <c r="K353" i="3" s="1"/>
  <c r="AE353" i="3" s="1"/>
  <c r="G353" i="3"/>
  <c r="F353" i="3" l="1"/>
  <c r="I353" i="3"/>
  <c r="J353" i="3"/>
  <c r="AD353" i="3" s="1"/>
  <c r="M353" i="3"/>
  <c r="N353" i="3" s="1"/>
  <c r="V353" i="3"/>
  <c r="A354" i="3"/>
  <c r="B354" i="3" s="1"/>
  <c r="W353" i="3" l="1"/>
  <c r="L353" i="3"/>
  <c r="P354" i="3"/>
  <c r="Q354" i="3" s="1"/>
  <c r="R354" i="3" s="1"/>
  <c r="S354" i="3" s="1"/>
  <c r="AC354" i="3"/>
  <c r="Z354" i="3"/>
  <c r="AA354" i="3"/>
  <c r="U353" i="3" l="1"/>
  <c r="Y352" i="3"/>
  <c r="T354" i="3"/>
  <c r="AG354" i="3" s="1"/>
  <c r="D354" i="3" l="1"/>
  <c r="AH354" i="3"/>
  <c r="E354" i="3"/>
  <c r="H354" i="3" s="1"/>
  <c r="F354" i="3" l="1"/>
  <c r="G354" i="3"/>
  <c r="K354" i="3"/>
  <c r="AE354" i="3" s="1"/>
  <c r="V354" i="3" l="1"/>
  <c r="A355" i="3"/>
  <c r="B355" i="3" s="1"/>
  <c r="I354" i="3"/>
  <c r="J354" i="3"/>
  <c r="AD354" i="3" s="1"/>
  <c r="M354" i="3"/>
  <c r="N354" i="3" s="1"/>
  <c r="W354" i="3" l="1"/>
  <c r="L354" i="3"/>
  <c r="AA355" i="3"/>
  <c r="AC355" i="3"/>
  <c r="Z355" i="3"/>
  <c r="P355" i="3"/>
  <c r="Q355" i="3" s="1"/>
  <c r="R355" i="3" s="1"/>
  <c r="S355" i="3" s="1"/>
  <c r="T355" i="3" l="1"/>
  <c r="U354" i="3"/>
  <c r="Y353" i="3"/>
  <c r="D355" i="3" l="1"/>
  <c r="G355" i="3" s="1"/>
  <c r="AG355" i="3"/>
  <c r="E355" i="3"/>
  <c r="H355" i="3" s="1"/>
  <c r="K355" i="3" s="1"/>
  <c r="AE355" i="3" s="1"/>
  <c r="AH355" i="3"/>
  <c r="F355" i="3" l="1"/>
  <c r="V355" i="3"/>
  <c r="A356" i="3"/>
  <c r="B356" i="3" s="1"/>
  <c r="I355" i="3"/>
  <c r="J355" i="3"/>
  <c r="AD355" i="3" s="1"/>
  <c r="M355" i="3"/>
  <c r="N355" i="3" s="1"/>
  <c r="W355" i="3" l="1"/>
  <c r="L355" i="3"/>
  <c r="P356" i="3"/>
  <c r="Q356" i="3" s="1"/>
  <c r="R356" i="3" s="1"/>
  <c r="S356" i="3" s="1"/>
  <c r="AA356" i="3"/>
  <c r="Z356" i="3"/>
  <c r="AC356" i="3"/>
  <c r="U355" i="3" l="1"/>
  <c r="Y354" i="3"/>
  <c r="T356" i="3"/>
  <c r="AG356" i="3" s="1"/>
  <c r="AH356" i="3" l="1"/>
  <c r="D356" i="3"/>
  <c r="E356" i="3"/>
  <c r="H356" i="3" s="1"/>
  <c r="K356" i="3" s="1"/>
  <c r="AE356" i="3" s="1"/>
  <c r="F356" i="3" l="1"/>
  <c r="G356" i="3"/>
  <c r="M356" i="3" s="1"/>
  <c r="N356" i="3" s="1"/>
  <c r="V356" i="3"/>
  <c r="A357" i="3"/>
  <c r="B357" i="3" s="1"/>
  <c r="I356" i="3" l="1"/>
  <c r="W356" i="3" s="1"/>
  <c r="J356" i="3"/>
  <c r="Z357" i="3"/>
  <c r="P357" i="3"/>
  <c r="Q357" i="3" s="1"/>
  <c r="R357" i="3" s="1"/>
  <c r="S357" i="3" s="1"/>
  <c r="AC357" i="3"/>
  <c r="AA357" i="3"/>
  <c r="L356" i="3" l="1"/>
  <c r="U356" i="3" s="1"/>
  <c r="AD356" i="3"/>
  <c r="T357" i="3"/>
  <c r="Y355" i="3" l="1"/>
  <c r="AG357" i="3"/>
  <c r="AH357" i="3"/>
  <c r="E357" i="3"/>
  <c r="H357" i="3" s="1"/>
  <c r="D357" i="3"/>
  <c r="F357" i="3" l="1"/>
  <c r="G357" i="3"/>
  <c r="K357" i="3"/>
  <c r="AE357" i="3" s="1"/>
  <c r="V357" i="3" l="1"/>
  <c r="A358" i="3"/>
  <c r="B358" i="3" s="1"/>
  <c r="I357" i="3"/>
  <c r="J357" i="3"/>
  <c r="AD357" i="3" s="1"/>
  <c r="M357" i="3"/>
  <c r="N357" i="3" s="1"/>
  <c r="W357" i="3" l="1"/>
  <c r="L357" i="3"/>
  <c r="P358" i="3"/>
  <c r="Q358" i="3" s="1"/>
  <c r="R358" i="3" s="1"/>
  <c r="S358" i="3" s="1"/>
  <c r="Z358" i="3"/>
  <c r="AA358" i="3"/>
  <c r="AC358" i="3"/>
  <c r="T358" i="3" l="1"/>
  <c r="AH358" i="3" s="1"/>
  <c r="U357" i="3"/>
  <c r="Y356" i="3"/>
  <c r="D358" i="3" l="1"/>
  <c r="G358" i="3" s="1"/>
  <c r="E358" i="3"/>
  <c r="H358" i="3" s="1"/>
  <c r="AG358" i="3"/>
  <c r="I358" i="3" l="1"/>
  <c r="J358" i="3"/>
  <c r="AD358" i="3" s="1"/>
  <c r="M358" i="3"/>
  <c r="N358" i="3" s="1"/>
  <c r="F358" i="3"/>
  <c r="K358" i="3"/>
  <c r="AE358" i="3" s="1"/>
  <c r="V358" i="3" l="1"/>
  <c r="W358" i="3" s="1"/>
  <c r="A359" i="3"/>
  <c r="B359" i="3" s="1"/>
  <c r="L358" i="3"/>
  <c r="U358" i="3" l="1"/>
  <c r="Y357" i="3"/>
  <c r="P359" i="3"/>
  <c r="Q359" i="3" s="1"/>
  <c r="R359" i="3" s="1"/>
  <c r="S359" i="3" s="1"/>
  <c r="AC359" i="3"/>
  <c r="AA359" i="3"/>
  <c r="Z359" i="3"/>
  <c r="T359" i="3" l="1"/>
  <c r="AG359" i="3" s="1"/>
  <c r="AH359" i="3" l="1"/>
  <c r="E359" i="3"/>
  <c r="H359" i="3" s="1"/>
  <c r="D359" i="3"/>
  <c r="K359" i="3" l="1"/>
  <c r="AE359" i="3" s="1"/>
  <c r="F359" i="3"/>
  <c r="G359" i="3"/>
  <c r="I359" i="3" l="1"/>
  <c r="J359" i="3"/>
  <c r="AD359" i="3" s="1"/>
  <c r="M359" i="3"/>
  <c r="N359" i="3" s="1"/>
  <c r="V359" i="3"/>
  <c r="A360" i="3"/>
  <c r="B360" i="3" s="1"/>
  <c r="W359" i="3" l="1"/>
  <c r="L359" i="3"/>
  <c r="AC360" i="3"/>
  <c r="AA360" i="3"/>
  <c r="P360" i="3"/>
  <c r="Q360" i="3" s="1"/>
  <c r="R360" i="3" s="1"/>
  <c r="S360" i="3" s="1"/>
  <c r="Z360" i="3"/>
  <c r="T360" i="3" l="1"/>
  <c r="AH360" i="3" s="1"/>
  <c r="U359" i="3"/>
  <c r="Y358" i="3"/>
  <c r="E360" i="3" l="1"/>
  <c r="H360" i="3" s="1"/>
  <c r="K360" i="3" s="1"/>
  <c r="AE360" i="3" s="1"/>
  <c r="AG360" i="3"/>
  <c r="D360" i="3"/>
  <c r="F360" i="3" l="1"/>
  <c r="G360" i="3"/>
  <c r="V360" i="3"/>
  <c r="A361" i="3"/>
  <c r="B361" i="3" s="1"/>
  <c r="Z361" i="3" l="1"/>
  <c r="P361" i="3"/>
  <c r="Q361" i="3" s="1"/>
  <c r="R361" i="3" s="1"/>
  <c r="S361" i="3" s="1"/>
  <c r="AC361" i="3"/>
  <c r="AA361" i="3"/>
  <c r="I360" i="3"/>
  <c r="W360" i="3" s="1"/>
  <c r="J360" i="3"/>
  <c r="AD360" i="3" s="1"/>
  <c r="M360" i="3"/>
  <c r="N360" i="3" s="1"/>
  <c r="T361" i="3" l="1"/>
  <c r="L360" i="3"/>
  <c r="AG361" i="3" l="1"/>
  <c r="AH361" i="3"/>
  <c r="U360" i="3"/>
  <c r="E361" i="3" s="1"/>
  <c r="H361" i="3" s="1"/>
  <c r="Y359" i="3"/>
  <c r="D361" i="3" l="1"/>
  <c r="G361" i="3" s="1"/>
  <c r="K361" i="3"/>
  <c r="AE361" i="3" s="1"/>
  <c r="F361" i="3" l="1"/>
  <c r="I361" i="3"/>
  <c r="J361" i="3"/>
  <c r="AD361" i="3" s="1"/>
  <c r="M361" i="3"/>
  <c r="N361" i="3" s="1"/>
  <c r="V361" i="3"/>
  <c r="A362" i="3"/>
  <c r="B362" i="3" s="1"/>
  <c r="W361" i="3" l="1"/>
  <c r="L361" i="3"/>
  <c r="AC362" i="3"/>
  <c r="Z362" i="3"/>
  <c r="P362" i="3"/>
  <c r="Q362" i="3" s="1"/>
  <c r="R362" i="3" s="1"/>
  <c r="S362" i="3" s="1"/>
  <c r="AA362" i="3"/>
  <c r="U361" i="3" l="1"/>
  <c r="Y360" i="3"/>
  <c r="T362" i="3"/>
  <c r="AH362" i="3" s="1"/>
  <c r="D362" i="3" l="1"/>
  <c r="G362" i="3" s="1"/>
  <c r="E362" i="3"/>
  <c r="H362" i="3" s="1"/>
  <c r="K362" i="3" s="1"/>
  <c r="AE362" i="3" s="1"/>
  <c r="AG362" i="3"/>
  <c r="F362" i="3" l="1"/>
  <c r="I362" i="3"/>
  <c r="J362" i="3"/>
  <c r="AD362" i="3" s="1"/>
  <c r="M362" i="3"/>
  <c r="N362" i="3" s="1"/>
  <c r="V362" i="3"/>
  <c r="A363" i="3"/>
  <c r="B363" i="3" s="1"/>
  <c r="W362" i="3" l="1"/>
  <c r="L362" i="3"/>
  <c r="P363" i="3"/>
  <c r="Q363" i="3" s="1"/>
  <c r="R363" i="3" s="1"/>
  <c r="S363" i="3" s="1"/>
  <c r="AA363" i="3"/>
  <c r="Z363" i="3"/>
  <c r="AC363" i="3"/>
  <c r="T363" i="3" l="1"/>
  <c r="U362" i="3"/>
  <c r="Y361" i="3"/>
  <c r="E363" i="3" l="1"/>
  <c r="H363" i="3" s="1"/>
  <c r="K363" i="3" s="1"/>
  <c r="AE363" i="3" s="1"/>
  <c r="AH363" i="3"/>
  <c r="D363" i="3"/>
  <c r="AG363" i="3"/>
  <c r="F363" i="3" l="1"/>
  <c r="G363" i="3"/>
  <c r="M363" i="3" s="1"/>
  <c r="N363" i="3" s="1"/>
  <c r="V363" i="3"/>
  <c r="A364" i="3"/>
  <c r="B364" i="3" s="1"/>
  <c r="I363" i="3" l="1"/>
  <c r="W363" i="3" s="1"/>
  <c r="J363" i="3"/>
  <c r="P364" i="3"/>
  <c r="Q364" i="3" s="1"/>
  <c r="R364" i="3" s="1"/>
  <c r="S364" i="3" s="1"/>
  <c r="Z364" i="3"/>
  <c r="AC364" i="3"/>
  <c r="AA364" i="3"/>
  <c r="L363" i="3" l="1"/>
  <c r="U363" i="3" s="1"/>
  <c r="AD363" i="3"/>
  <c r="T364" i="3"/>
  <c r="Y362" i="3" l="1"/>
  <c r="D364" i="3"/>
  <c r="G364" i="3" s="1"/>
  <c r="E364" i="3"/>
  <c r="H364" i="3" s="1"/>
  <c r="K364" i="3" s="1"/>
  <c r="AE364" i="3" s="1"/>
  <c r="AG364" i="3"/>
  <c r="AH364" i="3"/>
  <c r="F364" i="3" l="1"/>
  <c r="V364" i="3"/>
  <c r="A365" i="3"/>
  <c r="B365" i="3" s="1"/>
  <c r="I364" i="3"/>
  <c r="J364" i="3"/>
  <c r="AD364" i="3" s="1"/>
  <c r="M364" i="3"/>
  <c r="N364" i="3" s="1"/>
  <c r="W364" i="3" l="1"/>
  <c r="L364" i="3"/>
  <c r="AC365" i="3"/>
  <c r="P365" i="3"/>
  <c r="Q365" i="3" s="1"/>
  <c r="R365" i="3" s="1"/>
  <c r="S365" i="3" s="1"/>
  <c r="AA365" i="3"/>
  <c r="AD365" i="3"/>
  <c r="Z365" i="3"/>
  <c r="U364" i="3" l="1"/>
  <c r="Y363" i="3"/>
  <c r="T365" i="3"/>
  <c r="AH365" i="3" s="1"/>
  <c r="D365" i="3" l="1"/>
  <c r="G365" i="3" s="1"/>
  <c r="AG365" i="3"/>
  <c r="E365" i="3"/>
  <c r="H365" i="3" s="1"/>
  <c r="K365" i="3" s="1"/>
  <c r="AE365" i="3" s="1"/>
  <c r="F365" i="3" l="1"/>
  <c r="I365" i="3"/>
  <c r="J365" i="3"/>
  <c r="M365" i="3"/>
  <c r="N365" i="3" s="1"/>
  <c r="V365" i="3"/>
  <c r="A366" i="3"/>
  <c r="B366" i="3" s="1"/>
  <c r="W365" i="3" l="1"/>
  <c r="L365" i="3"/>
  <c r="AC366" i="3"/>
  <c r="AD366" i="3"/>
  <c r="P366" i="3"/>
  <c r="Q366" i="3" s="1"/>
  <c r="R366" i="3" s="1"/>
  <c r="S366" i="3" s="1"/>
  <c r="AA366" i="3"/>
  <c r="Z366" i="3"/>
  <c r="U365" i="3" l="1"/>
  <c r="Y364" i="3"/>
  <c r="T366" i="3"/>
  <c r="E366" i="3" l="1"/>
  <c r="H366" i="3" s="1"/>
  <c r="K366" i="3" s="1"/>
  <c r="AE366" i="3" s="1"/>
  <c r="AH366" i="3"/>
  <c r="D366" i="3"/>
  <c r="G366" i="3" s="1"/>
  <c r="AG366" i="3"/>
  <c r="F366" i="3" l="1"/>
  <c r="V366" i="3"/>
  <c r="A367" i="3"/>
  <c r="B367" i="3" s="1"/>
  <c r="I366" i="3"/>
  <c r="J366" i="3"/>
  <c r="M366" i="3"/>
  <c r="N366" i="3" s="1"/>
  <c r="W366" i="3" l="1"/>
  <c r="L366" i="3"/>
  <c r="Z367" i="3"/>
  <c r="P367" i="3"/>
  <c r="Q367" i="3" s="1"/>
  <c r="R367" i="3" s="1"/>
  <c r="S367" i="3" s="1"/>
  <c r="AC367" i="3"/>
  <c r="AA367" i="3"/>
  <c r="T367" i="3" l="1"/>
  <c r="AG367" i="3" s="1"/>
  <c r="U366" i="3"/>
  <c r="Y365" i="3"/>
  <c r="D367" i="3" l="1"/>
  <c r="AH367" i="3"/>
  <c r="E367" i="3"/>
  <c r="H367" i="3" s="1"/>
  <c r="F367" i="3" l="1"/>
  <c r="G367" i="3"/>
  <c r="K367" i="3"/>
  <c r="AE367" i="3" s="1"/>
  <c r="I367" i="3" l="1"/>
  <c r="J367" i="3"/>
  <c r="AD367" i="3" s="1"/>
  <c r="M367" i="3"/>
  <c r="N367" i="3" s="1"/>
  <c r="V367" i="3"/>
  <c r="A368" i="3"/>
  <c r="B368" i="3" s="1"/>
  <c r="L367" i="3" l="1"/>
  <c r="W367" i="3"/>
  <c r="Z368" i="3"/>
  <c r="P368" i="3"/>
  <c r="Q368" i="3" s="1"/>
  <c r="R368" i="3" s="1"/>
  <c r="S368" i="3" s="1"/>
  <c r="AC368" i="3"/>
  <c r="AA368" i="3"/>
  <c r="T368" i="3" l="1"/>
  <c r="AH368" i="3" s="1"/>
  <c r="U367" i="3"/>
  <c r="Y366" i="3"/>
  <c r="E368" i="3" l="1"/>
  <c r="H368" i="3" s="1"/>
  <c r="K368" i="3" s="1"/>
  <c r="AE368" i="3" s="1"/>
  <c r="D368" i="3"/>
  <c r="AG368" i="3"/>
  <c r="V368" i="3" l="1"/>
  <c r="A369" i="3"/>
  <c r="B369" i="3" s="1"/>
  <c r="F368" i="3"/>
  <c r="G368" i="3"/>
  <c r="I368" i="3" l="1"/>
  <c r="W368" i="3" s="1"/>
  <c r="J368" i="3"/>
  <c r="AD368" i="3" s="1"/>
  <c r="M368" i="3"/>
  <c r="N368" i="3" s="1"/>
  <c r="AD369" i="3"/>
  <c r="Z369" i="3"/>
  <c r="AC369" i="3"/>
  <c r="P369" i="3"/>
  <c r="Q369" i="3" s="1"/>
  <c r="R369" i="3" s="1"/>
  <c r="S369" i="3" s="1"/>
  <c r="AA369" i="3"/>
  <c r="T369" i="3" l="1"/>
  <c r="L368" i="3"/>
  <c r="AH369" i="3" l="1"/>
  <c r="AG369" i="3"/>
  <c r="U368" i="3"/>
  <c r="E369" i="3" s="1"/>
  <c r="H369" i="3" s="1"/>
  <c r="Y367" i="3"/>
  <c r="D369" i="3" l="1"/>
  <c r="F369" i="3" s="1"/>
  <c r="K369" i="3"/>
  <c r="AE369" i="3" s="1"/>
  <c r="G369" i="3" l="1"/>
  <c r="M369" i="3" s="1"/>
  <c r="N369" i="3" s="1"/>
  <c r="V369" i="3"/>
  <c r="A370" i="3"/>
  <c r="B370" i="3" s="1"/>
  <c r="J369" i="3" l="1"/>
  <c r="L369" i="3" s="1"/>
  <c r="I369" i="3"/>
  <c r="W369" i="3" s="1"/>
  <c r="AD370" i="3"/>
  <c r="AA370" i="3"/>
  <c r="P370" i="3"/>
  <c r="Q370" i="3" s="1"/>
  <c r="R370" i="3" s="1"/>
  <c r="S370" i="3" s="1"/>
  <c r="AC370" i="3"/>
  <c r="Z370" i="3"/>
  <c r="U369" i="3" l="1"/>
  <c r="Y368" i="3"/>
  <c r="T370" i="3"/>
  <c r="AG370" i="3" s="1"/>
  <c r="E370" i="3" l="1"/>
  <c r="H370" i="3" s="1"/>
  <c r="K370" i="3" s="1"/>
  <c r="AE370" i="3" s="1"/>
  <c r="AH370" i="3"/>
  <c r="D370" i="3"/>
  <c r="F370" i="3" l="1"/>
  <c r="G370" i="3"/>
  <c r="M370" i="3" s="1"/>
  <c r="N370" i="3" s="1"/>
  <c r="V370" i="3"/>
  <c r="A371" i="3"/>
  <c r="B371" i="3" s="1"/>
  <c r="I370" i="3" l="1"/>
  <c r="W370" i="3" s="1"/>
  <c r="J370" i="3"/>
  <c r="L370" i="3" s="1"/>
  <c r="AD371" i="3"/>
  <c r="AC371" i="3"/>
  <c r="P371" i="3"/>
  <c r="Q371" i="3" s="1"/>
  <c r="R371" i="3" s="1"/>
  <c r="S371" i="3" s="1"/>
  <c r="AA371" i="3"/>
  <c r="Z371" i="3"/>
  <c r="T371" i="3" l="1"/>
  <c r="AG371" i="3" s="1"/>
  <c r="U370" i="3"/>
  <c r="Y369" i="3"/>
  <c r="E371" i="3" l="1"/>
  <c r="H371" i="3" s="1"/>
  <c r="K371" i="3" s="1"/>
  <c r="AE371" i="3" s="1"/>
  <c r="D371" i="3"/>
  <c r="AH371" i="3"/>
  <c r="V371" i="3" l="1"/>
  <c r="A372" i="3"/>
  <c r="B372" i="3" s="1"/>
  <c r="F371" i="3"/>
  <c r="G371" i="3"/>
  <c r="I371" i="3" l="1"/>
  <c r="W371" i="3" s="1"/>
  <c r="J371" i="3"/>
  <c r="M371" i="3"/>
  <c r="N371" i="3" s="1"/>
  <c r="P372" i="3"/>
  <c r="Q372" i="3" s="1"/>
  <c r="R372" i="3" s="1"/>
  <c r="S372" i="3" s="1"/>
  <c r="AA372" i="3"/>
  <c r="AC372" i="3"/>
  <c r="Z372" i="3"/>
  <c r="AD372" i="3"/>
  <c r="L371" i="3" l="1"/>
  <c r="T372" i="3"/>
  <c r="U371" i="3" l="1"/>
  <c r="E372" i="3" s="1"/>
  <c r="H372" i="3" s="1"/>
  <c r="AG372" i="3"/>
  <c r="AH372" i="3"/>
  <c r="Y370" i="3"/>
  <c r="D372" i="3" l="1"/>
  <c r="F372" i="3" s="1"/>
  <c r="K372" i="3"/>
  <c r="AE372" i="3" s="1"/>
  <c r="G372" i="3" l="1"/>
  <c r="M372" i="3" s="1"/>
  <c r="N372" i="3" s="1"/>
  <c r="V372" i="3"/>
  <c r="A373" i="3"/>
  <c r="B373" i="3" s="1"/>
  <c r="J372" i="3" l="1"/>
  <c r="L372" i="3" s="1"/>
  <c r="I372" i="3"/>
  <c r="W372" i="3" s="1"/>
  <c r="AD373" i="3"/>
  <c r="Z373" i="3"/>
  <c r="AC373" i="3"/>
  <c r="P373" i="3"/>
  <c r="Q373" i="3" s="1"/>
  <c r="R373" i="3" s="1"/>
  <c r="S373" i="3" s="1"/>
  <c r="AA373" i="3"/>
  <c r="U372" i="3" l="1"/>
  <c r="Y371" i="3"/>
  <c r="T373" i="3"/>
  <c r="AH373" i="3" s="1"/>
  <c r="D373" i="3" l="1"/>
  <c r="G373" i="3" s="1"/>
  <c r="E373" i="3"/>
  <c r="H373" i="3" s="1"/>
  <c r="AG373" i="3"/>
  <c r="F373" i="3" l="1"/>
  <c r="I373" i="3"/>
  <c r="J373" i="3"/>
  <c r="M373" i="3"/>
  <c r="N373" i="3" s="1"/>
  <c r="K373" i="3"/>
  <c r="AE373" i="3" s="1"/>
  <c r="V373" i="3" l="1"/>
  <c r="W373" i="3" s="1"/>
  <c r="A374" i="3"/>
  <c r="B374" i="3" s="1"/>
  <c r="L373" i="3"/>
  <c r="U373" i="3" l="1"/>
  <c r="Y372" i="3"/>
  <c r="AA374" i="3"/>
  <c r="AC374" i="3"/>
  <c r="Z374" i="3"/>
  <c r="P374" i="3"/>
  <c r="Q374" i="3" s="1"/>
  <c r="R374" i="3" s="1"/>
  <c r="S374" i="3" s="1"/>
  <c r="T374" i="3" l="1"/>
  <c r="AH374" i="3" s="1"/>
  <c r="AG374" i="3" l="1"/>
  <c r="E374" i="3"/>
  <c r="H374" i="3" s="1"/>
  <c r="K374" i="3" s="1"/>
  <c r="AE374" i="3" s="1"/>
  <c r="D374" i="3"/>
  <c r="F374" i="3" l="1"/>
  <c r="G374" i="3"/>
  <c r="I374" i="3" s="1"/>
  <c r="V374" i="3"/>
  <c r="A375" i="3"/>
  <c r="B375" i="3" s="1"/>
  <c r="J374" i="3" l="1"/>
  <c r="M374" i="3"/>
  <c r="N374" i="3" s="1"/>
  <c r="W374" i="3"/>
  <c r="P375" i="3"/>
  <c r="Q375" i="3" s="1"/>
  <c r="R375" i="3" s="1"/>
  <c r="S375" i="3" s="1"/>
  <c r="Z375" i="3"/>
  <c r="AC375" i="3"/>
  <c r="AA375" i="3"/>
  <c r="AD375" i="3"/>
  <c r="L374" i="3" l="1"/>
  <c r="Y373" i="3" s="1"/>
  <c r="AD374" i="3"/>
  <c r="T375" i="3"/>
  <c r="U374" i="3" l="1"/>
  <c r="E375" i="3" s="1"/>
  <c r="H375" i="3" s="1"/>
  <c r="K375" i="3" s="1"/>
  <c r="AE375" i="3" s="1"/>
  <c r="AG375" i="3"/>
  <c r="AH375" i="3"/>
  <c r="D375" i="3" l="1"/>
  <c r="G375" i="3" s="1"/>
  <c r="I375" i="3" s="1"/>
  <c r="V375" i="3"/>
  <c r="A376" i="3"/>
  <c r="B376" i="3" s="1"/>
  <c r="M375" i="3" l="1"/>
  <c r="N375" i="3" s="1"/>
  <c r="F375" i="3"/>
  <c r="J375" i="3"/>
  <c r="L375" i="3" s="1"/>
  <c r="W375" i="3"/>
  <c r="AA376" i="3"/>
  <c r="P376" i="3"/>
  <c r="Q376" i="3" s="1"/>
  <c r="R376" i="3" s="1"/>
  <c r="S376" i="3" s="1"/>
  <c r="AC376" i="3"/>
  <c r="Z376" i="3"/>
  <c r="AD376" i="3"/>
  <c r="T376" i="3" l="1"/>
  <c r="U375" i="3"/>
  <c r="Y374" i="3"/>
  <c r="D376" i="3" l="1"/>
  <c r="G376" i="3" s="1"/>
  <c r="AG376" i="3"/>
  <c r="AH376" i="3"/>
  <c r="E376" i="3"/>
  <c r="H376" i="3" s="1"/>
  <c r="F376" i="3" l="1"/>
  <c r="I376" i="3"/>
  <c r="J376" i="3"/>
  <c r="M376" i="3"/>
  <c r="N376" i="3" s="1"/>
  <c r="K376" i="3"/>
  <c r="AE376" i="3" s="1"/>
  <c r="V376" i="3" l="1"/>
  <c r="W376" i="3" s="1"/>
  <c r="A377" i="3"/>
  <c r="B377" i="3" s="1"/>
  <c r="L376" i="3"/>
  <c r="AC377" i="3" l="1"/>
  <c r="AA377" i="3"/>
  <c r="P377" i="3"/>
  <c r="Q377" i="3" s="1"/>
  <c r="R377" i="3" s="1"/>
  <c r="S377" i="3" s="1"/>
  <c r="Z377" i="3"/>
  <c r="U376" i="3"/>
  <c r="Y375" i="3"/>
  <c r="T377" i="3" l="1"/>
  <c r="AH377" i="3" s="1"/>
  <c r="E377" i="3" l="1"/>
  <c r="H377" i="3" s="1"/>
  <c r="K377" i="3" s="1"/>
  <c r="AE377" i="3" s="1"/>
  <c r="D377" i="3"/>
  <c r="AG377" i="3"/>
  <c r="F377" i="3" l="1"/>
  <c r="G377" i="3"/>
  <c r="M377" i="3" s="1"/>
  <c r="N377" i="3" s="1"/>
  <c r="V377" i="3"/>
  <c r="A378" i="3"/>
  <c r="B378" i="3" s="1"/>
  <c r="I377" i="3" l="1"/>
  <c r="W377" i="3" s="1"/>
  <c r="J377" i="3"/>
  <c r="Z378" i="3"/>
  <c r="AC378" i="3"/>
  <c r="P378" i="3"/>
  <c r="Q378" i="3" s="1"/>
  <c r="R378" i="3" s="1"/>
  <c r="S378" i="3" s="1"/>
  <c r="AA378" i="3"/>
  <c r="L377" i="3" l="1"/>
  <c r="U377" i="3" s="1"/>
  <c r="AD377" i="3"/>
  <c r="T378" i="3"/>
  <c r="Y376" i="3" l="1"/>
  <c r="D378" i="3"/>
  <c r="G378" i="3" s="1"/>
  <c r="AG378" i="3"/>
  <c r="E378" i="3"/>
  <c r="H378" i="3" s="1"/>
  <c r="K378" i="3" s="1"/>
  <c r="AE378" i="3" s="1"/>
  <c r="AH378" i="3"/>
  <c r="F378" i="3" l="1"/>
  <c r="V378" i="3"/>
  <c r="A379" i="3"/>
  <c r="B379" i="3" s="1"/>
  <c r="I378" i="3"/>
  <c r="J378" i="3"/>
  <c r="AD378" i="3" s="1"/>
  <c r="M378" i="3"/>
  <c r="N378" i="3" s="1"/>
  <c r="W378" i="3" l="1"/>
  <c r="L378" i="3"/>
  <c r="Z379" i="3"/>
  <c r="AA379" i="3"/>
  <c r="AD379" i="3"/>
  <c r="P379" i="3"/>
  <c r="Q379" i="3" s="1"/>
  <c r="R379" i="3" s="1"/>
  <c r="S379" i="3" s="1"/>
  <c r="AC379" i="3"/>
  <c r="U378" i="3" l="1"/>
  <c r="Y377" i="3"/>
  <c r="T379" i="3"/>
  <c r="AH379" i="3" s="1"/>
  <c r="E379" i="3" l="1"/>
  <c r="H379" i="3" s="1"/>
  <c r="K379" i="3" s="1"/>
  <c r="AE379" i="3" s="1"/>
  <c r="D379" i="3"/>
  <c r="G379" i="3" s="1"/>
  <c r="AG379" i="3"/>
  <c r="F379" i="3" l="1"/>
  <c r="I379" i="3"/>
  <c r="J379" i="3"/>
  <c r="M379" i="3"/>
  <c r="N379" i="3" s="1"/>
  <c r="V379" i="3"/>
  <c r="A380" i="3"/>
  <c r="B380" i="3" s="1"/>
  <c r="W379" i="3" l="1"/>
  <c r="L379" i="3"/>
  <c r="Z380" i="3"/>
  <c r="P380" i="3"/>
  <c r="Q380" i="3" s="1"/>
  <c r="R380" i="3" s="1"/>
  <c r="S380" i="3" s="1"/>
  <c r="AD380" i="3"/>
  <c r="AC380" i="3"/>
  <c r="AA380" i="3"/>
  <c r="T380" i="3" l="1"/>
  <c r="AH380" i="3" s="1"/>
  <c r="U379" i="3"/>
  <c r="Y378" i="3"/>
  <c r="AG380" i="3" l="1"/>
  <c r="E380" i="3"/>
  <c r="H380" i="3" s="1"/>
  <c r="K380" i="3" s="1"/>
  <c r="AE380" i="3" s="1"/>
  <c r="D380" i="3"/>
  <c r="V380" i="3" l="1"/>
  <c r="A381" i="3"/>
  <c r="B381" i="3" s="1"/>
  <c r="F380" i="3"/>
  <c r="G380" i="3"/>
  <c r="I380" i="3" l="1"/>
  <c r="W380" i="3" s="1"/>
  <c r="J380" i="3"/>
  <c r="M380" i="3"/>
  <c r="N380" i="3" s="1"/>
  <c r="Z381" i="3"/>
  <c r="AA381" i="3"/>
  <c r="AC381" i="3"/>
  <c r="P381" i="3"/>
  <c r="Q381" i="3" s="1"/>
  <c r="R381" i="3" s="1"/>
  <c r="S381" i="3" s="1"/>
  <c r="AD381" i="3"/>
  <c r="T381" i="3" l="1"/>
  <c r="L380" i="3"/>
  <c r="U380" i="3" l="1"/>
  <c r="E381" i="3" s="1"/>
  <c r="H381" i="3" s="1"/>
  <c r="AH381" i="3"/>
  <c r="AG381" i="3"/>
  <c r="Y379" i="3"/>
  <c r="K381" i="3" l="1"/>
  <c r="AE381" i="3" s="1"/>
  <c r="D381" i="3"/>
  <c r="V381" i="3" l="1"/>
  <c r="A382" i="3"/>
  <c r="B382" i="3" s="1"/>
  <c r="F381" i="3"/>
  <c r="G381" i="3"/>
  <c r="I381" i="3" l="1"/>
  <c r="W381" i="3" s="1"/>
  <c r="J381" i="3"/>
  <c r="M381" i="3"/>
  <c r="N381" i="3" s="1"/>
  <c r="AD382" i="3"/>
  <c r="AA382" i="3"/>
  <c r="Z382" i="3"/>
  <c r="P382" i="3"/>
  <c r="Q382" i="3" s="1"/>
  <c r="R382" i="3" s="1"/>
  <c r="S382" i="3" s="1"/>
  <c r="AC382" i="3"/>
  <c r="L381" i="3" l="1"/>
  <c r="T382" i="3"/>
  <c r="U381" i="3" l="1"/>
  <c r="E382" i="3" s="1"/>
  <c r="H382" i="3" s="1"/>
  <c r="AH382" i="3"/>
  <c r="AG382" i="3"/>
  <c r="Y380" i="3"/>
  <c r="D382" i="3" l="1"/>
  <c r="G382" i="3" s="1"/>
  <c r="K382" i="3"/>
  <c r="AE382" i="3" s="1"/>
  <c r="F382" i="3" l="1"/>
  <c r="I382" i="3"/>
  <c r="J382" i="3"/>
  <c r="M382" i="3"/>
  <c r="N382" i="3" s="1"/>
  <c r="V382" i="3"/>
  <c r="A383" i="3"/>
  <c r="B383" i="3" s="1"/>
  <c r="W382" i="3" l="1"/>
  <c r="L382" i="3"/>
  <c r="AD383" i="3"/>
  <c r="AA383" i="3"/>
  <c r="P383" i="3"/>
  <c r="Q383" i="3" s="1"/>
  <c r="R383" i="3" s="1"/>
  <c r="S383" i="3" s="1"/>
  <c r="Z383" i="3"/>
  <c r="AC383" i="3"/>
  <c r="U382" i="3" l="1"/>
  <c r="Y381" i="3"/>
  <c r="T383" i="3"/>
  <c r="E383" i="3" l="1"/>
  <c r="H383" i="3" s="1"/>
  <c r="K383" i="3" s="1"/>
  <c r="AE383" i="3" s="1"/>
  <c r="D383" i="3"/>
  <c r="AH383" i="3"/>
  <c r="AG383" i="3"/>
  <c r="V383" i="3" l="1"/>
  <c r="A384" i="3"/>
  <c r="B384" i="3" s="1"/>
  <c r="F383" i="3"/>
  <c r="G383" i="3"/>
  <c r="I383" i="3" l="1"/>
  <c r="W383" i="3" s="1"/>
  <c r="J383" i="3"/>
  <c r="M383" i="3"/>
  <c r="N383" i="3" s="1"/>
  <c r="P384" i="3"/>
  <c r="Q384" i="3" s="1"/>
  <c r="R384" i="3" s="1"/>
  <c r="S384" i="3" s="1"/>
  <c r="Z384" i="3"/>
  <c r="AC384" i="3"/>
  <c r="AA384" i="3"/>
  <c r="T384" i="3" l="1"/>
  <c r="L383" i="3"/>
  <c r="AG384" i="3" l="1"/>
  <c r="AH384" i="3"/>
  <c r="U383" i="3"/>
  <c r="D384" i="3" s="1"/>
  <c r="Y382" i="3"/>
  <c r="E384" i="3" l="1"/>
  <c r="H384" i="3" s="1"/>
  <c r="K384" i="3" s="1"/>
  <c r="AE384" i="3" s="1"/>
  <c r="G384" i="3"/>
  <c r="F384" i="3" l="1"/>
  <c r="I384" i="3"/>
  <c r="J384" i="3"/>
  <c r="AD384" i="3" s="1"/>
  <c r="M384" i="3"/>
  <c r="N384" i="3" s="1"/>
  <c r="V384" i="3"/>
  <c r="A385" i="3"/>
  <c r="B385" i="3" s="1"/>
  <c r="W384" i="3" l="1"/>
  <c r="L384" i="3"/>
  <c r="P385" i="3"/>
  <c r="Q385" i="3" s="1"/>
  <c r="R385" i="3" s="1"/>
  <c r="S385" i="3" s="1"/>
  <c r="AD385" i="3"/>
  <c r="Z385" i="3"/>
  <c r="AC385" i="3"/>
  <c r="AA385" i="3"/>
  <c r="U384" i="3" l="1"/>
  <c r="Y383" i="3"/>
  <c r="T385" i="3"/>
  <c r="AG385" i="3" s="1"/>
  <c r="D385" i="3" l="1"/>
  <c r="G385" i="3" s="1"/>
  <c r="E385" i="3"/>
  <c r="H385" i="3" s="1"/>
  <c r="K385" i="3" s="1"/>
  <c r="AE385" i="3" s="1"/>
  <c r="AH385" i="3"/>
  <c r="F385" i="3" l="1"/>
  <c r="V385" i="3"/>
  <c r="A386" i="3"/>
  <c r="B386" i="3" s="1"/>
  <c r="I385" i="3"/>
  <c r="J385" i="3"/>
  <c r="M385" i="3"/>
  <c r="N385" i="3" s="1"/>
  <c r="L385" i="3" l="1"/>
  <c r="W385" i="3"/>
  <c r="AC386" i="3"/>
  <c r="P386" i="3"/>
  <c r="Q386" i="3" s="1"/>
  <c r="R386" i="3" s="1"/>
  <c r="S386" i="3" s="1"/>
  <c r="AA386" i="3"/>
  <c r="AD386" i="3"/>
  <c r="Z386" i="3"/>
  <c r="T386" i="3" l="1"/>
  <c r="AH386" i="3" s="1"/>
  <c r="U385" i="3"/>
  <c r="Y384" i="3"/>
  <c r="D386" i="3" l="1"/>
  <c r="E386" i="3"/>
  <c r="H386" i="3" s="1"/>
  <c r="AG386" i="3"/>
  <c r="F386" i="3" l="1"/>
  <c r="G386" i="3"/>
  <c r="K386" i="3"/>
  <c r="AE386" i="3" s="1"/>
  <c r="I386" i="3" l="1"/>
  <c r="J386" i="3"/>
  <c r="M386" i="3"/>
  <c r="N386" i="3" s="1"/>
  <c r="V386" i="3"/>
  <c r="A387" i="3"/>
  <c r="B387" i="3" s="1"/>
  <c r="W386" i="3" l="1"/>
  <c r="L386" i="3"/>
  <c r="AA387" i="3"/>
  <c r="P387" i="3"/>
  <c r="Q387" i="3" s="1"/>
  <c r="R387" i="3" s="1"/>
  <c r="S387" i="3" s="1"/>
  <c r="AC387" i="3"/>
  <c r="Z387" i="3"/>
  <c r="U386" i="3" l="1"/>
  <c r="Y385" i="3"/>
  <c r="T387" i="3"/>
  <c r="AG387" i="3" s="1"/>
  <c r="AH387" i="3" l="1"/>
  <c r="D387" i="3"/>
  <c r="G387" i="3" s="1"/>
  <c r="E387" i="3"/>
  <c r="H387" i="3" s="1"/>
  <c r="F387" i="3" l="1"/>
  <c r="I387" i="3"/>
  <c r="J387" i="3"/>
  <c r="AD387" i="3" s="1"/>
  <c r="M387" i="3"/>
  <c r="N387" i="3" s="1"/>
  <c r="K387" i="3"/>
  <c r="AE387" i="3" s="1"/>
  <c r="V387" i="3" l="1"/>
  <c r="W387" i="3" s="1"/>
  <c r="A388" i="3"/>
  <c r="B388" i="3" s="1"/>
  <c r="L387" i="3"/>
  <c r="U387" i="3" l="1"/>
  <c r="Y386" i="3"/>
  <c r="AA388" i="3"/>
  <c r="Z388" i="3"/>
  <c r="P388" i="3"/>
  <c r="Q388" i="3" s="1"/>
  <c r="R388" i="3" s="1"/>
  <c r="S388" i="3" s="1"/>
  <c r="AC388" i="3"/>
  <c r="T388" i="3" l="1"/>
  <c r="E388" i="3" s="1"/>
  <c r="H388" i="3" s="1"/>
  <c r="K388" i="3" l="1"/>
  <c r="AE388" i="3" s="1"/>
  <c r="D388" i="3"/>
  <c r="AG388" i="3"/>
  <c r="AH388" i="3"/>
  <c r="V388" i="3" l="1"/>
  <c r="A389" i="3"/>
  <c r="B389" i="3" s="1"/>
  <c r="F388" i="3"/>
  <c r="G388" i="3"/>
  <c r="I388" i="3" l="1"/>
  <c r="W388" i="3" s="1"/>
  <c r="J388" i="3"/>
  <c r="AD388" i="3" s="1"/>
  <c r="M388" i="3"/>
  <c r="N388" i="3" s="1"/>
  <c r="P389" i="3"/>
  <c r="Q389" i="3" s="1"/>
  <c r="R389" i="3" s="1"/>
  <c r="S389" i="3" s="1"/>
  <c r="AA389" i="3"/>
  <c r="AD389" i="3"/>
  <c r="AC389" i="3"/>
  <c r="Z389" i="3"/>
  <c r="T389" i="3" l="1"/>
  <c r="L388" i="3"/>
  <c r="U388" i="3" l="1"/>
  <c r="E389" i="3" s="1"/>
  <c r="H389" i="3" s="1"/>
  <c r="AH389" i="3"/>
  <c r="AG389" i="3"/>
  <c r="Y387" i="3"/>
  <c r="D389" i="3" l="1"/>
  <c r="G389" i="3" s="1"/>
  <c r="K389" i="3"/>
  <c r="AE389" i="3" s="1"/>
  <c r="F389" i="3" l="1"/>
  <c r="V389" i="3"/>
  <c r="A390" i="3"/>
  <c r="B390" i="3" s="1"/>
  <c r="I389" i="3"/>
  <c r="J389" i="3"/>
  <c r="M389" i="3"/>
  <c r="N389" i="3" s="1"/>
  <c r="W389" i="3" l="1"/>
  <c r="L389" i="3"/>
  <c r="P390" i="3"/>
  <c r="Q390" i="3" s="1"/>
  <c r="R390" i="3" s="1"/>
  <c r="S390" i="3" s="1"/>
  <c r="AC390" i="3"/>
  <c r="AA390" i="3"/>
  <c r="Z390" i="3"/>
  <c r="AD390" i="3"/>
  <c r="U389" i="3" l="1"/>
  <c r="Y388" i="3"/>
  <c r="T390" i="3"/>
  <c r="AG390" i="3" s="1"/>
  <c r="D390" i="3" l="1"/>
  <c r="AH390" i="3"/>
  <c r="E390" i="3"/>
  <c r="H390" i="3" s="1"/>
  <c r="F390" i="3" l="1"/>
  <c r="G390" i="3"/>
  <c r="K390" i="3"/>
  <c r="AE390" i="3" s="1"/>
  <c r="I390" i="3" l="1"/>
  <c r="J390" i="3"/>
  <c r="M390" i="3"/>
  <c r="N390" i="3" s="1"/>
  <c r="V390" i="3"/>
  <c r="A391" i="3"/>
  <c r="B391" i="3" s="1"/>
  <c r="W390" i="3" l="1"/>
  <c r="L390" i="3"/>
  <c r="AC391" i="3"/>
  <c r="AA391" i="3"/>
  <c r="AD391" i="3"/>
  <c r="Z391" i="3"/>
  <c r="P391" i="3"/>
  <c r="Q391" i="3" s="1"/>
  <c r="R391" i="3" s="1"/>
  <c r="S391" i="3" s="1"/>
  <c r="U390" i="3" l="1"/>
  <c r="Y389" i="3"/>
  <c r="T391" i="3"/>
  <c r="E391" i="3" l="1"/>
  <c r="H391" i="3" s="1"/>
  <c r="K391" i="3" s="1"/>
  <c r="AE391" i="3" s="1"/>
  <c r="AG391" i="3"/>
  <c r="AH391" i="3"/>
  <c r="D391" i="3"/>
  <c r="V391" i="3" l="1"/>
  <c r="A392" i="3"/>
  <c r="B392" i="3" s="1"/>
  <c r="F391" i="3"/>
  <c r="G391" i="3"/>
  <c r="I391" i="3" l="1"/>
  <c r="W391" i="3" s="1"/>
  <c r="J391" i="3"/>
  <c r="M391" i="3"/>
  <c r="N391" i="3" s="1"/>
  <c r="AD392" i="3"/>
  <c r="Z392" i="3"/>
  <c r="P392" i="3"/>
  <c r="Q392" i="3" s="1"/>
  <c r="R392" i="3" s="1"/>
  <c r="S392" i="3" s="1"/>
  <c r="AA392" i="3"/>
  <c r="AC392" i="3"/>
  <c r="T392" i="3" l="1"/>
  <c r="L391" i="3"/>
  <c r="U391" i="3" l="1"/>
  <c r="D392" i="3" s="1"/>
  <c r="AH392" i="3"/>
  <c r="AG392" i="3"/>
  <c r="Y390" i="3"/>
  <c r="G392" i="3" l="1"/>
  <c r="E392" i="3"/>
  <c r="H392" i="3" s="1"/>
  <c r="F392" i="3" l="1"/>
  <c r="I392" i="3"/>
  <c r="J392" i="3"/>
  <c r="M392" i="3"/>
  <c r="N392" i="3" s="1"/>
  <c r="K392" i="3"/>
  <c r="AE392" i="3" s="1"/>
  <c r="V392" i="3" l="1"/>
  <c r="W392" i="3" s="1"/>
  <c r="A393" i="3"/>
  <c r="B393" i="3" s="1"/>
  <c r="L392" i="3"/>
  <c r="U392" i="3" l="1"/>
  <c r="Y391" i="3"/>
  <c r="AD393" i="3"/>
  <c r="Z393" i="3"/>
  <c r="AA393" i="3"/>
  <c r="P393" i="3"/>
  <c r="Q393" i="3" s="1"/>
  <c r="R393" i="3" s="1"/>
  <c r="S393" i="3" s="1"/>
  <c r="AC393" i="3"/>
  <c r="T393" i="3" l="1"/>
  <c r="AG393" i="3" s="1"/>
  <c r="E393" i="3" l="1"/>
  <c r="H393" i="3" s="1"/>
  <c r="K393" i="3" s="1"/>
  <c r="AE393" i="3" s="1"/>
  <c r="D393" i="3"/>
  <c r="AH393" i="3"/>
  <c r="V393" i="3" l="1"/>
  <c r="A394" i="3"/>
  <c r="B394" i="3" s="1"/>
  <c r="F393" i="3"/>
  <c r="G393" i="3"/>
  <c r="I393" i="3" l="1"/>
  <c r="W393" i="3" s="1"/>
  <c r="J393" i="3"/>
  <c r="M393" i="3"/>
  <c r="N393" i="3" s="1"/>
  <c r="P394" i="3"/>
  <c r="Q394" i="3" s="1"/>
  <c r="R394" i="3" s="1"/>
  <c r="S394" i="3" s="1"/>
  <c r="AC394" i="3"/>
  <c r="Z394" i="3"/>
  <c r="AA394" i="3"/>
  <c r="T394" i="3" l="1"/>
  <c r="L393" i="3"/>
  <c r="AH394" i="3" l="1"/>
  <c r="AG394" i="3"/>
  <c r="U393" i="3"/>
  <c r="D394" i="3" s="1"/>
  <c r="Y392" i="3"/>
  <c r="G394" i="3" l="1"/>
  <c r="E394" i="3"/>
  <c r="H394" i="3" s="1"/>
  <c r="F394" i="3" l="1"/>
  <c r="I394" i="3"/>
  <c r="J394" i="3"/>
  <c r="AD394" i="3" s="1"/>
  <c r="M394" i="3"/>
  <c r="N394" i="3" s="1"/>
  <c r="K394" i="3"/>
  <c r="AE394" i="3" s="1"/>
  <c r="L394" i="3" l="1"/>
  <c r="V394" i="3"/>
  <c r="W394" i="3" s="1"/>
  <c r="A395" i="3"/>
  <c r="B395" i="3" s="1"/>
  <c r="U394" i="3" l="1"/>
  <c r="Y393" i="3"/>
  <c r="AD395" i="3"/>
  <c r="AA395" i="3"/>
  <c r="P395" i="3"/>
  <c r="Q395" i="3" s="1"/>
  <c r="R395" i="3" s="1"/>
  <c r="S395" i="3" s="1"/>
  <c r="Z395" i="3"/>
  <c r="AC395" i="3"/>
  <c r="T395" i="3" l="1"/>
  <c r="AG395" i="3" s="1"/>
  <c r="AH395" i="3" l="1"/>
  <c r="E395" i="3"/>
  <c r="H395" i="3" s="1"/>
  <c r="K395" i="3" s="1"/>
  <c r="AE395" i="3" s="1"/>
  <c r="D395" i="3"/>
  <c r="G395" i="3" s="1"/>
  <c r="F395" i="3" l="1"/>
  <c r="V395" i="3"/>
  <c r="A396" i="3"/>
  <c r="B396" i="3" s="1"/>
  <c r="I395" i="3"/>
  <c r="J395" i="3"/>
  <c r="M395" i="3"/>
  <c r="N395" i="3" s="1"/>
  <c r="W395" i="3" l="1"/>
  <c r="L395" i="3"/>
  <c r="AA396" i="3"/>
  <c r="Z396" i="3"/>
  <c r="P396" i="3"/>
  <c r="Q396" i="3" s="1"/>
  <c r="R396" i="3" s="1"/>
  <c r="S396" i="3" s="1"/>
  <c r="AD396" i="3"/>
  <c r="AC396" i="3"/>
  <c r="U395" i="3" l="1"/>
  <c r="Y394" i="3"/>
  <c r="T396" i="3"/>
  <c r="E396" i="3" l="1"/>
  <c r="H396" i="3" s="1"/>
  <c r="K396" i="3" s="1"/>
  <c r="AE396" i="3" s="1"/>
  <c r="AG396" i="3"/>
  <c r="AH396" i="3"/>
  <c r="D396" i="3"/>
  <c r="F396" i="3" l="1"/>
  <c r="G396" i="3"/>
  <c r="V396" i="3"/>
  <c r="A397" i="3"/>
  <c r="B397" i="3" s="1"/>
  <c r="P397" i="3" l="1"/>
  <c r="Q397" i="3" s="1"/>
  <c r="R397" i="3" s="1"/>
  <c r="S397" i="3" s="1"/>
  <c r="AC397" i="3"/>
  <c r="AA397" i="3"/>
  <c r="Z397" i="3"/>
  <c r="I396" i="3"/>
  <c r="W396" i="3" s="1"/>
  <c r="J396" i="3"/>
  <c r="M396" i="3"/>
  <c r="N396" i="3" s="1"/>
  <c r="T397" i="3" l="1"/>
  <c r="L396" i="3"/>
  <c r="U396" i="3" l="1"/>
  <c r="E397" i="3" s="1"/>
  <c r="H397" i="3" s="1"/>
  <c r="AG397" i="3"/>
  <c r="AH397" i="3"/>
  <c r="Y395" i="3"/>
  <c r="D397" i="3" l="1"/>
  <c r="F397" i="3" s="1"/>
  <c r="K397" i="3"/>
  <c r="AE397" i="3" s="1"/>
  <c r="G397" i="3" l="1"/>
  <c r="M397" i="3" s="1"/>
  <c r="N397" i="3" s="1"/>
  <c r="V397" i="3"/>
  <c r="A398" i="3"/>
  <c r="B398" i="3" s="1"/>
  <c r="I397" i="3" l="1"/>
  <c r="W397" i="3" s="1"/>
  <c r="J397" i="3"/>
  <c r="AC398" i="3"/>
  <c r="AA398" i="3"/>
  <c r="P398" i="3"/>
  <c r="Q398" i="3" s="1"/>
  <c r="R398" i="3" s="1"/>
  <c r="S398" i="3" s="1"/>
  <c r="Z398" i="3"/>
  <c r="L397" i="3" l="1"/>
  <c r="U397" i="3" s="1"/>
  <c r="AD397" i="3"/>
  <c r="T398" i="3"/>
  <c r="Y396" i="3" l="1"/>
  <c r="E398" i="3"/>
  <c r="H398" i="3" s="1"/>
  <c r="K398" i="3" s="1"/>
  <c r="AE398" i="3" s="1"/>
  <c r="D398" i="3"/>
  <c r="G398" i="3" s="1"/>
  <c r="AH398" i="3"/>
  <c r="AG398" i="3"/>
  <c r="F398" i="3" l="1"/>
  <c r="V398" i="3"/>
  <c r="A399" i="3"/>
  <c r="B399" i="3" s="1"/>
  <c r="I398" i="3"/>
  <c r="J398" i="3"/>
  <c r="AD398" i="3" s="1"/>
  <c r="M398" i="3"/>
  <c r="N398" i="3" s="1"/>
  <c r="L398" i="3" l="1"/>
  <c r="W398" i="3"/>
  <c r="Z399" i="3"/>
  <c r="P399" i="3"/>
  <c r="Q399" i="3" s="1"/>
  <c r="R399" i="3" s="1"/>
  <c r="S399" i="3" s="1"/>
  <c r="AD399" i="3"/>
  <c r="AA399" i="3"/>
  <c r="AC399" i="3"/>
  <c r="U398" i="3" l="1"/>
  <c r="Y397" i="3"/>
  <c r="T399" i="3"/>
  <c r="AH399" i="3" s="1"/>
  <c r="D399" i="3" l="1"/>
  <c r="G399" i="3" s="1"/>
  <c r="AG399" i="3"/>
  <c r="E399" i="3"/>
  <c r="H399" i="3" s="1"/>
  <c r="F399" i="3" l="1"/>
  <c r="I399" i="3"/>
  <c r="J399" i="3"/>
  <c r="M399" i="3"/>
  <c r="N399" i="3" s="1"/>
  <c r="K399" i="3"/>
  <c r="AE399" i="3" s="1"/>
  <c r="V399" i="3" l="1"/>
  <c r="W399" i="3" s="1"/>
  <c r="A400" i="3"/>
  <c r="B400" i="3" s="1"/>
  <c r="L399" i="3"/>
  <c r="U399" i="3" l="1"/>
  <c r="Y398" i="3"/>
  <c r="AD400" i="3"/>
  <c r="AC400" i="3"/>
  <c r="Z400" i="3"/>
  <c r="P400" i="3"/>
  <c r="Q400" i="3" s="1"/>
  <c r="R400" i="3" s="1"/>
  <c r="S400" i="3" s="1"/>
  <c r="AA400" i="3"/>
  <c r="T400" i="3" l="1"/>
  <c r="AH400" i="3" s="1"/>
  <c r="AG400" i="3" l="1"/>
  <c r="D400" i="3"/>
  <c r="G400" i="3" s="1"/>
  <c r="E400" i="3"/>
  <c r="H400" i="3" s="1"/>
  <c r="K400" i="3" s="1"/>
  <c r="AE400" i="3" s="1"/>
  <c r="F400" i="3" l="1"/>
  <c r="V400" i="3"/>
  <c r="A401" i="3"/>
  <c r="B401" i="3" s="1"/>
  <c r="I400" i="3"/>
  <c r="J400" i="3"/>
  <c r="M400" i="3"/>
  <c r="N400" i="3" s="1"/>
  <c r="W400" i="3" l="1"/>
  <c r="L400" i="3"/>
  <c r="AA401" i="3"/>
  <c r="Z401" i="3"/>
  <c r="AC401" i="3"/>
  <c r="AD401" i="3"/>
  <c r="P401" i="3"/>
  <c r="Q401" i="3" s="1"/>
  <c r="R401" i="3" s="1"/>
  <c r="S401" i="3" s="1"/>
  <c r="U400" i="3" l="1"/>
  <c r="Y399" i="3"/>
  <c r="T401" i="3"/>
  <c r="AG401" i="3" s="1"/>
  <c r="D401" i="3" l="1"/>
  <c r="E401" i="3"/>
  <c r="H401" i="3" s="1"/>
  <c r="K401" i="3" s="1"/>
  <c r="AE401" i="3" s="1"/>
  <c r="AH401" i="3"/>
  <c r="F401" i="3" l="1"/>
  <c r="G401" i="3"/>
  <c r="J401" i="3" s="1"/>
  <c r="V401" i="3"/>
  <c r="A402" i="3"/>
  <c r="B402" i="3" s="1"/>
  <c r="M401" i="3" l="1"/>
  <c r="N401" i="3" s="1"/>
  <c r="I401" i="3"/>
  <c r="W401" i="3" s="1"/>
  <c r="L401" i="3"/>
  <c r="AA402" i="3"/>
  <c r="AC402" i="3"/>
  <c r="Z402" i="3"/>
  <c r="AD402" i="3"/>
  <c r="P402" i="3"/>
  <c r="Q402" i="3" s="1"/>
  <c r="R402" i="3" s="1"/>
  <c r="S402" i="3" s="1"/>
  <c r="U401" i="3" l="1"/>
  <c r="Y400" i="3"/>
  <c r="T402" i="3"/>
  <c r="AG402" i="3" s="1"/>
  <c r="AH402" i="3" l="1"/>
  <c r="E402" i="3"/>
  <c r="H402" i="3" s="1"/>
  <c r="K402" i="3" s="1"/>
  <c r="AE402" i="3" s="1"/>
  <c r="D402" i="3"/>
  <c r="G402" i="3" s="1"/>
  <c r="F402" i="3" l="1"/>
  <c r="I402" i="3"/>
  <c r="J402" i="3"/>
  <c r="M402" i="3"/>
  <c r="N402" i="3" s="1"/>
  <c r="V402" i="3"/>
  <c r="A403" i="3"/>
  <c r="B403" i="3" s="1"/>
  <c r="W402" i="3" l="1"/>
  <c r="L402" i="3"/>
  <c r="AC403" i="3"/>
  <c r="AA403" i="3"/>
  <c r="P403" i="3"/>
  <c r="Q403" i="3" s="1"/>
  <c r="R403" i="3" s="1"/>
  <c r="S403" i="3" s="1"/>
  <c r="Z403" i="3"/>
  <c r="AD403" i="3"/>
  <c r="T403" i="3" l="1"/>
  <c r="AH403" i="3" s="1"/>
  <c r="U402" i="3"/>
  <c r="Y401" i="3"/>
  <c r="AG403" i="3" l="1"/>
  <c r="D403" i="3"/>
  <c r="E403" i="3"/>
  <c r="H403" i="3" s="1"/>
  <c r="F403" i="3" l="1"/>
  <c r="G403" i="3"/>
  <c r="K403" i="3"/>
  <c r="AE403" i="3" s="1"/>
  <c r="V403" i="3" l="1"/>
  <c r="A404" i="3"/>
  <c r="B404" i="3" s="1"/>
  <c r="I403" i="3"/>
  <c r="J403" i="3"/>
  <c r="M403" i="3"/>
  <c r="N403" i="3" s="1"/>
  <c r="W403" i="3" l="1"/>
  <c r="L403" i="3"/>
  <c r="P404" i="3"/>
  <c r="Q404" i="3" s="1"/>
  <c r="R404" i="3" s="1"/>
  <c r="S404" i="3" s="1"/>
  <c r="AA404" i="3"/>
  <c r="Z404" i="3"/>
  <c r="AC404" i="3"/>
  <c r="U403" i="3" l="1"/>
  <c r="Y402" i="3"/>
  <c r="T404" i="3"/>
  <c r="AG404" i="3" s="1"/>
  <c r="E404" i="3" l="1"/>
  <c r="H404" i="3" s="1"/>
  <c r="K404" i="3" s="1"/>
  <c r="AE404" i="3" s="1"/>
  <c r="AH404" i="3"/>
  <c r="D404" i="3"/>
  <c r="G404" i="3" s="1"/>
  <c r="F404" i="3" l="1"/>
  <c r="I404" i="3"/>
  <c r="J404" i="3"/>
  <c r="AD404" i="3" s="1"/>
  <c r="M404" i="3"/>
  <c r="N404" i="3" s="1"/>
  <c r="V404" i="3"/>
  <c r="A405" i="3"/>
  <c r="B405" i="3" s="1"/>
  <c r="W404" i="3" l="1"/>
  <c r="L404" i="3"/>
  <c r="P405" i="3"/>
  <c r="Q405" i="3" s="1"/>
  <c r="R405" i="3" s="1"/>
  <c r="S405" i="3" s="1"/>
  <c r="AC405" i="3"/>
  <c r="Z405" i="3"/>
  <c r="AD405" i="3"/>
  <c r="AA405" i="3"/>
  <c r="U404" i="3" l="1"/>
  <c r="Y403" i="3"/>
  <c r="T405" i="3"/>
  <c r="E405" i="3" l="1"/>
  <c r="H405" i="3" s="1"/>
  <c r="K405" i="3" s="1"/>
  <c r="AE405" i="3" s="1"/>
  <c r="AH405" i="3"/>
  <c r="D405" i="3"/>
  <c r="AG405" i="3"/>
  <c r="F405" i="3" l="1"/>
  <c r="G405" i="3"/>
  <c r="V405" i="3"/>
  <c r="A406" i="3"/>
  <c r="B406" i="3" s="1"/>
  <c r="AD406" i="3" l="1"/>
  <c r="AA406" i="3"/>
  <c r="AC406" i="3"/>
  <c r="Z406" i="3"/>
  <c r="P406" i="3"/>
  <c r="Q406" i="3" s="1"/>
  <c r="R406" i="3" s="1"/>
  <c r="S406" i="3" s="1"/>
  <c r="I405" i="3"/>
  <c r="W405" i="3" s="1"/>
  <c r="J405" i="3"/>
  <c r="M405" i="3"/>
  <c r="N405" i="3" s="1"/>
  <c r="T406" i="3" l="1"/>
  <c r="L405" i="3"/>
  <c r="U405" i="3" l="1"/>
  <c r="E406" i="3" s="1"/>
  <c r="H406" i="3" s="1"/>
  <c r="AH406" i="3"/>
  <c r="AG406" i="3"/>
  <c r="Y404" i="3"/>
  <c r="K406" i="3" l="1"/>
  <c r="AE406" i="3" s="1"/>
  <c r="D406" i="3"/>
  <c r="V406" i="3" l="1"/>
  <c r="A407" i="3"/>
  <c r="B407" i="3" s="1"/>
  <c r="F406" i="3"/>
  <c r="G406" i="3"/>
  <c r="I406" i="3" l="1"/>
  <c r="W406" i="3" s="1"/>
  <c r="J406" i="3"/>
  <c r="M406" i="3"/>
  <c r="N406" i="3" s="1"/>
  <c r="AC407" i="3"/>
  <c r="Z407" i="3"/>
  <c r="P407" i="3"/>
  <c r="Q407" i="3" s="1"/>
  <c r="R407" i="3" s="1"/>
  <c r="S407" i="3" s="1"/>
  <c r="AA407" i="3"/>
  <c r="L406" i="3" l="1"/>
  <c r="T407" i="3"/>
  <c r="U406" i="3" l="1"/>
  <c r="D407" i="3" s="1"/>
  <c r="AG407" i="3"/>
  <c r="AH407" i="3"/>
  <c r="Y405" i="3"/>
  <c r="G407" i="3" l="1"/>
  <c r="E407" i="3"/>
  <c r="H407" i="3" s="1"/>
  <c r="F407" i="3" l="1"/>
  <c r="I407" i="3"/>
  <c r="J407" i="3"/>
  <c r="AD407" i="3" s="1"/>
  <c r="M407" i="3"/>
  <c r="N407" i="3" s="1"/>
  <c r="K407" i="3"/>
  <c r="AE407" i="3" s="1"/>
  <c r="V407" i="3" l="1"/>
  <c r="W407" i="3" s="1"/>
  <c r="A408" i="3"/>
  <c r="B408" i="3" s="1"/>
  <c r="L407" i="3"/>
  <c r="U407" i="3" l="1"/>
  <c r="Y406" i="3"/>
  <c r="Z408" i="3"/>
  <c r="AC408" i="3"/>
  <c r="P408" i="3"/>
  <c r="Q408" i="3" s="1"/>
  <c r="R408" i="3" s="1"/>
  <c r="S408" i="3" s="1"/>
  <c r="AA408" i="3"/>
  <c r="T408" i="3" l="1"/>
  <c r="AH408" i="3" s="1"/>
  <c r="E408" i="3" l="1"/>
  <c r="H408" i="3" s="1"/>
  <c r="K408" i="3" s="1"/>
  <c r="AE408" i="3" s="1"/>
  <c r="D408" i="3"/>
  <c r="G408" i="3" s="1"/>
  <c r="AG408" i="3"/>
  <c r="F408" i="3" l="1"/>
  <c r="I408" i="3"/>
  <c r="J408" i="3"/>
  <c r="AD408" i="3" s="1"/>
  <c r="M408" i="3"/>
  <c r="N408" i="3" s="1"/>
  <c r="V408" i="3"/>
  <c r="A409" i="3"/>
  <c r="B409" i="3" s="1"/>
  <c r="W408" i="3" l="1"/>
  <c r="L408" i="3"/>
  <c r="AA409" i="3"/>
  <c r="AC409" i="3"/>
  <c r="P409" i="3"/>
  <c r="Q409" i="3" s="1"/>
  <c r="R409" i="3" s="1"/>
  <c r="S409" i="3" s="1"/>
  <c r="AD409" i="3"/>
  <c r="Z409" i="3"/>
  <c r="U408" i="3" l="1"/>
  <c r="Y407" i="3"/>
  <c r="T409" i="3"/>
  <c r="E409" i="3" l="1"/>
  <c r="H409" i="3" s="1"/>
  <c r="K409" i="3" s="1"/>
  <c r="AE409" i="3" s="1"/>
  <c r="AH409" i="3"/>
  <c r="D409" i="3"/>
  <c r="AG409" i="3"/>
  <c r="F409" i="3" l="1"/>
  <c r="G409" i="3"/>
  <c r="V409" i="3"/>
  <c r="A410" i="3"/>
  <c r="B410" i="3" s="1"/>
  <c r="P410" i="3" l="1"/>
  <c r="Q410" i="3" s="1"/>
  <c r="R410" i="3" s="1"/>
  <c r="S410" i="3" s="1"/>
  <c r="AA410" i="3"/>
  <c r="AC410" i="3"/>
  <c r="AD410" i="3"/>
  <c r="Z410" i="3"/>
  <c r="I409" i="3"/>
  <c r="W409" i="3" s="1"/>
  <c r="J409" i="3"/>
  <c r="M409" i="3"/>
  <c r="N409" i="3" s="1"/>
  <c r="T410" i="3" l="1"/>
  <c r="L409" i="3"/>
  <c r="AG410" i="3" l="1"/>
  <c r="U409" i="3"/>
  <c r="D410" i="3" s="1"/>
  <c r="AH410" i="3"/>
  <c r="Y408" i="3"/>
  <c r="E410" i="3" l="1"/>
  <c r="H410" i="3" s="1"/>
  <c r="K410" i="3" s="1"/>
  <c r="AE410" i="3" s="1"/>
  <c r="G410" i="3"/>
  <c r="F410" i="3" l="1"/>
  <c r="I410" i="3"/>
  <c r="J410" i="3"/>
  <c r="M410" i="3"/>
  <c r="N410" i="3" s="1"/>
  <c r="V410" i="3"/>
  <c r="A411" i="3"/>
  <c r="B411" i="3" s="1"/>
  <c r="W410" i="3" l="1"/>
  <c r="L410" i="3"/>
  <c r="AC411" i="3"/>
  <c r="P411" i="3"/>
  <c r="Q411" i="3" s="1"/>
  <c r="R411" i="3" s="1"/>
  <c r="S411" i="3" s="1"/>
  <c r="AA411" i="3"/>
  <c r="Z411" i="3"/>
  <c r="AD411" i="3"/>
  <c r="U410" i="3" l="1"/>
  <c r="Y409" i="3"/>
  <c r="T411" i="3"/>
  <c r="AG411" i="3" s="1"/>
  <c r="E411" i="3" l="1"/>
  <c r="H411" i="3" s="1"/>
  <c r="K411" i="3" s="1"/>
  <c r="AE411" i="3" s="1"/>
  <c r="AH411" i="3"/>
  <c r="D411" i="3"/>
  <c r="F411" i="3" l="1"/>
  <c r="G411" i="3"/>
  <c r="V411" i="3"/>
  <c r="A412" i="3"/>
  <c r="B412" i="3" s="1"/>
  <c r="AA412" i="3" l="1"/>
  <c r="AC412" i="3"/>
  <c r="P412" i="3"/>
  <c r="Q412" i="3" s="1"/>
  <c r="R412" i="3" s="1"/>
  <c r="S412" i="3" s="1"/>
  <c r="Z412" i="3"/>
  <c r="AD412" i="3"/>
  <c r="I411" i="3"/>
  <c r="W411" i="3" s="1"/>
  <c r="J411" i="3"/>
  <c r="M411" i="3"/>
  <c r="N411" i="3" s="1"/>
  <c r="T412" i="3" l="1"/>
  <c r="L411" i="3"/>
  <c r="U411" i="3" l="1"/>
  <c r="D412" i="3" s="1"/>
  <c r="AG412" i="3"/>
  <c r="AH412" i="3"/>
  <c r="Y410" i="3"/>
  <c r="G412" i="3" l="1"/>
  <c r="E412" i="3"/>
  <c r="H412" i="3" s="1"/>
  <c r="F412" i="3" l="1"/>
  <c r="I412" i="3"/>
  <c r="J412" i="3"/>
  <c r="M412" i="3"/>
  <c r="N412" i="3" s="1"/>
  <c r="K412" i="3"/>
  <c r="AE412" i="3" s="1"/>
  <c r="V412" i="3" l="1"/>
  <c r="W412" i="3" s="1"/>
  <c r="A413" i="3"/>
  <c r="B413" i="3" s="1"/>
  <c r="L412" i="3"/>
  <c r="U412" i="3" l="1"/>
  <c r="Y411" i="3"/>
  <c r="Z413" i="3"/>
  <c r="P413" i="3"/>
  <c r="Q413" i="3" s="1"/>
  <c r="R413" i="3" s="1"/>
  <c r="S413" i="3" s="1"/>
  <c r="AA413" i="3"/>
  <c r="AC413" i="3"/>
  <c r="AD413" i="3"/>
  <c r="T413" i="3" l="1"/>
  <c r="D413" i="3" s="1"/>
  <c r="E413" i="3" l="1"/>
  <c r="H413" i="3" s="1"/>
  <c r="K413" i="3" s="1"/>
  <c r="AE413" i="3" s="1"/>
  <c r="AH413" i="3"/>
  <c r="G413" i="3"/>
  <c r="AG413" i="3"/>
  <c r="F413" i="3" l="1"/>
  <c r="I413" i="3"/>
  <c r="J413" i="3"/>
  <c r="M413" i="3"/>
  <c r="N413" i="3" s="1"/>
  <c r="V413" i="3"/>
  <c r="A414" i="3"/>
  <c r="B414" i="3" s="1"/>
  <c r="L413" i="3" l="1"/>
  <c r="P414" i="3"/>
  <c r="Q414" i="3" s="1"/>
  <c r="R414" i="3" s="1"/>
  <c r="S414" i="3" s="1"/>
  <c r="Z414" i="3"/>
  <c r="AA414" i="3"/>
  <c r="AC414" i="3"/>
  <c r="W413" i="3"/>
  <c r="U413" i="3" l="1"/>
  <c r="Y412" i="3"/>
  <c r="T414" i="3"/>
  <c r="D414" i="3" l="1"/>
  <c r="G414" i="3" s="1"/>
  <c r="E414" i="3"/>
  <c r="H414" i="3" s="1"/>
  <c r="K414" i="3" s="1"/>
  <c r="AE414" i="3" s="1"/>
  <c r="AG414" i="3"/>
  <c r="AH414" i="3"/>
  <c r="F414" i="3" l="1"/>
  <c r="I414" i="3"/>
  <c r="J414" i="3"/>
  <c r="AD414" i="3" s="1"/>
  <c r="M414" i="3"/>
  <c r="N414" i="3" s="1"/>
  <c r="V414" i="3"/>
  <c r="A415" i="3"/>
  <c r="B415" i="3" s="1"/>
  <c r="W414" i="3" l="1"/>
  <c r="L414" i="3"/>
  <c r="P415" i="3"/>
  <c r="Q415" i="3" s="1"/>
  <c r="R415" i="3" s="1"/>
  <c r="S415" i="3" s="1"/>
  <c r="AA415" i="3"/>
  <c r="Z415" i="3"/>
  <c r="AC415" i="3"/>
  <c r="U414" i="3" l="1"/>
  <c r="Y413" i="3"/>
  <c r="T415" i="3"/>
  <c r="D415" i="3" l="1"/>
  <c r="G415" i="3" s="1"/>
  <c r="AG415" i="3"/>
  <c r="AH415" i="3"/>
  <c r="E415" i="3"/>
  <c r="H415" i="3" s="1"/>
  <c r="F415" i="3" l="1"/>
  <c r="K415" i="3"/>
  <c r="AE415" i="3" s="1"/>
  <c r="I415" i="3"/>
  <c r="J415" i="3"/>
  <c r="AD415" i="3" s="1"/>
  <c r="M415" i="3"/>
  <c r="N415" i="3" s="1"/>
  <c r="L415" i="3" l="1"/>
  <c r="V415" i="3"/>
  <c r="W415" i="3" s="1"/>
  <c r="A416" i="3"/>
  <c r="B416" i="3" s="1"/>
  <c r="Z416" i="3" l="1"/>
  <c r="AA416" i="3"/>
  <c r="P416" i="3"/>
  <c r="Q416" i="3" s="1"/>
  <c r="R416" i="3" s="1"/>
  <c r="S416" i="3" s="1"/>
  <c r="AC416" i="3"/>
  <c r="U415" i="3"/>
  <c r="Y414" i="3"/>
  <c r="T416" i="3" l="1"/>
  <c r="AG416" i="3" s="1"/>
  <c r="D416" i="3" l="1"/>
  <c r="G416" i="3" s="1"/>
  <c r="E416" i="3"/>
  <c r="H416" i="3" s="1"/>
  <c r="K416" i="3" s="1"/>
  <c r="AE416" i="3" s="1"/>
  <c r="AH416" i="3"/>
  <c r="F416" i="3" l="1"/>
  <c r="V416" i="3"/>
  <c r="A417" i="3"/>
  <c r="B417" i="3" s="1"/>
  <c r="I416" i="3"/>
  <c r="J416" i="3"/>
  <c r="AD416" i="3" s="1"/>
  <c r="M416" i="3"/>
  <c r="N416" i="3" s="1"/>
  <c r="W416" i="3" l="1"/>
  <c r="L416" i="3"/>
  <c r="Z417" i="3"/>
  <c r="AC417" i="3"/>
  <c r="AA417" i="3"/>
  <c r="P417" i="3"/>
  <c r="Q417" i="3" s="1"/>
  <c r="R417" i="3" s="1"/>
  <c r="S417" i="3" s="1"/>
  <c r="U416" i="3" l="1"/>
  <c r="Y415" i="3"/>
  <c r="T417" i="3"/>
  <c r="D417" i="3" l="1"/>
  <c r="G417" i="3" s="1"/>
  <c r="AH417" i="3"/>
  <c r="E417" i="3"/>
  <c r="H417" i="3" s="1"/>
  <c r="K417" i="3" s="1"/>
  <c r="AE417" i="3" s="1"/>
  <c r="AG417" i="3"/>
  <c r="F417" i="3" l="1"/>
  <c r="V417" i="3"/>
  <c r="A418" i="3"/>
  <c r="B418" i="3" s="1"/>
  <c r="I417" i="3"/>
  <c r="J417" i="3"/>
  <c r="AD417" i="3" s="1"/>
  <c r="M417" i="3"/>
  <c r="N417" i="3" s="1"/>
  <c r="W417" i="3" l="1"/>
  <c r="L417" i="3"/>
  <c r="Z418" i="3"/>
  <c r="AA418" i="3"/>
  <c r="AC418" i="3"/>
  <c r="P418" i="3"/>
  <c r="Q418" i="3" s="1"/>
  <c r="R418" i="3" s="1"/>
  <c r="S418" i="3" s="1"/>
  <c r="T418" i="3" l="1"/>
  <c r="U417" i="3"/>
  <c r="Y416" i="3"/>
  <c r="D418" i="3" l="1"/>
  <c r="G418" i="3" s="1"/>
  <c r="E418" i="3"/>
  <c r="H418" i="3" s="1"/>
  <c r="AG418" i="3"/>
  <c r="AH418" i="3"/>
  <c r="F418" i="3" l="1"/>
  <c r="I418" i="3"/>
  <c r="J418" i="3"/>
  <c r="AD418" i="3" s="1"/>
  <c r="M418" i="3"/>
  <c r="N418" i="3" s="1"/>
  <c r="K418" i="3"/>
  <c r="AE418" i="3" s="1"/>
  <c r="V418" i="3" l="1"/>
  <c r="W418" i="3" s="1"/>
  <c r="A419" i="3"/>
  <c r="B419" i="3" s="1"/>
  <c r="L418" i="3"/>
  <c r="U418" i="3" l="1"/>
  <c r="Y417" i="3"/>
  <c r="AA419" i="3"/>
  <c r="P419" i="3"/>
  <c r="Q419" i="3" s="1"/>
  <c r="R419" i="3" s="1"/>
  <c r="S419" i="3" s="1"/>
  <c r="Z419" i="3"/>
  <c r="AC419" i="3"/>
  <c r="T419" i="3" l="1"/>
  <c r="AG419" i="3" s="1"/>
  <c r="AH419" i="3" l="1"/>
  <c r="E419" i="3"/>
  <c r="H419" i="3" s="1"/>
  <c r="K419" i="3" s="1"/>
  <c r="AE419" i="3" s="1"/>
  <c r="D419" i="3"/>
  <c r="F419" i="3" l="1"/>
  <c r="G419" i="3"/>
  <c r="J419" i="3" s="1"/>
  <c r="AD419" i="3" s="1"/>
  <c r="V419" i="3"/>
  <c r="A420" i="3"/>
  <c r="B420" i="3" s="1"/>
  <c r="I419" i="3" l="1"/>
  <c r="W419" i="3" s="1"/>
  <c r="M419" i="3"/>
  <c r="N419" i="3" s="1"/>
  <c r="L419" i="3"/>
  <c r="AC420" i="3"/>
  <c r="AA420" i="3"/>
  <c r="Z420" i="3"/>
  <c r="P420" i="3"/>
  <c r="Q420" i="3" s="1"/>
  <c r="R420" i="3" s="1"/>
  <c r="S420" i="3" s="1"/>
  <c r="T420" i="3" l="1"/>
  <c r="AH420" i="3" s="1"/>
  <c r="U419" i="3"/>
  <c r="Y418" i="3"/>
  <c r="E420" i="3" l="1"/>
  <c r="H420" i="3" s="1"/>
  <c r="K420" i="3" s="1"/>
  <c r="AE420" i="3" s="1"/>
  <c r="D420" i="3"/>
  <c r="AG420" i="3"/>
  <c r="V420" i="3" l="1"/>
  <c r="A421" i="3"/>
  <c r="B421" i="3" s="1"/>
  <c r="F420" i="3"/>
  <c r="G420" i="3"/>
  <c r="I420" i="3" l="1"/>
  <c r="W420" i="3" s="1"/>
  <c r="J420" i="3"/>
  <c r="AD420" i="3" s="1"/>
  <c r="M420" i="3"/>
  <c r="N420" i="3" s="1"/>
  <c r="Z421" i="3"/>
  <c r="P421" i="3"/>
  <c r="Q421" i="3" s="1"/>
  <c r="R421" i="3" s="1"/>
  <c r="S421" i="3" s="1"/>
  <c r="AC421" i="3"/>
  <c r="AA421" i="3"/>
  <c r="T421" i="3" l="1"/>
  <c r="L420" i="3"/>
  <c r="U420" i="3" l="1"/>
  <c r="D421" i="3" s="1"/>
  <c r="AH421" i="3"/>
  <c r="AG421" i="3"/>
  <c r="Y419" i="3"/>
  <c r="E421" i="3" l="1"/>
  <c r="H421" i="3" s="1"/>
  <c r="K421" i="3" s="1"/>
  <c r="AE421" i="3" s="1"/>
  <c r="G421" i="3"/>
  <c r="F421" i="3" l="1"/>
  <c r="V421" i="3"/>
  <c r="A422" i="3"/>
  <c r="B422" i="3" s="1"/>
  <c r="I421" i="3"/>
  <c r="J421" i="3"/>
  <c r="AD421" i="3" s="1"/>
  <c r="M421" i="3"/>
  <c r="N421" i="3" s="1"/>
  <c r="W421" i="3" l="1"/>
  <c r="L421" i="3"/>
  <c r="Z422" i="3"/>
  <c r="P422" i="3"/>
  <c r="Q422" i="3" s="1"/>
  <c r="R422" i="3" s="1"/>
  <c r="S422" i="3" s="1"/>
  <c r="AC422" i="3"/>
  <c r="AA422" i="3"/>
  <c r="U421" i="3" l="1"/>
  <c r="Y420" i="3"/>
  <c r="T422" i="3"/>
  <c r="D422" i="3" l="1"/>
  <c r="G422" i="3" s="1"/>
  <c r="AG422" i="3"/>
  <c r="E422" i="3"/>
  <c r="H422" i="3" s="1"/>
  <c r="K422" i="3" s="1"/>
  <c r="AE422" i="3" s="1"/>
  <c r="AH422" i="3"/>
  <c r="F422" i="3" l="1"/>
  <c r="V422" i="3"/>
  <c r="A423" i="3"/>
  <c r="B423" i="3" s="1"/>
  <c r="I422" i="3"/>
  <c r="J422" i="3"/>
  <c r="AD422" i="3" s="1"/>
  <c r="M422" i="3"/>
  <c r="N422" i="3" s="1"/>
  <c r="L422" i="3" l="1"/>
  <c r="W422" i="3"/>
  <c r="P423" i="3"/>
  <c r="Q423" i="3" s="1"/>
  <c r="R423" i="3" s="1"/>
  <c r="S423" i="3" s="1"/>
  <c r="Z423" i="3"/>
  <c r="AC423" i="3"/>
  <c r="AA423" i="3"/>
  <c r="U422" i="3" l="1"/>
  <c r="Y421" i="3"/>
  <c r="T423" i="3"/>
  <c r="D423" i="3" l="1"/>
  <c r="G423" i="3" s="1"/>
  <c r="AH423" i="3"/>
  <c r="E423" i="3"/>
  <c r="H423" i="3" s="1"/>
  <c r="K423" i="3" s="1"/>
  <c r="AE423" i="3" s="1"/>
  <c r="AG423" i="3"/>
  <c r="F423" i="3" l="1"/>
  <c r="V423" i="3"/>
  <c r="A424" i="3"/>
  <c r="B424" i="3" s="1"/>
  <c r="I423" i="3"/>
  <c r="J423" i="3"/>
  <c r="AD423" i="3" s="1"/>
  <c r="M423" i="3"/>
  <c r="N423" i="3" s="1"/>
  <c r="W423" i="3" l="1"/>
  <c r="L423" i="3"/>
  <c r="AA424" i="3"/>
  <c r="P424" i="3"/>
  <c r="Q424" i="3" s="1"/>
  <c r="R424" i="3" s="1"/>
  <c r="S424" i="3" s="1"/>
  <c r="Z424" i="3"/>
  <c r="AC424" i="3"/>
  <c r="T424" i="3" l="1"/>
  <c r="U423" i="3"/>
  <c r="Y422" i="3"/>
  <c r="D424" i="3" l="1"/>
  <c r="G424" i="3" s="1"/>
  <c r="E424" i="3"/>
  <c r="H424" i="3" s="1"/>
  <c r="K424" i="3" s="1"/>
  <c r="AE424" i="3" s="1"/>
  <c r="AG424" i="3"/>
  <c r="AH424" i="3"/>
  <c r="F424" i="3" l="1"/>
  <c r="V424" i="3"/>
  <c r="A425" i="3"/>
  <c r="B425" i="3" s="1"/>
  <c r="I424" i="3"/>
  <c r="J424" i="3"/>
  <c r="AD424" i="3" s="1"/>
  <c r="M424" i="3"/>
  <c r="N424" i="3" s="1"/>
  <c r="W424" i="3" l="1"/>
  <c r="L424" i="3"/>
  <c r="Z425" i="3"/>
  <c r="AA425" i="3"/>
  <c r="P425" i="3"/>
  <c r="Q425" i="3" s="1"/>
  <c r="R425" i="3" s="1"/>
  <c r="S425" i="3" s="1"/>
  <c r="AC425" i="3"/>
  <c r="AD425" i="3"/>
  <c r="U424" i="3" l="1"/>
  <c r="Y423" i="3"/>
  <c r="T425" i="3"/>
  <c r="E425" i="3" l="1"/>
  <c r="H425" i="3" s="1"/>
  <c r="K425" i="3" s="1"/>
  <c r="AE425" i="3" s="1"/>
  <c r="D425" i="3"/>
  <c r="G425" i="3" s="1"/>
  <c r="AH425" i="3"/>
  <c r="AG425" i="3"/>
  <c r="F425" i="3" l="1"/>
  <c r="I425" i="3"/>
  <c r="J425" i="3"/>
  <c r="M425" i="3"/>
  <c r="N425" i="3" s="1"/>
  <c r="V425" i="3"/>
  <c r="A426" i="3"/>
  <c r="B426" i="3" s="1"/>
  <c r="L425" i="3" l="1"/>
  <c r="W425" i="3"/>
  <c r="P426" i="3"/>
  <c r="Q426" i="3" s="1"/>
  <c r="R426" i="3" s="1"/>
  <c r="S426" i="3" s="1"/>
  <c r="AA426" i="3"/>
  <c r="AD426" i="3"/>
  <c r="Z426" i="3"/>
  <c r="AC426" i="3"/>
  <c r="U425" i="3" l="1"/>
  <c r="Y424" i="3"/>
  <c r="T426" i="3"/>
  <c r="AH426" i="3" s="1"/>
  <c r="E426" i="3" l="1"/>
  <c r="H426" i="3" s="1"/>
  <c r="D426" i="3"/>
  <c r="AG426" i="3"/>
  <c r="K426" i="3" l="1"/>
  <c r="AE426" i="3" s="1"/>
  <c r="F426" i="3"/>
  <c r="G426" i="3"/>
  <c r="V426" i="3" l="1"/>
  <c r="A427" i="3"/>
  <c r="B427" i="3" s="1"/>
  <c r="I426" i="3"/>
  <c r="J426" i="3"/>
  <c r="M426" i="3"/>
  <c r="N426" i="3" s="1"/>
  <c r="W426" i="3" l="1"/>
  <c r="L426" i="3"/>
  <c r="P427" i="3"/>
  <c r="Q427" i="3" s="1"/>
  <c r="R427" i="3" s="1"/>
  <c r="S427" i="3" s="1"/>
  <c r="AC427" i="3"/>
  <c r="Z427" i="3"/>
  <c r="AA427" i="3"/>
  <c r="U426" i="3" l="1"/>
  <c r="Y425" i="3"/>
  <c r="T427" i="3"/>
  <c r="AG427" i="3" s="1"/>
  <c r="D427" i="3" l="1"/>
  <c r="G427" i="3" s="1"/>
  <c r="E427" i="3"/>
  <c r="H427" i="3" s="1"/>
  <c r="K427" i="3" s="1"/>
  <c r="AE427" i="3" s="1"/>
  <c r="AH427" i="3"/>
  <c r="F427" i="3" l="1"/>
  <c r="I427" i="3"/>
  <c r="J427" i="3"/>
  <c r="AD427" i="3" s="1"/>
  <c r="M427" i="3"/>
  <c r="N427" i="3" s="1"/>
  <c r="V427" i="3"/>
  <c r="A428" i="3"/>
  <c r="B428" i="3" s="1"/>
  <c r="W427" i="3" l="1"/>
  <c r="L427" i="3"/>
  <c r="P428" i="3"/>
  <c r="Q428" i="3" s="1"/>
  <c r="R428" i="3" s="1"/>
  <c r="S428" i="3" s="1"/>
  <c r="AC428" i="3"/>
  <c r="Z428" i="3"/>
  <c r="AA428" i="3"/>
  <c r="U427" i="3" l="1"/>
  <c r="Y426" i="3"/>
  <c r="T428" i="3"/>
  <c r="AG428" i="3" s="1"/>
  <c r="E428" i="3" l="1"/>
  <c r="H428" i="3" s="1"/>
  <c r="AH428" i="3"/>
  <c r="D428" i="3"/>
  <c r="K428" i="3" l="1"/>
  <c r="AE428" i="3" s="1"/>
  <c r="F428" i="3"/>
  <c r="G428" i="3"/>
  <c r="I428" i="3" l="1"/>
  <c r="J428" i="3"/>
  <c r="AD428" i="3" s="1"/>
  <c r="M428" i="3"/>
  <c r="N428" i="3" s="1"/>
  <c r="V428" i="3"/>
  <c r="A429" i="3"/>
  <c r="B429" i="3" s="1"/>
  <c r="W428" i="3" l="1"/>
  <c r="AD429" i="3"/>
  <c r="Z429" i="3"/>
  <c r="AC429" i="3"/>
  <c r="P429" i="3"/>
  <c r="Q429" i="3" s="1"/>
  <c r="R429" i="3" s="1"/>
  <c r="S429" i="3" s="1"/>
  <c r="AA429" i="3"/>
  <c r="L428" i="3"/>
  <c r="U428" i="3" l="1"/>
  <c r="Y427" i="3"/>
  <c r="T429" i="3"/>
  <c r="D429" i="3" l="1"/>
  <c r="G429" i="3" s="1"/>
  <c r="E429" i="3"/>
  <c r="H429" i="3" s="1"/>
  <c r="K429" i="3" s="1"/>
  <c r="AE429" i="3" s="1"/>
  <c r="AG429" i="3"/>
  <c r="AH429" i="3"/>
  <c r="F429" i="3" l="1"/>
  <c r="I429" i="3"/>
  <c r="J429" i="3"/>
  <c r="M429" i="3"/>
  <c r="N429" i="3" s="1"/>
  <c r="V429" i="3"/>
  <c r="A430" i="3"/>
  <c r="B430" i="3" s="1"/>
  <c r="L429" i="3" l="1"/>
  <c r="W429" i="3"/>
  <c r="AA430" i="3"/>
  <c r="Z430" i="3"/>
  <c r="P430" i="3"/>
  <c r="Q430" i="3" s="1"/>
  <c r="R430" i="3" s="1"/>
  <c r="S430" i="3" s="1"/>
  <c r="AC430" i="3"/>
  <c r="AD430" i="3"/>
  <c r="U429" i="3" l="1"/>
  <c r="Y428" i="3"/>
  <c r="T430" i="3"/>
  <c r="D430" i="3" l="1"/>
  <c r="G430" i="3" s="1"/>
  <c r="AH430" i="3"/>
  <c r="E430" i="3"/>
  <c r="H430" i="3" s="1"/>
  <c r="AG430" i="3"/>
  <c r="F430" i="3" l="1"/>
  <c r="I430" i="3"/>
  <c r="J430" i="3"/>
  <c r="M430" i="3"/>
  <c r="N430" i="3" s="1"/>
  <c r="K430" i="3"/>
  <c r="AE430" i="3" s="1"/>
  <c r="V430" i="3" l="1"/>
  <c r="W430" i="3" s="1"/>
  <c r="A431" i="3"/>
  <c r="B431" i="3" s="1"/>
  <c r="L430" i="3"/>
  <c r="U430" i="3" l="1"/>
  <c r="Y429" i="3"/>
  <c r="AC431" i="3"/>
  <c r="Z431" i="3"/>
  <c r="P431" i="3"/>
  <c r="Q431" i="3" s="1"/>
  <c r="R431" i="3" s="1"/>
  <c r="S431" i="3" s="1"/>
  <c r="AA431" i="3"/>
  <c r="AD431" i="3"/>
  <c r="T431" i="3" l="1"/>
  <c r="AH431" i="3" s="1"/>
  <c r="E431" i="3" l="1"/>
  <c r="H431" i="3" s="1"/>
  <c r="AG431" i="3"/>
  <c r="D431" i="3"/>
  <c r="K431" i="3" l="1"/>
  <c r="AE431" i="3" s="1"/>
  <c r="F431" i="3"/>
  <c r="G431" i="3"/>
  <c r="V431" i="3" l="1"/>
  <c r="A432" i="3"/>
  <c r="B432" i="3" s="1"/>
  <c r="I431" i="3"/>
  <c r="J431" i="3"/>
  <c r="M431" i="3"/>
  <c r="N431" i="3" s="1"/>
  <c r="W431" i="3" l="1"/>
  <c r="L431" i="3"/>
  <c r="AA432" i="3"/>
  <c r="P432" i="3"/>
  <c r="Q432" i="3" s="1"/>
  <c r="R432" i="3" s="1"/>
  <c r="S432" i="3" s="1"/>
  <c r="AC432" i="3"/>
  <c r="Z432" i="3"/>
  <c r="AD432" i="3"/>
  <c r="T432" i="3" l="1"/>
  <c r="AH432" i="3" s="1"/>
  <c r="U431" i="3"/>
  <c r="Y430" i="3"/>
  <c r="AG432" i="3" l="1"/>
  <c r="E432" i="3"/>
  <c r="H432" i="3" s="1"/>
  <c r="D432" i="3"/>
  <c r="K432" i="3" l="1"/>
  <c r="AE432" i="3" s="1"/>
  <c r="F432" i="3"/>
  <c r="G432" i="3"/>
  <c r="I432" i="3" l="1"/>
  <c r="J432" i="3"/>
  <c r="M432" i="3"/>
  <c r="N432" i="3" s="1"/>
  <c r="V432" i="3"/>
  <c r="A433" i="3"/>
  <c r="B433" i="3" s="1"/>
  <c r="W432" i="3" l="1"/>
  <c r="L432" i="3"/>
  <c r="P433" i="3"/>
  <c r="Q433" i="3" s="1"/>
  <c r="R433" i="3" s="1"/>
  <c r="S433" i="3" s="1"/>
  <c r="AC433" i="3"/>
  <c r="Z433" i="3"/>
  <c r="AA433" i="3"/>
  <c r="AD433" i="3"/>
  <c r="U432" i="3" l="1"/>
  <c r="Y431" i="3"/>
  <c r="T433" i="3"/>
  <c r="E433" i="3" l="1"/>
  <c r="H433" i="3" s="1"/>
  <c r="K433" i="3" s="1"/>
  <c r="AE433" i="3" s="1"/>
  <c r="D433" i="3"/>
  <c r="AG433" i="3"/>
  <c r="AH433" i="3"/>
  <c r="F433" i="3" l="1"/>
  <c r="G433" i="3"/>
  <c r="M433" i="3" s="1"/>
  <c r="N433" i="3" s="1"/>
  <c r="V433" i="3"/>
  <c r="A434" i="3"/>
  <c r="B434" i="3" s="1"/>
  <c r="I433" i="3" l="1"/>
  <c r="W433" i="3" s="1"/>
  <c r="J433" i="3"/>
  <c r="L433" i="3" s="1"/>
  <c r="P434" i="3"/>
  <c r="Q434" i="3" s="1"/>
  <c r="R434" i="3" s="1"/>
  <c r="S434" i="3" s="1"/>
  <c r="Z434" i="3"/>
  <c r="AA434" i="3"/>
  <c r="AC434" i="3"/>
  <c r="U433" i="3" l="1"/>
  <c r="Y432" i="3"/>
  <c r="T434" i="3"/>
  <c r="AH434" i="3" s="1"/>
  <c r="E434" i="3" l="1"/>
  <c r="H434" i="3" s="1"/>
  <c r="K434" i="3" s="1"/>
  <c r="AE434" i="3" s="1"/>
  <c r="AG434" i="3"/>
  <c r="D434" i="3"/>
  <c r="F434" i="3" l="1"/>
  <c r="G434" i="3"/>
  <c r="M434" i="3" s="1"/>
  <c r="N434" i="3" s="1"/>
  <c r="V434" i="3"/>
  <c r="A435" i="3"/>
  <c r="B435" i="3" s="1"/>
  <c r="I434" i="3" l="1"/>
  <c r="W434" i="3" s="1"/>
  <c r="J434" i="3"/>
  <c r="P435" i="3"/>
  <c r="Q435" i="3" s="1"/>
  <c r="R435" i="3" s="1"/>
  <c r="S435" i="3" s="1"/>
  <c r="AA435" i="3"/>
  <c r="AD435" i="3"/>
  <c r="AC435" i="3"/>
  <c r="Z435" i="3"/>
  <c r="L434" i="3" l="1"/>
  <c r="Y433" i="3" s="1"/>
  <c r="AD434" i="3"/>
  <c r="T435" i="3"/>
  <c r="U434" i="3" l="1"/>
  <c r="E435" i="3" s="1"/>
  <c r="H435" i="3" s="1"/>
  <c r="AG435" i="3"/>
  <c r="AH435" i="3"/>
  <c r="D435" i="3" l="1"/>
  <c r="G435" i="3" s="1"/>
  <c r="I435" i="3" s="1"/>
  <c r="K435" i="3"/>
  <c r="AE435" i="3" s="1"/>
  <c r="J435" i="3" l="1"/>
  <c r="L435" i="3" s="1"/>
  <c r="M435" i="3"/>
  <c r="N435" i="3" s="1"/>
  <c r="F435" i="3"/>
  <c r="V435" i="3"/>
  <c r="W435" i="3" s="1"/>
  <c r="A436" i="3"/>
  <c r="B436" i="3" s="1"/>
  <c r="AC436" i="3" l="1"/>
  <c r="Z436" i="3"/>
  <c r="P436" i="3"/>
  <c r="Q436" i="3" s="1"/>
  <c r="R436" i="3" s="1"/>
  <c r="S436" i="3" s="1"/>
  <c r="AA436" i="3"/>
  <c r="AD436" i="3"/>
  <c r="U435" i="3"/>
  <c r="Y434" i="3"/>
  <c r="T436" i="3" l="1"/>
  <c r="E436" i="3" l="1"/>
  <c r="H436" i="3" s="1"/>
  <c r="D436" i="3"/>
  <c r="AH436" i="3"/>
  <c r="AG436" i="3"/>
  <c r="F436" i="3" l="1"/>
  <c r="G436" i="3"/>
  <c r="K436" i="3"/>
  <c r="AE436" i="3" s="1"/>
  <c r="I436" i="3" l="1"/>
  <c r="J436" i="3"/>
  <c r="M436" i="3"/>
  <c r="N436" i="3" s="1"/>
  <c r="V436" i="3"/>
  <c r="A437" i="3"/>
  <c r="B437" i="3" s="1"/>
  <c r="W436" i="3" l="1"/>
  <c r="L436" i="3"/>
  <c r="AC437" i="3"/>
  <c r="AA437" i="3"/>
  <c r="P437" i="3"/>
  <c r="Q437" i="3" s="1"/>
  <c r="R437" i="3" s="1"/>
  <c r="S437" i="3" s="1"/>
  <c r="Z437" i="3"/>
  <c r="U436" i="3" l="1"/>
  <c r="Y435" i="3"/>
  <c r="T437" i="3"/>
  <c r="AH437" i="3" s="1"/>
  <c r="D437" i="3" l="1"/>
  <c r="G437" i="3" s="1"/>
  <c r="E437" i="3"/>
  <c r="H437" i="3" s="1"/>
  <c r="K437" i="3" s="1"/>
  <c r="AE437" i="3" s="1"/>
  <c r="AG437" i="3"/>
  <c r="F437" i="3" l="1"/>
  <c r="I437" i="3"/>
  <c r="J437" i="3"/>
  <c r="AD437" i="3" s="1"/>
  <c r="M437" i="3"/>
  <c r="N437" i="3" s="1"/>
  <c r="V437" i="3"/>
  <c r="A438" i="3"/>
  <c r="B438" i="3" s="1"/>
  <c r="W437" i="3" l="1"/>
  <c r="L437" i="3"/>
  <c r="Z438" i="3"/>
  <c r="P438" i="3"/>
  <c r="Q438" i="3" s="1"/>
  <c r="R438" i="3" s="1"/>
  <c r="S438" i="3" s="1"/>
  <c r="AC438" i="3"/>
  <c r="AA438" i="3"/>
  <c r="U437" i="3" l="1"/>
  <c r="Y436" i="3"/>
  <c r="T438" i="3"/>
  <c r="E438" i="3" l="1"/>
  <c r="H438" i="3" s="1"/>
  <c r="K438" i="3" s="1"/>
  <c r="AE438" i="3" s="1"/>
  <c r="D438" i="3"/>
  <c r="AH438" i="3"/>
  <c r="AG438" i="3"/>
  <c r="V438" i="3" l="1"/>
  <c r="A439" i="3"/>
  <c r="B439" i="3" s="1"/>
  <c r="F438" i="3"/>
  <c r="G438" i="3"/>
  <c r="I438" i="3" l="1"/>
  <c r="W438" i="3" s="1"/>
  <c r="J438" i="3"/>
  <c r="AD438" i="3" s="1"/>
  <c r="M438" i="3"/>
  <c r="N438" i="3" s="1"/>
  <c r="Z439" i="3"/>
  <c r="P439" i="3"/>
  <c r="Q439" i="3" s="1"/>
  <c r="R439" i="3" s="1"/>
  <c r="S439" i="3" s="1"/>
  <c r="AD439" i="3"/>
  <c r="AC439" i="3"/>
  <c r="AA439" i="3"/>
  <c r="T439" i="3" l="1"/>
  <c r="L438" i="3"/>
  <c r="AG439" i="3" l="1"/>
  <c r="AH439" i="3"/>
  <c r="U438" i="3"/>
  <c r="E439" i="3" s="1"/>
  <c r="H439" i="3" s="1"/>
  <c r="Y437" i="3"/>
  <c r="D439" i="3" l="1"/>
  <c r="G439" i="3" s="1"/>
  <c r="K439" i="3"/>
  <c r="AE439" i="3" s="1"/>
  <c r="F439" i="3" l="1"/>
  <c r="V439" i="3"/>
  <c r="A440" i="3"/>
  <c r="B440" i="3" s="1"/>
  <c r="I439" i="3"/>
  <c r="J439" i="3"/>
  <c r="M439" i="3"/>
  <c r="N439" i="3" s="1"/>
  <c r="W439" i="3" l="1"/>
  <c r="L439" i="3"/>
  <c r="Z440" i="3"/>
  <c r="AC440" i="3"/>
  <c r="P440" i="3"/>
  <c r="Q440" i="3" s="1"/>
  <c r="R440" i="3" s="1"/>
  <c r="S440" i="3" s="1"/>
  <c r="AA440" i="3"/>
  <c r="AD440" i="3"/>
  <c r="T440" i="3" l="1"/>
  <c r="AH440" i="3" s="1"/>
  <c r="U439" i="3"/>
  <c r="Y438" i="3"/>
  <c r="AG440" i="3" l="1"/>
  <c r="D440" i="3"/>
  <c r="E440" i="3"/>
  <c r="H440" i="3" s="1"/>
  <c r="K440" i="3" l="1"/>
  <c r="AE440" i="3" s="1"/>
  <c r="F440" i="3"/>
  <c r="G440" i="3"/>
  <c r="I440" i="3" l="1"/>
  <c r="J440" i="3"/>
  <c r="M440" i="3"/>
  <c r="N440" i="3" s="1"/>
  <c r="V440" i="3"/>
  <c r="A441" i="3"/>
  <c r="B441" i="3" s="1"/>
  <c r="W440" i="3" l="1"/>
  <c r="L440" i="3"/>
  <c r="P441" i="3"/>
  <c r="Q441" i="3" s="1"/>
  <c r="R441" i="3" s="1"/>
  <c r="S441" i="3" s="1"/>
  <c r="AD441" i="3"/>
  <c r="AC441" i="3"/>
  <c r="Z441" i="3"/>
  <c r="AA441" i="3"/>
  <c r="T441" i="3" l="1"/>
  <c r="AH441" i="3" s="1"/>
  <c r="U440" i="3"/>
  <c r="Y439" i="3"/>
  <c r="E441" i="3" l="1"/>
  <c r="H441" i="3" s="1"/>
  <c r="K441" i="3" s="1"/>
  <c r="AE441" i="3" s="1"/>
  <c r="AG441" i="3"/>
  <c r="D441" i="3"/>
  <c r="V441" i="3" l="1"/>
  <c r="A442" i="3"/>
  <c r="B442" i="3" s="1"/>
  <c r="F441" i="3"/>
  <c r="G441" i="3"/>
  <c r="I441" i="3" l="1"/>
  <c r="W441" i="3" s="1"/>
  <c r="J441" i="3"/>
  <c r="M441" i="3"/>
  <c r="N441" i="3" s="1"/>
  <c r="AC442" i="3"/>
  <c r="AD442" i="3"/>
  <c r="AA442" i="3"/>
  <c r="P442" i="3"/>
  <c r="Q442" i="3" s="1"/>
  <c r="R442" i="3" s="1"/>
  <c r="S442" i="3" s="1"/>
  <c r="Z442" i="3"/>
  <c r="T442" i="3" l="1"/>
  <c r="L441" i="3"/>
  <c r="U441" i="3" l="1"/>
  <c r="D442" i="3" s="1"/>
  <c r="AH442" i="3"/>
  <c r="AG442" i="3"/>
  <c r="Y440" i="3"/>
  <c r="G442" i="3" l="1"/>
  <c r="E442" i="3"/>
  <c r="H442" i="3" s="1"/>
  <c r="I442" i="3" l="1"/>
  <c r="J442" i="3"/>
  <c r="M442" i="3"/>
  <c r="N442" i="3" s="1"/>
  <c r="F442" i="3"/>
  <c r="K442" i="3"/>
  <c r="AE442" i="3" s="1"/>
  <c r="V442" i="3" l="1"/>
  <c r="W442" i="3" s="1"/>
  <c r="A443" i="3"/>
  <c r="B443" i="3" s="1"/>
  <c r="L442" i="3"/>
  <c r="U442" i="3" l="1"/>
  <c r="Y441" i="3"/>
  <c r="Z443" i="3"/>
  <c r="P443" i="3"/>
  <c r="Q443" i="3" s="1"/>
  <c r="R443" i="3" s="1"/>
  <c r="S443" i="3" s="1"/>
  <c r="AD443" i="3"/>
  <c r="AC443" i="3"/>
  <c r="AA443" i="3"/>
  <c r="T443" i="3" l="1"/>
  <c r="D443" i="3" s="1"/>
  <c r="E443" i="3" l="1"/>
  <c r="H443" i="3" s="1"/>
  <c r="K443" i="3" s="1"/>
  <c r="AE443" i="3" s="1"/>
  <c r="G443" i="3"/>
  <c r="AG443" i="3"/>
  <c r="AH443" i="3"/>
  <c r="F443" i="3" l="1"/>
  <c r="V443" i="3"/>
  <c r="A444" i="3"/>
  <c r="B444" i="3" s="1"/>
  <c r="I443" i="3"/>
  <c r="J443" i="3"/>
  <c r="M443" i="3"/>
  <c r="N443" i="3" s="1"/>
  <c r="W443" i="3" l="1"/>
  <c r="L443" i="3"/>
  <c r="Z444" i="3"/>
  <c r="P444" i="3"/>
  <c r="Q444" i="3" s="1"/>
  <c r="R444" i="3" s="1"/>
  <c r="S444" i="3" s="1"/>
  <c r="AA444" i="3"/>
  <c r="AC444" i="3"/>
  <c r="U443" i="3" l="1"/>
  <c r="Y442" i="3"/>
  <c r="T444" i="3"/>
  <c r="AG444" i="3" s="1"/>
  <c r="AH444" i="3" l="1"/>
  <c r="D444" i="3"/>
  <c r="E444" i="3"/>
  <c r="H444" i="3" s="1"/>
  <c r="F444" i="3" l="1"/>
  <c r="G444" i="3"/>
  <c r="K444" i="3"/>
  <c r="AE444" i="3" s="1"/>
  <c r="I444" i="3" l="1"/>
  <c r="J444" i="3"/>
  <c r="AD444" i="3" s="1"/>
  <c r="M444" i="3"/>
  <c r="N444" i="3" s="1"/>
  <c r="V444" i="3"/>
  <c r="A445" i="3"/>
  <c r="B445" i="3" s="1"/>
  <c r="W444" i="3" l="1"/>
  <c r="L444" i="3"/>
  <c r="AA445" i="3"/>
  <c r="P445" i="3"/>
  <c r="Q445" i="3" s="1"/>
  <c r="R445" i="3" s="1"/>
  <c r="S445" i="3" s="1"/>
  <c r="Z445" i="3"/>
  <c r="AD445" i="3"/>
  <c r="AC445" i="3"/>
  <c r="T445" i="3" l="1"/>
  <c r="U444" i="3"/>
  <c r="Y443" i="3"/>
  <c r="D445" i="3" l="1"/>
  <c r="G445" i="3" s="1"/>
  <c r="AG445" i="3"/>
  <c r="E445" i="3"/>
  <c r="H445" i="3" s="1"/>
  <c r="AH445" i="3"/>
  <c r="K445" i="3" l="1"/>
  <c r="AE445" i="3" s="1"/>
  <c r="I445" i="3"/>
  <c r="J445" i="3"/>
  <c r="M445" i="3"/>
  <c r="N445" i="3" s="1"/>
  <c r="F445" i="3"/>
  <c r="L445" i="3" l="1"/>
  <c r="V445" i="3"/>
  <c r="W445" i="3" s="1"/>
  <c r="A446" i="3"/>
  <c r="B446" i="3" s="1"/>
  <c r="AD446" i="3" l="1"/>
  <c r="AC446" i="3"/>
  <c r="P446" i="3"/>
  <c r="Q446" i="3" s="1"/>
  <c r="R446" i="3" s="1"/>
  <c r="S446" i="3" s="1"/>
  <c r="Z446" i="3"/>
  <c r="AA446" i="3"/>
  <c r="U445" i="3"/>
  <c r="Y444" i="3"/>
  <c r="T446" i="3" l="1"/>
  <c r="D446" i="3" s="1"/>
  <c r="AG446" i="3" l="1"/>
  <c r="G446" i="3"/>
  <c r="E446" i="3"/>
  <c r="H446" i="3" s="1"/>
  <c r="AH446" i="3"/>
  <c r="K446" i="3" l="1"/>
  <c r="AE446" i="3" s="1"/>
  <c r="F446" i="3"/>
  <c r="I446" i="3"/>
  <c r="J446" i="3"/>
  <c r="M446" i="3"/>
  <c r="N446" i="3" s="1"/>
  <c r="L446" i="3" l="1"/>
  <c r="V446" i="3"/>
  <c r="W446" i="3" s="1"/>
  <c r="A447" i="3"/>
  <c r="B447" i="3" s="1"/>
  <c r="Z447" i="3" l="1"/>
  <c r="P447" i="3"/>
  <c r="Q447" i="3" s="1"/>
  <c r="R447" i="3" s="1"/>
  <c r="S447" i="3" s="1"/>
  <c r="AC447" i="3"/>
  <c r="AA447" i="3"/>
  <c r="U446" i="3"/>
  <c r="Y445" i="3"/>
  <c r="T447" i="3" l="1"/>
  <c r="AG447" i="3" s="1"/>
  <c r="D447" i="3" l="1"/>
  <c r="G447" i="3" s="1"/>
  <c r="AH447" i="3"/>
  <c r="E447" i="3"/>
  <c r="H447" i="3" s="1"/>
  <c r="K447" i="3" s="1"/>
  <c r="AE447" i="3" s="1"/>
  <c r="F447" i="3" l="1"/>
  <c r="I447" i="3"/>
  <c r="J447" i="3"/>
  <c r="AD447" i="3" s="1"/>
  <c r="M447" i="3"/>
  <c r="N447" i="3" s="1"/>
  <c r="V447" i="3"/>
  <c r="A448" i="3"/>
  <c r="B448" i="3" s="1"/>
  <c r="W447" i="3" l="1"/>
  <c r="L447" i="3"/>
  <c r="Z448" i="3"/>
  <c r="AA448" i="3"/>
  <c r="P448" i="3"/>
  <c r="Q448" i="3" s="1"/>
  <c r="R448" i="3" s="1"/>
  <c r="S448" i="3" s="1"/>
  <c r="AC448" i="3"/>
  <c r="T448" i="3" l="1"/>
  <c r="AG448" i="3" s="1"/>
  <c r="U447" i="3"/>
  <c r="Y446" i="3"/>
  <c r="D448" i="3" l="1"/>
  <c r="G448" i="3" s="1"/>
  <c r="E448" i="3"/>
  <c r="H448" i="3" s="1"/>
  <c r="AH448" i="3"/>
  <c r="F448" i="3" l="1"/>
  <c r="I448" i="3"/>
  <c r="J448" i="3"/>
  <c r="AD448" i="3" s="1"/>
  <c r="M448" i="3"/>
  <c r="N448" i="3" s="1"/>
  <c r="K448" i="3"/>
  <c r="AE448" i="3" s="1"/>
  <c r="V448" i="3" l="1"/>
  <c r="W448" i="3" s="1"/>
  <c r="A449" i="3"/>
  <c r="B449" i="3" s="1"/>
  <c r="L448" i="3"/>
  <c r="U448" i="3" l="1"/>
  <c r="Y447" i="3"/>
  <c r="P449" i="3"/>
  <c r="Q449" i="3" s="1"/>
  <c r="R449" i="3" s="1"/>
  <c r="S449" i="3" s="1"/>
  <c r="AD449" i="3"/>
  <c r="AA449" i="3"/>
  <c r="Z449" i="3"/>
  <c r="AC449" i="3"/>
  <c r="T449" i="3" l="1"/>
  <c r="D449" i="3" s="1"/>
  <c r="G449" i="3" l="1"/>
  <c r="AG449" i="3"/>
  <c r="AH449" i="3"/>
  <c r="E449" i="3"/>
  <c r="H449" i="3" s="1"/>
  <c r="K449" i="3" l="1"/>
  <c r="AE449" i="3" s="1"/>
  <c r="F449" i="3"/>
  <c r="I449" i="3"/>
  <c r="J449" i="3"/>
  <c r="M449" i="3"/>
  <c r="N449" i="3" s="1"/>
  <c r="L449" i="3" l="1"/>
  <c r="V449" i="3"/>
  <c r="W449" i="3" s="1"/>
  <c r="A450" i="3"/>
  <c r="B450" i="3" s="1"/>
  <c r="P450" i="3" l="1"/>
  <c r="Q450" i="3" s="1"/>
  <c r="R450" i="3" s="1"/>
  <c r="S450" i="3" s="1"/>
  <c r="AD450" i="3"/>
  <c r="Z450" i="3"/>
  <c r="AC450" i="3"/>
  <c r="AA450" i="3"/>
  <c r="U449" i="3"/>
  <c r="Y448" i="3"/>
  <c r="T450" i="3" l="1"/>
  <c r="D450" i="3" s="1"/>
  <c r="AH450" i="3" l="1"/>
  <c r="G450" i="3"/>
  <c r="E450" i="3"/>
  <c r="H450" i="3" s="1"/>
  <c r="AG450" i="3"/>
  <c r="F450" i="3" l="1"/>
  <c r="I450" i="3"/>
  <c r="J450" i="3"/>
  <c r="M450" i="3"/>
  <c r="N450" i="3" s="1"/>
  <c r="K450" i="3"/>
  <c r="AE450" i="3" s="1"/>
  <c r="V450" i="3" l="1"/>
  <c r="W450" i="3" s="1"/>
  <c r="A451" i="3"/>
  <c r="B451" i="3" s="1"/>
  <c r="L450" i="3"/>
  <c r="U450" i="3" l="1"/>
  <c r="Y449" i="3"/>
  <c r="P451" i="3"/>
  <c r="Q451" i="3" s="1"/>
  <c r="R451" i="3" s="1"/>
  <c r="S451" i="3" s="1"/>
  <c r="Z451" i="3"/>
  <c r="AD451" i="3"/>
  <c r="AA451" i="3"/>
  <c r="AC451" i="3"/>
  <c r="T451" i="3" l="1"/>
  <c r="AG451" i="3" s="1"/>
  <c r="E451" i="3" l="1"/>
  <c r="H451" i="3" s="1"/>
  <c r="K451" i="3" s="1"/>
  <c r="AE451" i="3" s="1"/>
  <c r="AH451" i="3"/>
  <c r="D451" i="3"/>
  <c r="V451" i="3" l="1"/>
  <c r="A452" i="3"/>
  <c r="B452" i="3" s="1"/>
  <c r="F451" i="3"/>
  <c r="G451" i="3"/>
  <c r="I451" i="3" l="1"/>
  <c r="W451" i="3" s="1"/>
  <c r="J451" i="3"/>
  <c r="M451" i="3"/>
  <c r="N451" i="3" s="1"/>
  <c r="AA452" i="3"/>
  <c r="P452" i="3"/>
  <c r="Q452" i="3" s="1"/>
  <c r="R452" i="3" s="1"/>
  <c r="S452" i="3" s="1"/>
  <c r="AC452" i="3"/>
  <c r="Z452" i="3"/>
  <c r="AD452" i="3"/>
  <c r="T452" i="3" l="1"/>
  <c r="L451" i="3"/>
  <c r="U451" i="3" l="1"/>
  <c r="D452" i="3" s="1"/>
  <c r="AH452" i="3"/>
  <c r="AG452" i="3"/>
  <c r="Y450" i="3"/>
  <c r="E452" i="3" l="1"/>
  <c r="H452" i="3" s="1"/>
  <c r="K452" i="3" s="1"/>
  <c r="AE452" i="3" s="1"/>
  <c r="G452" i="3"/>
  <c r="F452" i="3" l="1"/>
  <c r="I452" i="3"/>
  <c r="J452" i="3"/>
  <c r="M452" i="3"/>
  <c r="N452" i="3" s="1"/>
  <c r="V452" i="3"/>
  <c r="A453" i="3"/>
  <c r="B453" i="3" s="1"/>
  <c r="W452" i="3" l="1"/>
  <c r="L452" i="3"/>
  <c r="AA453" i="3"/>
  <c r="P453" i="3"/>
  <c r="Q453" i="3" s="1"/>
  <c r="R453" i="3" s="1"/>
  <c r="S453" i="3" s="1"/>
  <c r="AC453" i="3"/>
  <c r="AD453" i="3"/>
  <c r="Z453" i="3"/>
  <c r="U452" i="3" l="1"/>
  <c r="Y451" i="3"/>
  <c r="T453" i="3"/>
  <c r="AH453" i="3" s="1"/>
  <c r="AG453" i="3" l="1"/>
  <c r="E453" i="3"/>
  <c r="H453" i="3" s="1"/>
  <c r="D453" i="3"/>
  <c r="K453" i="3" l="1"/>
  <c r="AE453" i="3" s="1"/>
  <c r="F453" i="3"/>
  <c r="G453" i="3"/>
  <c r="I453" i="3" l="1"/>
  <c r="J453" i="3"/>
  <c r="M453" i="3"/>
  <c r="N453" i="3" s="1"/>
  <c r="V453" i="3"/>
  <c r="A454" i="3"/>
  <c r="B454" i="3" s="1"/>
  <c r="W453" i="3" l="1"/>
  <c r="AA454" i="3"/>
  <c r="AC454" i="3"/>
  <c r="Z454" i="3"/>
  <c r="P454" i="3"/>
  <c r="Q454" i="3" s="1"/>
  <c r="R454" i="3" s="1"/>
  <c r="S454" i="3" s="1"/>
  <c r="L453" i="3"/>
  <c r="U453" i="3" l="1"/>
  <c r="Y452" i="3"/>
  <c r="T454" i="3"/>
  <c r="E454" i="3" l="1"/>
  <c r="H454" i="3" s="1"/>
  <c r="K454" i="3" s="1"/>
  <c r="AE454" i="3" s="1"/>
  <c r="AH454" i="3"/>
  <c r="AG454" i="3"/>
  <c r="D454" i="3"/>
  <c r="F454" i="3" l="1"/>
  <c r="G454" i="3"/>
  <c r="V454" i="3"/>
  <c r="A455" i="3"/>
  <c r="B455" i="3" s="1"/>
  <c r="AC455" i="3" l="1"/>
  <c r="AD455" i="3"/>
  <c r="AA455" i="3"/>
  <c r="Z455" i="3"/>
  <c r="P455" i="3"/>
  <c r="Q455" i="3" s="1"/>
  <c r="R455" i="3" s="1"/>
  <c r="S455" i="3" s="1"/>
  <c r="I454" i="3"/>
  <c r="W454" i="3" s="1"/>
  <c r="J454" i="3"/>
  <c r="AD454" i="3" s="1"/>
  <c r="M454" i="3"/>
  <c r="N454" i="3" s="1"/>
  <c r="L454" i="3" l="1"/>
  <c r="T455" i="3"/>
  <c r="AH455" i="3" l="1"/>
  <c r="U454" i="3"/>
  <c r="D455" i="3" s="1"/>
  <c r="AG455" i="3"/>
  <c r="Y453" i="3"/>
  <c r="E455" i="3" l="1"/>
  <c r="H455" i="3" s="1"/>
  <c r="K455" i="3" s="1"/>
  <c r="AE455" i="3" s="1"/>
  <c r="G455" i="3"/>
  <c r="F455" i="3" l="1"/>
  <c r="I455" i="3"/>
  <c r="J455" i="3"/>
  <c r="M455" i="3"/>
  <c r="N455" i="3" s="1"/>
  <c r="V455" i="3"/>
  <c r="A456" i="3"/>
  <c r="B456" i="3" s="1"/>
  <c r="W455" i="3" l="1"/>
  <c r="L455" i="3"/>
  <c r="AC456" i="3"/>
  <c r="P456" i="3"/>
  <c r="Q456" i="3" s="1"/>
  <c r="R456" i="3" s="1"/>
  <c r="S456" i="3" s="1"/>
  <c r="AD456" i="3"/>
  <c r="Z456" i="3"/>
  <c r="AA456" i="3"/>
  <c r="U455" i="3" l="1"/>
  <c r="Y454" i="3"/>
  <c r="T456" i="3"/>
  <c r="AG456" i="3" s="1"/>
  <c r="D456" i="3" l="1"/>
  <c r="G456" i="3" s="1"/>
  <c r="AH456" i="3"/>
  <c r="E456" i="3"/>
  <c r="H456" i="3" s="1"/>
  <c r="I456" i="3" l="1"/>
  <c r="J456" i="3"/>
  <c r="M456" i="3"/>
  <c r="N456" i="3" s="1"/>
  <c r="K456" i="3"/>
  <c r="AE456" i="3" s="1"/>
  <c r="F456" i="3"/>
  <c r="V456" i="3" l="1"/>
  <c r="W456" i="3" s="1"/>
  <c r="A457" i="3"/>
  <c r="B457" i="3" s="1"/>
  <c r="L456" i="3"/>
  <c r="Z457" i="3" l="1"/>
  <c r="AC457" i="3"/>
  <c r="P457" i="3"/>
  <c r="Q457" i="3" s="1"/>
  <c r="R457" i="3" s="1"/>
  <c r="S457" i="3" s="1"/>
  <c r="AA457" i="3"/>
  <c r="U456" i="3"/>
  <c r="Y455" i="3"/>
  <c r="T457" i="3" l="1"/>
  <c r="D457" i="3" l="1"/>
  <c r="AH457" i="3"/>
  <c r="E457" i="3"/>
  <c r="H457" i="3" s="1"/>
  <c r="AG457" i="3"/>
  <c r="F457" i="3" l="1"/>
  <c r="G457" i="3"/>
  <c r="K457" i="3"/>
  <c r="AE457" i="3" s="1"/>
  <c r="I457" i="3" l="1"/>
  <c r="J457" i="3"/>
  <c r="AD457" i="3" s="1"/>
  <c r="M457" i="3"/>
  <c r="N457" i="3" s="1"/>
  <c r="V457" i="3"/>
  <c r="A458" i="3"/>
  <c r="B458" i="3" s="1"/>
  <c r="L457" i="3" l="1"/>
  <c r="W457" i="3"/>
  <c r="P458" i="3"/>
  <c r="Q458" i="3" s="1"/>
  <c r="R458" i="3" s="1"/>
  <c r="S458" i="3" s="1"/>
  <c r="AC458" i="3"/>
  <c r="Z458" i="3"/>
  <c r="AA458" i="3"/>
  <c r="U457" i="3" l="1"/>
  <c r="Y456" i="3"/>
  <c r="T458" i="3"/>
  <c r="AH458" i="3" s="1"/>
  <c r="AG458" i="3" l="1"/>
  <c r="E458" i="3"/>
  <c r="H458" i="3" s="1"/>
  <c r="D458" i="3"/>
  <c r="K458" i="3" l="1"/>
  <c r="AE458" i="3" s="1"/>
  <c r="F458" i="3"/>
  <c r="G458" i="3"/>
  <c r="V458" i="3" l="1"/>
  <c r="A459" i="3"/>
  <c r="B459" i="3" s="1"/>
  <c r="I458" i="3"/>
  <c r="J458" i="3"/>
  <c r="AD458" i="3" s="1"/>
  <c r="M458" i="3"/>
  <c r="N458" i="3" s="1"/>
  <c r="W458" i="3" l="1"/>
  <c r="L458" i="3"/>
  <c r="Z459" i="3"/>
  <c r="P459" i="3"/>
  <c r="Q459" i="3" s="1"/>
  <c r="R459" i="3" s="1"/>
  <c r="S459" i="3" s="1"/>
  <c r="AA459" i="3"/>
  <c r="AD459" i="3"/>
  <c r="AC459" i="3"/>
  <c r="T459" i="3" l="1"/>
  <c r="AH459" i="3" s="1"/>
  <c r="U458" i="3"/>
  <c r="Y457" i="3"/>
  <c r="AG459" i="3" l="1"/>
  <c r="D459" i="3"/>
  <c r="E459" i="3"/>
  <c r="H459" i="3" s="1"/>
  <c r="K459" i="3" l="1"/>
  <c r="AE459" i="3" s="1"/>
  <c r="F459" i="3"/>
  <c r="G459" i="3"/>
  <c r="I459" i="3" l="1"/>
  <c r="J459" i="3"/>
  <c r="M459" i="3"/>
  <c r="N459" i="3" s="1"/>
  <c r="V459" i="3"/>
  <c r="A460" i="3"/>
  <c r="B460" i="3" s="1"/>
  <c r="W459" i="3" l="1"/>
  <c r="L459" i="3"/>
  <c r="P460" i="3"/>
  <c r="Q460" i="3" s="1"/>
  <c r="R460" i="3" s="1"/>
  <c r="S460" i="3" s="1"/>
  <c r="AD460" i="3"/>
  <c r="Z460" i="3"/>
  <c r="AA460" i="3"/>
  <c r="AC460" i="3"/>
  <c r="U459" i="3" l="1"/>
  <c r="Y458" i="3"/>
  <c r="T460" i="3"/>
  <c r="D460" i="3" l="1"/>
  <c r="G460" i="3" s="1"/>
  <c r="AH460" i="3"/>
  <c r="E460" i="3"/>
  <c r="H460" i="3" s="1"/>
  <c r="AG460" i="3"/>
  <c r="F460" i="3" l="1"/>
  <c r="I460" i="3"/>
  <c r="J460" i="3"/>
  <c r="M460" i="3"/>
  <c r="N460" i="3" s="1"/>
  <c r="K460" i="3"/>
  <c r="AE460" i="3" s="1"/>
  <c r="V460" i="3" l="1"/>
  <c r="W460" i="3" s="1"/>
  <c r="A461" i="3"/>
  <c r="B461" i="3" s="1"/>
  <c r="L460" i="3"/>
  <c r="U460" i="3" l="1"/>
  <c r="Y459" i="3"/>
  <c r="AC461" i="3"/>
  <c r="Z461" i="3"/>
  <c r="P461" i="3"/>
  <c r="Q461" i="3" s="1"/>
  <c r="R461" i="3" s="1"/>
  <c r="S461" i="3" s="1"/>
  <c r="AA461" i="3"/>
  <c r="AD461" i="3"/>
  <c r="T461" i="3" l="1"/>
  <c r="D461" i="3" s="1"/>
  <c r="AG461" i="3" l="1"/>
  <c r="G461" i="3"/>
  <c r="AH461" i="3"/>
  <c r="E461" i="3"/>
  <c r="H461" i="3" s="1"/>
  <c r="F461" i="3" l="1"/>
  <c r="I461" i="3"/>
  <c r="J461" i="3"/>
  <c r="M461" i="3"/>
  <c r="N461" i="3" s="1"/>
  <c r="K461" i="3"/>
  <c r="AE461" i="3" s="1"/>
  <c r="V461" i="3" l="1"/>
  <c r="W461" i="3" s="1"/>
  <c r="A462" i="3"/>
  <c r="B462" i="3" s="1"/>
  <c r="L461" i="3"/>
  <c r="U461" i="3" l="1"/>
  <c r="Y460" i="3"/>
  <c r="Z462" i="3"/>
  <c r="P462" i="3"/>
  <c r="Q462" i="3" s="1"/>
  <c r="R462" i="3" s="1"/>
  <c r="S462" i="3" s="1"/>
  <c r="AD462" i="3"/>
  <c r="AA462" i="3"/>
  <c r="AC462" i="3"/>
  <c r="T462" i="3" l="1"/>
  <c r="E462" i="3" s="1"/>
  <c r="H462" i="3" s="1"/>
  <c r="AG462" i="3" l="1"/>
  <c r="AH462" i="3"/>
  <c r="D462" i="3"/>
  <c r="G462" i="3" s="1"/>
  <c r="K462" i="3"/>
  <c r="AE462" i="3" s="1"/>
  <c r="F462" i="3" l="1"/>
  <c r="V462" i="3"/>
  <c r="A463" i="3"/>
  <c r="B463" i="3" s="1"/>
  <c r="I462" i="3"/>
  <c r="J462" i="3"/>
  <c r="M462" i="3"/>
  <c r="N462" i="3" s="1"/>
  <c r="W462" i="3" l="1"/>
  <c r="L462" i="3"/>
  <c r="P463" i="3"/>
  <c r="Q463" i="3" s="1"/>
  <c r="R463" i="3" s="1"/>
  <c r="S463" i="3" s="1"/>
  <c r="AC463" i="3"/>
  <c r="Z463" i="3"/>
  <c r="AA463" i="3"/>
  <c r="AD463" i="3"/>
  <c r="U462" i="3" l="1"/>
  <c r="Y461" i="3"/>
  <c r="T463" i="3"/>
  <c r="AH463" i="3" s="1"/>
  <c r="AG463" i="3" l="1"/>
  <c r="D463" i="3"/>
  <c r="E463" i="3"/>
  <c r="H463" i="3" s="1"/>
  <c r="F463" i="3" l="1"/>
  <c r="G463" i="3"/>
  <c r="K463" i="3"/>
  <c r="AE463" i="3" s="1"/>
  <c r="V463" i="3" l="1"/>
  <c r="A464" i="3"/>
  <c r="B464" i="3" s="1"/>
  <c r="I463" i="3"/>
  <c r="J463" i="3"/>
  <c r="M463" i="3"/>
  <c r="N463" i="3" s="1"/>
  <c r="W463" i="3" l="1"/>
  <c r="L463" i="3"/>
  <c r="Z464" i="3"/>
  <c r="AC464" i="3"/>
  <c r="P464" i="3"/>
  <c r="Q464" i="3" s="1"/>
  <c r="R464" i="3" s="1"/>
  <c r="S464" i="3" s="1"/>
  <c r="AA464" i="3"/>
  <c r="T464" i="3" l="1"/>
  <c r="AG464" i="3" s="1"/>
  <c r="U463" i="3"/>
  <c r="Y462" i="3"/>
  <c r="AH464" i="3" l="1"/>
  <c r="D464" i="3"/>
  <c r="E464" i="3"/>
  <c r="H464" i="3" s="1"/>
  <c r="K464" i="3" l="1"/>
  <c r="AE464" i="3" s="1"/>
  <c r="F464" i="3"/>
  <c r="G464" i="3"/>
  <c r="I464" i="3" l="1"/>
  <c r="J464" i="3"/>
  <c r="AD464" i="3" s="1"/>
  <c r="M464" i="3"/>
  <c r="N464" i="3" s="1"/>
  <c r="V464" i="3"/>
  <c r="A465" i="3"/>
  <c r="B465" i="3" s="1"/>
  <c r="W464" i="3" l="1"/>
  <c r="L464" i="3"/>
  <c r="Z465" i="3"/>
  <c r="P465" i="3"/>
  <c r="Q465" i="3" s="1"/>
  <c r="R465" i="3" s="1"/>
  <c r="S465" i="3" s="1"/>
  <c r="AC465" i="3"/>
  <c r="AA465" i="3"/>
  <c r="T465" i="3" l="1"/>
  <c r="AH465" i="3" s="1"/>
  <c r="U464" i="3"/>
  <c r="Y463" i="3"/>
  <c r="D465" i="3" l="1"/>
  <c r="G465" i="3" s="1"/>
  <c r="E465" i="3"/>
  <c r="H465" i="3" s="1"/>
  <c r="AG465" i="3"/>
  <c r="F465" i="3" l="1"/>
  <c r="I465" i="3"/>
  <c r="J465" i="3"/>
  <c r="AD465" i="3" s="1"/>
  <c r="M465" i="3"/>
  <c r="N465" i="3" s="1"/>
  <c r="K465" i="3"/>
  <c r="AE465" i="3" s="1"/>
  <c r="V465" i="3" l="1"/>
  <c r="W465" i="3" s="1"/>
  <c r="A466" i="3"/>
  <c r="B466" i="3" s="1"/>
  <c r="L465" i="3"/>
  <c r="U465" i="3" l="1"/>
  <c r="Y464" i="3"/>
  <c r="AA466" i="3"/>
  <c r="AC466" i="3"/>
  <c r="Z466" i="3"/>
  <c r="P466" i="3"/>
  <c r="Q466" i="3" s="1"/>
  <c r="R466" i="3" s="1"/>
  <c r="S466" i="3" s="1"/>
  <c r="T466" i="3" l="1"/>
  <c r="AH466" i="3" s="1"/>
  <c r="AG466" i="3" l="1"/>
  <c r="E466" i="3"/>
  <c r="H466" i="3" s="1"/>
  <c r="K466" i="3" s="1"/>
  <c r="AE466" i="3" s="1"/>
  <c r="D466" i="3"/>
  <c r="G466" i="3" s="1"/>
  <c r="F466" i="3" l="1"/>
  <c r="I466" i="3"/>
  <c r="J466" i="3"/>
  <c r="AD466" i="3" s="1"/>
  <c r="M466" i="3"/>
  <c r="N466" i="3" s="1"/>
  <c r="V466" i="3"/>
  <c r="A467" i="3"/>
  <c r="B467" i="3" s="1"/>
  <c r="W466" i="3" l="1"/>
  <c r="L466" i="3"/>
  <c r="P467" i="3"/>
  <c r="Q467" i="3" s="1"/>
  <c r="R467" i="3" s="1"/>
  <c r="S467" i="3" s="1"/>
  <c r="AA467" i="3"/>
  <c r="Z467" i="3"/>
  <c r="AC467" i="3"/>
  <c r="U466" i="3" l="1"/>
  <c r="Y465" i="3"/>
  <c r="T467" i="3"/>
  <c r="E467" i="3" l="1"/>
  <c r="H467" i="3" s="1"/>
  <c r="K467" i="3" s="1"/>
  <c r="AE467" i="3" s="1"/>
  <c r="AG467" i="3"/>
  <c r="D467" i="3"/>
  <c r="AH467" i="3"/>
  <c r="F467" i="3" l="1"/>
  <c r="G467" i="3"/>
  <c r="V467" i="3"/>
  <c r="A468" i="3"/>
  <c r="B468" i="3" s="1"/>
  <c r="AC468" i="3" l="1"/>
  <c r="Z468" i="3"/>
  <c r="P468" i="3"/>
  <c r="Q468" i="3" s="1"/>
  <c r="R468" i="3" s="1"/>
  <c r="S468" i="3" s="1"/>
  <c r="AA468" i="3"/>
  <c r="I467" i="3"/>
  <c r="W467" i="3" s="1"/>
  <c r="J467" i="3"/>
  <c r="AD467" i="3" s="1"/>
  <c r="M467" i="3"/>
  <c r="N467" i="3" s="1"/>
  <c r="L467" i="3" l="1"/>
  <c r="T468" i="3"/>
  <c r="U467" i="3" l="1"/>
  <c r="D468" i="3" s="1"/>
  <c r="AH468" i="3"/>
  <c r="AG468" i="3"/>
  <c r="Y466" i="3"/>
  <c r="E468" i="3" l="1"/>
  <c r="H468" i="3" s="1"/>
  <c r="K468" i="3" s="1"/>
  <c r="AE468" i="3" s="1"/>
  <c r="G468" i="3"/>
  <c r="F468" i="3" l="1"/>
  <c r="I468" i="3"/>
  <c r="J468" i="3"/>
  <c r="AD468" i="3" s="1"/>
  <c r="M468" i="3"/>
  <c r="N468" i="3" s="1"/>
  <c r="V468" i="3"/>
  <c r="A469" i="3"/>
  <c r="B469" i="3" s="1"/>
  <c r="W468" i="3" l="1"/>
  <c r="L468" i="3"/>
  <c r="AA469" i="3"/>
  <c r="P469" i="3"/>
  <c r="Q469" i="3" s="1"/>
  <c r="R469" i="3" s="1"/>
  <c r="S469" i="3" s="1"/>
  <c r="Z469" i="3"/>
  <c r="AC469" i="3"/>
  <c r="U468" i="3" l="1"/>
  <c r="Y467" i="3"/>
  <c r="T469" i="3"/>
  <c r="AG469" i="3" s="1"/>
  <c r="D469" i="3" l="1"/>
  <c r="G469" i="3" s="1"/>
  <c r="AH469" i="3"/>
  <c r="E469" i="3"/>
  <c r="H469" i="3" s="1"/>
  <c r="K469" i="3" s="1"/>
  <c r="AE469" i="3" s="1"/>
  <c r="F469" i="3" l="1"/>
  <c r="I469" i="3"/>
  <c r="J469" i="3"/>
  <c r="AD469" i="3" s="1"/>
  <c r="M469" i="3"/>
  <c r="N469" i="3" s="1"/>
  <c r="V469" i="3"/>
  <c r="A470" i="3"/>
  <c r="B470" i="3" s="1"/>
  <c r="W469" i="3" l="1"/>
  <c r="L469" i="3"/>
  <c r="AC470" i="3"/>
  <c r="P470" i="3"/>
  <c r="Q470" i="3" s="1"/>
  <c r="R470" i="3" s="1"/>
  <c r="S470" i="3" s="1"/>
  <c r="AA470" i="3"/>
  <c r="Z470" i="3"/>
  <c r="U469" i="3" l="1"/>
  <c r="Y468" i="3"/>
  <c r="T470" i="3"/>
  <c r="D470" i="3" l="1"/>
  <c r="G470" i="3" s="1"/>
  <c r="AH470" i="3"/>
  <c r="AG470" i="3"/>
  <c r="E470" i="3"/>
  <c r="H470" i="3" s="1"/>
  <c r="K470" i="3" l="1"/>
  <c r="AE470" i="3" s="1"/>
  <c r="F470" i="3"/>
  <c r="I470" i="3"/>
  <c r="J470" i="3"/>
  <c r="AD470" i="3" s="1"/>
  <c r="M470" i="3"/>
  <c r="N470" i="3" s="1"/>
  <c r="V470" i="3" l="1"/>
  <c r="W470" i="3" s="1"/>
  <c r="A471" i="3"/>
  <c r="B471" i="3" s="1"/>
  <c r="L470" i="3"/>
  <c r="U470" i="3" l="1"/>
  <c r="Y469" i="3"/>
  <c r="Z471" i="3"/>
  <c r="AA471" i="3"/>
  <c r="AC471" i="3"/>
  <c r="P471" i="3"/>
  <c r="Q471" i="3" s="1"/>
  <c r="R471" i="3" s="1"/>
  <c r="S471" i="3" s="1"/>
  <c r="T471" i="3" l="1"/>
  <c r="AH471" i="3" s="1"/>
  <c r="AG471" i="3" l="1"/>
  <c r="E471" i="3"/>
  <c r="H471" i="3" s="1"/>
  <c r="D471" i="3"/>
  <c r="F471" i="3" l="1"/>
  <c r="G471" i="3"/>
  <c r="K471" i="3"/>
  <c r="AE471" i="3" s="1"/>
  <c r="V471" i="3" l="1"/>
  <c r="A472" i="3"/>
  <c r="B472" i="3" s="1"/>
  <c r="I471" i="3"/>
  <c r="J471" i="3"/>
  <c r="AD471" i="3" s="1"/>
  <c r="M471" i="3"/>
  <c r="N471" i="3" s="1"/>
  <c r="W471" i="3" l="1"/>
  <c r="L471" i="3"/>
  <c r="Z472" i="3"/>
  <c r="AA472" i="3"/>
  <c r="P472" i="3"/>
  <c r="Q472" i="3" s="1"/>
  <c r="R472" i="3" s="1"/>
  <c r="S472" i="3" s="1"/>
  <c r="AC472" i="3"/>
  <c r="U471" i="3" l="1"/>
  <c r="Y470" i="3"/>
  <c r="T472" i="3"/>
  <c r="E472" i="3" l="1"/>
  <c r="H472" i="3" s="1"/>
  <c r="K472" i="3" s="1"/>
  <c r="AE472" i="3" s="1"/>
  <c r="AG472" i="3"/>
  <c r="AH472" i="3"/>
  <c r="D472" i="3"/>
  <c r="V472" i="3" l="1"/>
  <c r="A473" i="3"/>
  <c r="B473" i="3" s="1"/>
  <c r="F472" i="3"/>
  <c r="G472" i="3"/>
  <c r="I472" i="3" l="1"/>
  <c r="W472" i="3" s="1"/>
  <c r="J472" i="3"/>
  <c r="AD472" i="3" s="1"/>
  <c r="M472" i="3"/>
  <c r="N472" i="3" s="1"/>
  <c r="AC473" i="3"/>
  <c r="P473" i="3"/>
  <c r="Q473" i="3" s="1"/>
  <c r="R473" i="3" s="1"/>
  <c r="S473" i="3" s="1"/>
  <c r="Z473" i="3"/>
  <c r="AA473" i="3"/>
  <c r="L472" i="3" l="1"/>
  <c r="T473" i="3"/>
  <c r="U472" i="3" l="1"/>
  <c r="D473" i="3" s="1"/>
  <c r="AH473" i="3"/>
  <c r="AG473" i="3"/>
  <c r="Y471" i="3"/>
  <c r="G473" i="3" l="1"/>
  <c r="E473" i="3"/>
  <c r="H473" i="3" s="1"/>
  <c r="F473" i="3" l="1"/>
  <c r="I473" i="3"/>
  <c r="J473" i="3"/>
  <c r="AD473" i="3" s="1"/>
  <c r="M473" i="3"/>
  <c r="N473" i="3" s="1"/>
  <c r="K473" i="3"/>
  <c r="AE473" i="3" s="1"/>
  <c r="V473" i="3" l="1"/>
  <c r="W473" i="3" s="1"/>
  <c r="A474" i="3"/>
  <c r="B474" i="3" s="1"/>
  <c r="L473" i="3"/>
  <c r="U473" i="3" l="1"/>
  <c r="Y472" i="3"/>
  <c r="P474" i="3"/>
  <c r="Q474" i="3" s="1"/>
  <c r="R474" i="3" s="1"/>
  <c r="S474" i="3" s="1"/>
  <c r="Z474" i="3"/>
  <c r="AA474" i="3"/>
  <c r="AC474" i="3"/>
  <c r="T474" i="3" l="1"/>
  <c r="D474" i="3" s="1"/>
  <c r="AG474" i="3" l="1"/>
  <c r="AH474" i="3"/>
  <c r="G474" i="3"/>
  <c r="E474" i="3"/>
  <c r="H474" i="3" s="1"/>
  <c r="I474" i="3" l="1"/>
  <c r="J474" i="3"/>
  <c r="AD474" i="3" s="1"/>
  <c r="M474" i="3"/>
  <c r="N474" i="3" s="1"/>
  <c r="F474" i="3"/>
  <c r="K474" i="3"/>
  <c r="AE474" i="3" s="1"/>
  <c r="V474" i="3" l="1"/>
  <c r="W474" i="3" s="1"/>
  <c r="A475" i="3"/>
  <c r="B475" i="3" s="1"/>
  <c r="L474" i="3"/>
  <c r="U474" i="3" l="1"/>
  <c r="Y473" i="3"/>
  <c r="AC475" i="3"/>
  <c r="Z475" i="3"/>
  <c r="P475" i="3"/>
  <c r="Q475" i="3" s="1"/>
  <c r="R475" i="3" s="1"/>
  <c r="S475" i="3" s="1"/>
  <c r="AD475" i="3"/>
  <c r="AA475" i="3"/>
  <c r="T475" i="3" l="1"/>
  <c r="AG475" i="3" s="1"/>
  <c r="AH475" i="3" l="1"/>
  <c r="E475" i="3"/>
  <c r="H475" i="3" s="1"/>
  <c r="K475" i="3" s="1"/>
  <c r="AE475" i="3" s="1"/>
  <c r="D475" i="3"/>
  <c r="F475" i="3" l="1"/>
  <c r="G475" i="3"/>
  <c r="M475" i="3" s="1"/>
  <c r="N475" i="3" s="1"/>
  <c r="V475" i="3"/>
  <c r="A476" i="3"/>
  <c r="B476" i="3" s="1"/>
  <c r="I475" i="3" l="1"/>
  <c r="W475" i="3" s="1"/>
  <c r="J475" i="3"/>
  <c r="L475" i="3" s="1"/>
  <c r="P476" i="3"/>
  <c r="Q476" i="3" s="1"/>
  <c r="R476" i="3" s="1"/>
  <c r="S476" i="3" s="1"/>
  <c r="AA476" i="3"/>
  <c r="AD476" i="3"/>
  <c r="Z476" i="3"/>
  <c r="AC476" i="3"/>
  <c r="U475" i="3" l="1"/>
  <c r="Y474" i="3"/>
  <c r="T476" i="3"/>
  <c r="AG476" i="3" s="1"/>
  <c r="D476" i="3" l="1"/>
  <c r="G476" i="3" s="1"/>
  <c r="E476" i="3"/>
  <c r="H476" i="3" s="1"/>
  <c r="K476" i="3" s="1"/>
  <c r="AE476" i="3" s="1"/>
  <c r="AH476" i="3"/>
  <c r="F476" i="3" l="1"/>
  <c r="V476" i="3"/>
  <c r="A477" i="3"/>
  <c r="B477" i="3" s="1"/>
  <c r="I476" i="3"/>
  <c r="J476" i="3"/>
  <c r="M476" i="3"/>
  <c r="N476" i="3" s="1"/>
  <c r="W476" i="3" l="1"/>
  <c r="L476" i="3"/>
  <c r="AA477" i="3"/>
  <c r="P477" i="3"/>
  <c r="Q477" i="3" s="1"/>
  <c r="R477" i="3" s="1"/>
  <c r="S477" i="3" s="1"/>
  <c r="AC477" i="3"/>
  <c r="Z477" i="3"/>
  <c r="U476" i="3" l="1"/>
  <c r="Y475" i="3"/>
  <c r="T477" i="3"/>
  <c r="D477" i="3" l="1"/>
  <c r="G477" i="3" s="1"/>
  <c r="AG477" i="3"/>
  <c r="E477" i="3"/>
  <c r="H477" i="3" s="1"/>
  <c r="K477" i="3" s="1"/>
  <c r="AE477" i="3" s="1"/>
  <c r="AH477" i="3"/>
  <c r="F477" i="3" l="1"/>
  <c r="V477" i="3"/>
  <c r="A478" i="3"/>
  <c r="B478" i="3" s="1"/>
  <c r="I477" i="3"/>
  <c r="J477" i="3"/>
  <c r="AD477" i="3" s="1"/>
  <c r="M477" i="3"/>
  <c r="N477" i="3" s="1"/>
  <c r="W477" i="3" l="1"/>
  <c r="L477" i="3"/>
  <c r="AA478" i="3"/>
  <c r="P478" i="3"/>
  <c r="Q478" i="3" s="1"/>
  <c r="R478" i="3" s="1"/>
  <c r="S478" i="3" s="1"/>
  <c r="AC478" i="3"/>
  <c r="Z478" i="3"/>
  <c r="T478" i="3" l="1"/>
  <c r="U477" i="3"/>
  <c r="Y476" i="3"/>
  <c r="E478" i="3" l="1"/>
  <c r="H478" i="3" s="1"/>
  <c r="K478" i="3" s="1"/>
  <c r="AE478" i="3" s="1"/>
  <c r="AG478" i="3"/>
  <c r="AH478" i="3"/>
  <c r="D478" i="3"/>
  <c r="F478" i="3" l="1"/>
  <c r="G478" i="3"/>
  <c r="V478" i="3"/>
  <c r="A479" i="3"/>
  <c r="B479" i="3" s="1"/>
  <c r="I478" i="3" l="1"/>
  <c r="W478" i="3" s="1"/>
  <c r="J478" i="3"/>
  <c r="AD478" i="3" s="1"/>
  <c r="M478" i="3"/>
  <c r="N478" i="3" s="1"/>
  <c r="P479" i="3"/>
  <c r="Q479" i="3" s="1"/>
  <c r="R479" i="3" s="1"/>
  <c r="S479" i="3" s="1"/>
  <c r="AD479" i="3"/>
  <c r="AC479" i="3"/>
  <c r="AA479" i="3"/>
  <c r="Z479" i="3"/>
  <c r="T479" i="3" l="1"/>
  <c r="L478" i="3"/>
  <c r="U478" i="3" l="1"/>
  <c r="E479" i="3" s="1"/>
  <c r="H479" i="3" s="1"/>
  <c r="AH479" i="3"/>
  <c r="AG479" i="3"/>
  <c r="Y477" i="3"/>
  <c r="D479" i="3" l="1"/>
  <c r="G479" i="3" s="1"/>
  <c r="K479" i="3"/>
  <c r="AE479" i="3" s="1"/>
  <c r="F479" i="3" l="1"/>
  <c r="I479" i="3"/>
  <c r="J479" i="3"/>
  <c r="M479" i="3"/>
  <c r="N479" i="3" s="1"/>
  <c r="V479" i="3"/>
  <c r="A480" i="3"/>
  <c r="B480" i="3" s="1"/>
  <c r="W479" i="3" l="1"/>
  <c r="AA480" i="3"/>
  <c r="P480" i="3"/>
  <c r="Q480" i="3" s="1"/>
  <c r="R480" i="3" s="1"/>
  <c r="S480" i="3" s="1"/>
  <c r="AD480" i="3"/>
  <c r="AC480" i="3"/>
  <c r="Z480" i="3"/>
  <c r="L479" i="3"/>
  <c r="U479" i="3" l="1"/>
  <c r="Y478" i="3"/>
  <c r="T480" i="3"/>
  <c r="E480" i="3" l="1"/>
  <c r="H480" i="3" s="1"/>
  <c r="K480" i="3" s="1"/>
  <c r="AE480" i="3" s="1"/>
  <c r="AH480" i="3"/>
  <c r="AG480" i="3"/>
  <c r="D480" i="3"/>
  <c r="V480" i="3" l="1"/>
  <c r="A481" i="3"/>
  <c r="B481" i="3" s="1"/>
  <c r="F480" i="3"/>
  <c r="G480" i="3"/>
  <c r="I480" i="3" l="1"/>
  <c r="W480" i="3" s="1"/>
  <c r="J480" i="3"/>
  <c r="M480" i="3"/>
  <c r="N480" i="3" s="1"/>
  <c r="P481" i="3"/>
  <c r="Q481" i="3" s="1"/>
  <c r="R481" i="3" s="1"/>
  <c r="S481" i="3" s="1"/>
  <c r="AC481" i="3"/>
  <c r="AA481" i="3"/>
  <c r="AD481" i="3"/>
  <c r="Z481" i="3"/>
  <c r="T481" i="3" l="1"/>
  <c r="L480" i="3"/>
  <c r="U480" i="3" l="1"/>
  <c r="D481" i="3" s="1"/>
  <c r="AG481" i="3"/>
  <c r="AH481" i="3"/>
  <c r="Y479" i="3"/>
  <c r="G481" i="3" l="1"/>
  <c r="E481" i="3"/>
  <c r="H481" i="3" s="1"/>
  <c r="K481" i="3" l="1"/>
  <c r="AE481" i="3" s="1"/>
  <c r="I481" i="3"/>
  <c r="J481" i="3"/>
  <c r="M481" i="3"/>
  <c r="N481" i="3" s="1"/>
  <c r="F481" i="3"/>
  <c r="V481" i="3" l="1"/>
  <c r="W481" i="3" s="1"/>
  <c r="A482" i="3"/>
  <c r="B482" i="3" s="1"/>
  <c r="L481" i="3"/>
  <c r="U481" i="3" l="1"/>
  <c r="Y480" i="3"/>
  <c r="AC482" i="3"/>
  <c r="AA482" i="3"/>
  <c r="P482" i="3"/>
  <c r="Q482" i="3" s="1"/>
  <c r="R482" i="3" s="1"/>
  <c r="S482" i="3" s="1"/>
  <c r="AD482" i="3"/>
  <c r="Z482" i="3"/>
  <c r="T482" i="3" l="1"/>
  <c r="D482" i="3" s="1"/>
  <c r="AG482" i="3" l="1"/>
  <c r="G482" i="3"/>
  <c r="AH482" i="3"/>
  <c r="E482" i="3"/>
  <c r="H482" i="3" s="1"/>
  <c r="F482" i="3" l="1"/>
  <c r="I482" i="3"/>
  <c r="J482" i="3"/>
  <c r="M482" i="3"/>
  <c r="N482" i="3" s="1"/>
  <c r="K482" i="3"/>
  <c r="AE482" i="3" s="1"/>
  <c r="V482" i="3" l="1"/>
  <c r="W482" i="3" s="1"/>
  <c r="A483" i="3"/>
  <c r="B483" i="3" s="1"/>
  <c r="L482" i="3"/>
  <c r="U482" i="3" l="1"/>
  <c r="Y481" i="3"/>
  <c r="P483" i="3"/>
  <c r="Q483" i="3" s="1"/>
  <c r="R483" i="3" s="1"/>
  <c r="S483" i="3" s="1"/>
  <c r="Z483" i="3"/>
  <c r="AC483" i="3"/>
  <c r="AD483" i="3"/>
  <c r="AA483" i="3"/>
  <c r="T483" i="3" l="1"/>
  <c r="E483" i="3" s="1"/>
  <c r="H483" i="3" s="1"/>
  <c r="AG483" i="3" l="1"/>
  <c r="AH483" i="3"/>
  <c r="D483" i="3"/>
  <c r="G483" i="3" s="1"/>
  <c r="K483" i="3"/>
  <c r="AE483" i="3" s="1"/>
  <c r="F483" i="3" l="1"/>
  <c r="I483" i="3"/>
  <c r="J483" i="3"/>
  <c r="M483" i="3"/>
  <c r="N483" i="3" s="1"/>
  <c r="V483" i="3"/>
  <c r="A484" i="3"/>
  <c r="B484" i="3" s="1"/>
  <c r="W483" i="3" l="1"/>
  <c r="L483" i="3"/>
  <c r="AC484" i="3"/>
  <c r="Z484" i="3"/>
  <c r="AA484" i="3"/>
  <c r="P484" i="3"/>
  <c r="Q484" i="3" s="1"/>
  <c r="R484" i="3" s="1"/>
  <c r="S484" i="3" s="1"/>
  <c r="T484" i="3" l="1"/>
  <c r="U483" i="3"/>
  <c r="Y482" i="3"/>
  <c r="E484" i="3" l="1"/>
  <c r="H484" i="3" s="1"/>
  <c r="K484" i="3" s="1"/>
  <c r="AE484" i="3" s="1"/>
  <c r="D484" i="3"/>
  <c r="G484" i="3" s="1"/>
  <c r="AG484" i="3"/>
  <c r="AH484" i="3"/>
  <c r="F484" i="3" l="1"/>
  <c r="V484" i="3"/>
  <c r="A485" i="3"/>
  <c r="B485" i="3" s="1"/>
  <c r="I484" i="3"/>
  <c r="J484" i="3"/>
  <c r="AD484" i="3" s="1"/>
  <c r="M484" i="3"/>
  <c r="N484" i="3" s="1"/>
  <c r="W484" i="3" l="1"/>
  <c r="L484" i="3"/>
  <c r="P485" i="3"/>
  <c r="Q485" i="3" s="1"/>
  <c r="R485" i="3" s="1"/>
  <c r="S485" i="3" s="1"/>
  <c r="AD485" i="3"/>
  <c r="AA485" i="3"/>
  <c r="AC485" i="3"/>
  <c r="Z485" i="3"/>
  <c r="U484" i="3" l="1"/>
  <c r="Y483" i="3"/>
  <c r="T485" i="3"/>
  <c r="D485" i="3" l="1"/>
  <c r="G485" i="3" s="1"/>
  <c r="AG485" i="3"/>
  <c r="AH485" i="3"/>
  <c r="E485" i="3"/>
  <c r="H485" i="3" s="1"/>
  <c r="K485" i="3" s="1"/>
  <c r="AE485" i="3" s="1"/>
  <c r="F485" i="3" l="1"/>
  <c r="I485" i="3"/>
  <c r="J485" i="3"/>
  <c r="M485" i="3"/>
  <c r="N485" i="3" s="1"/>
  <c r="V485" i="3"/>
  <c r="A486" i="3"/>
  <c r="B486" i="3" s="1"/>
  <c r="W485" i="3" l="1"/>
  <c r="L485" i="3"/>
  <c r="AA486" i="3"/>
  <c r="P486" i="3"/>
  <c r="Q486" i="3" s="1"/>
  <c r="R486" i="3" s="1"/>
  <c r="S486" i="3" s="1"/>
  <c r="AC486" i="3"/>
  <c r="AD486" i="3"/>
  <c r="Z486" i="3"/>
  <c r="T486" i="3" l="1"/>
  <c r="AH486" i="3" s="1"/>
  <c r="U485" i="3"/>
  <c r="Y484" i="3"/>
  <c r="D486" i="3" l="1"/>
  <c r="G486" i="3" s="1"/>
  <c r="AG486" i="3"/>
  <c r="E486" i="3"/>
  <c r="H486" i="3" s="1"/>
  <c r="K486" i="3" s="1"/>
  <c r="AE486" i="3" s="1"/>
  <c r="F486" i="3" l="1"/>
  <c r="V486" i="3"/>
  <c r="A487" i="3"/>
  <c r="B487" i="3" s="1"/>
  <c r="I486" i="3"/>
  <c r="J486" i="3"/>
  <c r="M486" i="3"/>
  <c r="N486" i="3" s="1"/>
  <c r="W486" i="3" l="1"/>
  <c r="L486" i="3"/>
  <c r="AA487" i="3"/>
  <c r="P487" i="3"/>
  <c r="Q487" i="3" s="1"/>
  <c r="R487" i="3" s="1"/>
  <c r="S487" i="3" s="1"/>
  <c r="AC487" i="3"/>
  <c r="Z487" i="3"/>
  <c r="T487" i="3" l="1"/>
  <c r="U486" i="3"/>
  <c r="Y485" i="3"/>
  <c r="E487" i="3" l="1"/>
  <c r="H487" i="3" s="1"/>
  <c r="K487" i="3" s="1"/>
  <c r="AE487" i="3" s="1"/>
  <c r="D487" i="3"/>
  <c r="AH487" i="3"/>
  <c r="AG487" i="3"/>
  <c r="V487" i="3" l="1"/>
  <c r="A488" i="3"/>
  <c r="B488" i="3" s="1"/>
  <c r="F487" i="3"/>
  <c r="G487" i="3"/>
  <c r="I487" i="3" l="1"/>
  <c r="W487" i="3" s="1"/>
  <c r="J487" i="3"/>
  <c r="AD487" i="3" s="1"/>
  <c r="M487" i="3"/>
  <c r="N487" i="3" s="1"/>
  <c r="AA488" i="3"/>
  <c r="Z488" i="3"/>
  <c r="P488" i="3"/>
  <c r="Q488" i="3" s="1"/>
  <c r="R488" i="3" s="1"/>
  <c r="S488" i="3" s="1"/>
  <c r="AC488" i="3"/>
  <c r="L487" i="3" l="1"/>
  <c r="T488" i="3"/>
  <c r="U487" i="3" l="1"/>
  <c r="D488" i="3" s="1"/>
  <c r="AG488" i="3"/>
  <c r="AH488" i="3"/>
  <c r="Y486" i="3"/>
  <c r="E488" i="3" l="1"/>
  <c r="H488" i="3" s="1"/>
  <c r="K488" i="3" s="1"/>
  <c r="AE488" i="3" s="1"/>
  <c r="G488" i="3"/>
  <c r="F488" i="3" l="1"/>
  <c r="I488" i="3"/>
  <c r="J488" i="3"/>
  <c r="AD488" i="3" s="1"/>
  <c r="M488" i="3"/>
  <c r="N488" i="3" s="1"/>
  <c r="V488" i="3"/>
  <c r="A489" i="3"/>
  <c r="B489" i="3" s="1"/>
  <c r="W488" i="3" l="1"/>
  <c r="L488" i="3"/>
  <c r="P489" i="3"/>
  <c r="Q489" i="3" s="1"/>
  <c r="R489" i="3" s="1"/>
  <c r="S489" i="3" s="1"/>
  <c r="AC489" i="3"/>
  <c r="AA489" i="3"/>
  <c r="AD489" i="3"/>
  <c r="Z489" i="3"/>
  <c r="U488" i="3" l="1"/>
  <c r="Y487" i="3"/>
  <c r="T489" i="3"/>
  <c r="AH489" i="3" s="1"/>
  <c r="AG489" i="3" l="1"/>
  <c r="D489" i="3"/>
  <c r="E489" i="3"/>
  <c r="H489" i="3" s="1"/>
  <c r="K489" i="3" s="1"/>
  <c r="AE489" i="3" s="1"/>
  <c r="F489" i="3" l="1"/>
  <c r="G489" i="3"/>
  <c r="M489" i="3" s="1"/>
  <c r="N489" i="3" s="1"/>
  <c r="V489" i="3"/>
  <c r="A490" i="3"/>
  <c r="B490" i="3" s="1"/>
  <c r="I489" i="3" l="1"/>
  <c r="W489" i="3" s="1"/>
  <c r="J489" i="3"/>
  <c r="L489" i="3" s="1"/>
  <c r="Z490" i="3"/>
  <c r="AC490" i="3"/>
  <c r="P490" i="3"/>
  <c r="Q490" i="3" s="1"/>
  <c r="R490" i="3" s="1"/>
  <c r="S490" i="3" s="1"/>
  <c r="AD490" i="3"/>
  <c r="AA490" i="3"/>
  <c r="T490" i="3" l="1"/>
  <c r="AH490" i="3" s="1"/>
  <c r="U489" i="3"/>
  <c r="Y488" i="3"/>
  <c r="E490" i="3" l="1"/>
  <c r="H490" i="3" s="1"/>
  <c r="K490" i="3" s="1"/>
  <c r="AE490" i="3" s="1"/>
  <c r="D490" i="3"/>
  <c r="AG490" i="3"/>
  <c r="V490" i="3" l="1"/>
  <c r="A491" i="3"/>
  <c r="B491" i="3" s="1"/>
  <c r="F490" i="3"/>
  <c r="G490" i="3"/>
  <c r="I490" i="3" l="1"/>
  <c r="W490" i="3" s="1"/>
  <c r="J490" i="3"/>
  <c r="M490" i="3"/>
  <c r="N490" i="3" s="1"/>
  <c r="P491" i="3"/>
  <c r="Q491" i="3" s="1"/>
  <c r="R491" i="3" s="1"/>
  <c r="S491" i="3" s="1"/>
  <c r="Z491" i="3"/>
  <c r="AD491" i="3"/>
  <c r="AC491" i="3"/>
  <c r="AA491" i="3"/>
  <c r="T491" i="3" l="1"/>
  <c r="L490" i="3"/>
  <c r="AH491" i="3" l="1"/>
  <c r="U490" i="3"/>
  <c r="D491" i="3" s="1"/>
  <c r="AG491" i="3"/>
  <c r="Y489" i="3"/>
  <c r="E491" i="3" l="1"/>
  <c r="H491" i="3" s="1"/>
  <c r="K491" i="3" s="1"/>
  <c r="AE491" i="3" s="1"/>
  <c r="G491" i="3"/>
  <c r="F491" i="3" l="1"/>
  <c r="I491" i="3"/>
  <c r="J491" i="3"/>
  <c r="M491" i="3"/>
  <c r="N491" i="3" s="1"/>
  <c r="V491" i="3"/>
  <c r="A492" i="3"/>
  <c r="B492" i="3" s="1"/>
  <c r="W491" i="3" l="1"/>
  <c r="L491" i="3"/>
  <c r="AC492" i="3"/>
  <c r="AA492" i="3"/>
  <c r="P492" i="3"/>
  <c r="Q492" i="3" s="1"/>
  <c r="R492" i="3" s="1"/>
  <c r="S492" i="3" s="1"/>
  <c r="Z492" i="3"/>
  <c r="AD492" i="3"/>
  <c r="T492" i="3" l="1"/>
  <c r="U491" i="3"/>
  <c r="Y490" i="3"/>
  <c r="D492" i="3" l="1"/>
  <c r="G492" i="3" s="1"/>
  <c r="AH492" i="3"/>
  <c r="AG492" i="3"/>
  <c r="E492" i="3"/>
  <c r="H492" i="3" s="1"/>
  <c r="F492" i="3" l="1"/>
  <c r="I492" i="3"/>
  <c r="J492" i="3"/>
  <c r="M492" i="3"/>
  <c r="N492" i="3" s="1"/>
  <c r="K492" i="3"/>
  <c r="AE492" i="3" s="1"/>
  <c r="L492" i="3" l="1"/>
  <c r="V492" i="3"/>
  <c r="W492" i="3" s="1"/>
  <c r="A493" i="3"/>
  <c r="B493" i="3" s="1"/>
  <c r="U492" i="3" l="1"/>
  <c r="Y491" i="3"/>
  <c r="P493" i="3"/>
  <c r="Q493" i="3" s="1"/>
  <c r="R493" i="3" s="1"/>
  <c r="S493" i="3" s="1"/>
  <c r="AC493" i="3"/>
  <c r="AA493" i="3"/>
  <c r="Z493" i="3"/>
  <c r="AD493" i="3"/>
  <c r="T493" i="3" l="1"/>
  <c r="AH493" i="3" s="1"/>
  <c r="AG493" i="3" l="1"/>
  <c r="E493" i="3"/>
  <c r="H493" i="3" s="1"/>
  <c r="K493" i="3" s="1"/>
  <c r="AE493" i="3" s="1"/>
  <c r="D493" i="3"/>
  <c r="F493" i="3" l="1"/>
  <c r="G493" i="3"/>
  <c r="J493" i="3" s="1"/>
  <c r="V493" i="3"/>
  <c r="A494" i="3"/>
  <c r="B494" i="3" s="1"/>
  <c r="M493" i="3" l="1"/>
  <c r="N493" i="3" s="1"/>
  <c r="I493" i="3"/>
  <c r="W493" i="3" s="1"/>
  <c r="L493" i="3"/>
  <c r="P494" i="3"/>
  <c r="Q494" i="3" s="1"/>
  <c r="R494" i="3" s="1"/>
  <c r="S494" i="3" s="1"/>
  <c r="AC494" i="3"/>
  <c r="Z494" i="3"/>
  <c r="AA494" i="3"/>
  <c r="T494" i="3" l="1"/>
  <c r="AH494" i="3" s="1"/>
  <c r="U493" i="3"/>
  <c r="Y492" i="3"/>
  <c r="E494" i="3" l="1"/>
  <c r="H494" i="3" s="1"/>
  <c r="K494" i="3" s="1"/>
  <c r="AE494" i="3" s="1"/>
  <c r="D494" i="3"/>
  <c r="AG494" i="3"/>
  <c r="F494" i="3" l="1"/>
  <c r="G494" i="3"/>
  <c r="V494" i="3"/>
  <c r="A495" i="3"/>
  <c r="B495" i="3" s="1"/>
  <c r="Z495" i="3" l="1"/>
  <c r="P495" i="3"/>
  <c r="Q495" i="3" s="1"/>
  <c r="R495" i="3" s="1"/>
  <c r="S495" i="3" s="1"/>
  <c r="AA495" i="3"/>
  <c r="AC495" i="3"/>
  <c r="I494" i="3"/>
  <c r="W494" i="3" s="1"/>
  <c r="J494" i="3"/>
  <c r="AD494" i="3" s="1"/>
  <c r="M494" i="3"/>
  <c r="N494" i="3" s="1"/>
  <c r="L494" i="3" l="1"/>
  <c r="T495" i="3"/>
  <c r="AG495" i="3" l="1"/>
  <c r="U494" i="3"/>
  <c r="D495" i="3" s="1"/>
  <c r="AH495" i="3"/>
  <c r="Y493" i="3"/>
  <c r="E495" i="3" l="1"/>
  <c r="H495" i="3" s="1"/>
  <c r="K495" i="3" s="1"/>
  <c r="AE495" i="3" s="1"/>
  <c r="G495" i="3"/>
  <c r="F495" i="3" l="1"/>
  <c r="V495" i="3"/>
  <c r="A496" i="3"/>
  <c r="B496" i="3" s="1"/>
  <c r="I495" i="3"/>
  <c r="J495" i="3"/>
  <c r="AD495" i="3" s="1"/>
  <c r="M495" i="3"/>
  <c r="N495" i="3" s="1"/>
  <c r="W495" i="3" l="1"/>
  <c r="L495" i="3"/>
  <c r="AA496" i="3"/>
  <c r="P496" i="3"/>
  <c r="Q496" i="3" s="1"/>
  <c r="R496" i="3" s="1"/>
  <c r="S496" i="3" s="1"/>
  <c r="Z496" i="3"/>
  <c r="AC496" i="3"/>
  <c r="U495" i="3" l="1"/>
  <c r="Y494" i="3"/>
  <c r="T496" i="3"/>
  <c r="AH496" i="3" s="1"/>
  <c r="D496" i="3" l="1"/>
  <c r="G496" i="3" s="1"/>
  <c r="AG496" i="3"/>
  <c r="E496" i="3"/>
  <c r="H496" i="3" s="1"/>
  <c r="K496" i="3" s="1"/>
  <c r="AE496" i="3" s="1"/>
  <c r="F496" i="3" l="1"/>
  <c r="V496" i="3"/>
  <c r="A497" i="3"/>
  <c r="B497" i="3" s="1"/>
  <c r="I496" i="3"/>
  <c r="J496" i="3"/>
  <c r="AD496" i="3" s="1"/>
  <c r="M496" i="3"/>
  <c r="N496" i="3" s="1"/>
  <c r="W496" i="3" l="1"/>
  <c r="L496" i="3"/>
  <c r="P497" i="3"/>
  <c r="Q497" i="3" s="1"/>
  <c r="R497" i="3" s="1"/>
  <c r="S497" i="3" s="1"/>
  <c r="AC497" i="3"/>
  <c r="AA497" i="3"/>
  <c r="Z497" i="3"/>
  <c r="U496" i="3" l="1"/>
  <c r="Y495" i="3"/>
  <c r="T497" i="3"/>
  <c r="AG497" i="3" s="1"/>
  <c r="E497" i="3" l="1"/>
  <c r="H497" i="3" s="1"/>
  <c r="D497" i="3"/>
  <c r="AH497" i="3"/>
  <c r="F497" i="3" l="1"/>
  <c r="G497" i="3"/>
  <c r="K497" i="3"/>
  <c r="AE497" i="3" s="1"/>
  <c r="I497" i="3" l="1"/>
  <c r="J497" i="3"/>
  <c r="AD497" i="3" s="1"/>
  <c r="M497" i="3"/>
  <c r="N497" i="3" s="1"/>
  <c r="V497" i="3"/>
  <c r="A498" i="3"/>
  <c r="B498" i="3" s="1"/>
  <c r="W497" i="3" l="1"/>
  <c r="L497" i="3"/>
  <c r="Z498" i="3"/>
  <c r="AC498" i="3"/>
  <c r="AA498" i="3"/>
  <c r="P498" i="3"/>
  <c r="Q498" i="3" s="1"/>
  <c r="R498" i="3" s="1"/>
  <c r="S498" i="3" s="1"/>
  <c r="U497" i="3" l="1"/>
  <c r="Y496" i="3"/>
  <c r="T498" i="3"/>
  <c r="AH498" i="3" s="1"/>
  <c r="AG498" i="3" l="1"/>
  <c r="D498" i="3"/>
  <c r="E498" i="3"/>
  <c r="H498" i="3" s="1"/>
  <c r="F498" i="3" l="1"/>
  <c r="G498" i="3"/>
  <c r="K498" i="3"/>
  <c r="AE498" i="3" s="1"/>
  <c r="I498" i="3" l="1"/>
  <c r="J498" i="3"/>
  <c r="AD498" i="3" s="1"/>
  <c r="M498" i="3"/>
  <c r="N498" i="3" s="1"/>
  <c r="V498" i="3"/>
  <c r="A499" i="3"/>
  <c r="B499" i="3" s="1"/>
  <c r="W498" i="3" l="1"/>
  <c r="L498" i="3"/>
  <c r="AC499" i="3"/>
  <c r="P499" i="3"/>
  <c r="Q499" i="3" s="1"/>
  <c r="R499" i="3" s="1"/>
  <c r="S499" i="3" s="1"/>
  <c r="AA499" i="3"/>
  <c r="Z499" i="3"/>
  <c r="T499" i="3" l="1"/>
  <c r="U498" i="3"/>
  <c r="Y497" i="3"/>
  <c r="D499" i="3" l="1"/>
  <c r="G499" i="3" s="1"/>
  <c r="AH499" i="3"/>
  <c r="E499" i="3"/>
  <c r="H499" i="3" s="1"/>
  <c r="AG499" i="3"/>
  <c r="F499" i="3" l="1"/>
  <c r="I499" i="3"/>
  <c r="J499" i="3"/>
  <c r="AD499" i="3" s="1"/>
  <c r="M499" i="3"/>
  <c r="N499" i="3" s="1"/>
  <c r="K499" i="3"/>
  <c r="AE499" i="3" s="1"/>
  <c r="V499" i="3" l="1"/>
  <c r="W499" i="3" s="1"/>
  <c r="A500" i="3"/>
  <c r="B500" i="3" s="1"/>
  <c r="L499" i="3"/>
  <c r="U499" i="3" l="1"/>
  <c r="Y498" i="3"/>
  <c r="AA500" i="3"/>
  <c r="AC500" i="3"/>
  <c r="P500" i="3"/>
  <c r="Q500" i="3" s="1"/>
  <c r="R500" i="3" s="1"/>
  <c r="S500" i="3" s="1"/>
  <c r="Z500" i="3"/>
  <c r="T500" i="3" l="1"/>
  <c r="AH500" i="3" s="1"/>
  <c r="D500" i="3" l="1"/>
  <c r="AG500" i="3"/>
  <c r="E500" i="3"/>
  <c r="H500" i="3" s="1"/>
  <c r="F500" i="3" l="1"/>
  <c r="G500" i="3"/>
  <c r="K500" i="3"/>
  <c r="AE500" i="3" s="1"/>
  <c r="I500" i="3" l="1"/>
  <c r="J500" i="3"/>
  <c r="AD500" i="3" s="1"/>
  <c r="M500" i="3"/>
  <c r="N500" i="3" s="1"/>
  <c r="V500" i="3"/>
  <c r="A501" i="3"/>
  <c r="B501" i="3" s="1"/>
  <c r="W500" i="3" l="1"/>
  <c r="L500" i="3"/>
  <c r="P501" i="3"/>
  <c r="Q501" i="3" s="1"/>
  <c r="R501" i="3" s="1"/>
  <c r="S501" i="3" s="1"/>
  <c r="AC501" i="3"/>
  <c r="Z501" i="3"/>
  <c r="AA501" i="3"/>
  <c r="U500" i="3" l="1"/>
  <c r="Y499" i="3"/>
  <c r="T501" i="3"/>
  <c r="D501" i="3" l="1"/>
  <c r="G501" i="3" s="1"/>
  <c r="E501" i="3"/>
  <c r="H501" i="3" s="1"/>
  <c r="K501" i="3" s="1"/>
  <c r="AE501" i="3" s="1"/>
  <c r="AG501" i="3"/>
  <c r="AH501" i="3"/>
  <c r="F501" i="3" l="1"/>
  <c r="I501" i="3"/>
  <c r="J501" i="3"/>
  <c r="AD501" i="3" s="1"/>
  <c r="M501" i="3"/>
  <c r="N501" i="3" s="1"/>
  <c r="V501" i="3"/>
  <c r="A502" i="3"/>
  <c r="B502" i="3" s="1"/>
  <c r="L501" i="3" l="1"/>
  <c r="W501" i="3"/>
  <c r="Z502" i="3"/>
  <c r="AA502" i="3"/>
  <c r="AC502" i="3"/>
  <c r="P502" i="3"/>
  <c r="Q502" i="3" s="1"/>
  <c r="R502" i="3" s="1"/>
  <c r="S502" i="3" s="1"/>
  <c r="U501" i="3" l="1"/>
  <c r="Y500" i="3"/>
  <c r="T502" i="3"/>
  <c r="E502" i="3" l="1"/>
  <c r="H502" i="3" s="1"/>
  <c r="K502" i="3" s="1"/>
  <c r="AE502" i="3" s="1"/>
  <c r="AG502" i="3"/>
  <c r="D502" i="3"/>
  <c r="AH502" i="3"/>
  <c r="F502" i="3" l="1"/>
  <c r="G502" i="3"/>
  <c r="V502" i="3"/>
  <c r="A503" i="3"/>
  <c r="B503" i="3" s="1"/>
  <c r="I502" i="3" l="1"/>
  <c r="W502" i="3" s="1"/>
  <c r="J502" i="3"/>
  <c r="AD502" i="3" s="1"/>
  <c r="M502" i="3"/>
  <c r="N502" i="3" s="1"/>
  <c r="AA503" i="3"/>
  <c r="P503" i="3"/>
  <c r="Q503" i="3" s="1"/>
  <c r="R503" i="3" s="1"/>
  <c r="S503" i="3" s="1"/>
  <c r="AC503" i="3"/>
  <c r="Z503" i="3"/>
  <c r="T503" i="3" l="1"/>
  <c r="L502" i="3"/>
  <c r="AG503" i="3" l="1"/>
  <c r="AH503" i="3"/>
  <c r="U502" i="3"/>
  <c r="E503" i="3" s="1"/>
  <c r="H503" i="3" s="1"/>
  <c r="Y501" i="3"/>
  <c r="D503" i="3" l="1"/>
  <c r="G503" i="3" s="1"/>
  <c r="K503" i="3"/>
  <c r="AE503" i="3" s="1"/>
  <c r="F503" i="3" l="1"/>
  <c r="V503" i="3"/>
  <c r="A504" i="3"/>
  <c r="B504" i="3" s="1"/>
  <c r="I503" i="3"/>
  <c r="J503" i="3"/>
  <c r="AD503" i="3" s="1"/>
  <c r="M503" i="3"/>
  <c r="N503" i="3" s="1"/>
  <c r="W503" i="3" l="1"/>
  <c r="L503" i="3"/>
  <c r="P504" i="3"/>
  <c r="Q504" i="3" s="1"/>
  <c r="R504" i="3" s="1"/>
  <c r="S504" i="3" s="1"/>
  <c r="Z504" i="3"/>
  <c r="AA504" i="3"/>
  <c r="AC504" i="3"/>
  <c r="U503" i="3" l="1"/>
  <c r="Y502" i="3"/>
  <c r="T504" i="3"/>
  <c r="AG504" i="3" s="1"/>
  <c r="E504" i="3" l="1"/>
  <c r="H504" i="3" s="1"/>
  <c r="K504" i="3" s="1"/>
  <c r="AE504" i="3" s="1"/>
  <c r="D504" i="3"/>
  <c r="AH504" i="3"/>
  <c r="F504" i="3" l="1"/>
  <c r="G504" i="3"/>
  <c r="I504" i="3" s="1"/>
  <c r="V504" i="3"/>
  <c r="A505" i="3"/>
  <c r="B505" i="3" s="1"/>
  <c r="J504" i="3" l="1"/>
  <c r="W504" i="3"/>
  <c r="M504" i="3"/>
  <c r="N504" i="3" s="1"/>
  <c r="P505" i="3"/>
  <c r="Q505" i="3" s="1"/>
  <c r="R505" i="3" s="1"/>
  <c r="S505" i="3" s="1"/>
  <c r="AC505" i="3"/>
  <c r="Z505" i="3"/>
  <c r="AD505" i="3"/>
  <c r="AA505" i="3"/>
  <c r="L504" i="3" l="1"/>
  <c r="Y503" i="3" s="1"/>
  <c r="AD504" i="3"/>
  <c r="T505" i="3"/>
  <c r="AH505" i="3" l="1"/>
  <c r="U504" i="3"/>
  <c r="D505" i="3" s="1"/>
  <c r="G505" i="3" s="1"/>
  <c r="AG505" i="3"/>
  <c r="E505" i="3" l="1"/>
  <c r="H505" i="3" s="1"/>
  <c r="K505" i="3" s="1"/>
  <c r="AE505" i="3" s="1"/>
  <c r="J505" i="3"/>
  <c r="I505" i="3" l="1"/>
  <c r="F505" i="3"/>
  <c r="V505" i="3"/>
  <c r="M505" i="3"/>
  <c r="N505" i="3" s="1"/>
  <c r="A506" i="3"/>
  <c r="B506" i="3" s="1"/>
  <c r="P506" i="3" s="1"/>
  <c r="Q506" i="3" s="1"/>
  <c r="R506" i="3" s="1"/>
  <c r="S506" i="3" s="1"/>
  <c r="L505" i="3"/>
  <c r="W505" i="3" l="1"/>
  <c r="AA506" i="3"/>
  <c r="AD506" i="3"/>
  <c r="AC506" i="3"/>
  <c r="Z506" i="3"/>
  <c r="U505" i="3"/>
  <c r="Y504" i="3"/>
  <c r="T506" i="3"/>
  <c r="AG506" i="3" l="1"/>
  <c r="D506" i="3"/>
  <c r="G506" i="3" s="1"/>
  <c r="AH506" i="3"/>
  <c r="E506" i="3"/>
  <c r="H506" i="3" s="1"/>
  <c r="K506" i="3" s="1"/>
  <c r="AE506" i="3" s="1"/>
  <c r="F506" i="3" l="1"/>
  <c r="I506" i="3"/>
  <c r="J506" i="3"/>
  <c r="M506" i="3"/>
  <c r="N506" i="3" s="1"/>
  <c r="V506" i="3"/>
  <c r="A507" i="3"/>
  <c r="B507" i="3" s="1"/>
  <c r="W506" i="3" l="1"/>
  <c r="L506" i="3"/>
  <c r="AC507" i="3"/>
  <c r="P507" i="3"/>
  <c r="Q507" i="3" s="1"/>
  <c r="R507" i="3" s="1"/>
  <c r="S507" i="3" s="1"/>
  <c r="AA507" i="3"/>
  <c r="Z507" i="3"/>
  <c r="U506" i="3" l="1"/>
  <c r="Y505" i="3"/>
  <c r="T507" i="3"/>
  <c r="AH507" i="3" s="1"/>
  <c r="AG507" i="3" l="1"/>
  <c r="E507" i="3"/>
  <c r="H507" i="3" s="1"/>
  <c r="D507" i="3"/>
  <c r="K507" i="3" l="1"/>
  <c r="AE507" i="3" s="1"/>
  <c r="F507" i="3"/>
  <c r="G507" i="3"/>
  <c r="I507" i="3" l="1"/>
  <c r="J507" i="3"/>
  <c r="AD507" i="3" s="1"/>
  <c r="M507" i="3"/>
  <c r="N507" i="3" s="1"/>
  <c r="V507" i="3"/>
  <c r="A508" i="3"/>
  <c r="B508" i="3" s="1"/>
  <c r="W507" i="3" l="1"/>
  <c r="L507" i="3"/>
  <c r="P508" i="3"/>
  <c r="Q508" i="3" s="1"/>
  <c r="R508" i="3" s="1"/>
  <c r="S508" i="3" s="1"/>
  <c r="AA508" i="3"/>
  <c r="Z508" i="3"/>
  <c r="AC508" i="3"/>
  <c r="U507" i="3" l="1"/>
  <c r="Y506" i="3"/>
  <c r="T508" i="3"/>
  <c r="E508" i="3" l="1"/>
  <c r="H508" i="3" s="1"/>
  <c r="K508" i="3" s="1"/>
  <c r="AE508" i="3" s="1"/>
  <c r="AH508" i="3"/>
  <c r="D508" i="3"/>
  <c r="AG508" i="3"/>
  <c r="F508" i="3" l="1"/>
  <c r="G508" i="3"/>
  <c r="V508" i="3"/>
  <c r="A509" i="3"/>
  <c r="B509" i="3" s="1"/>
  <c r="AD509" i="3" l="1"/>
  <c r="AC509" i="3"/>
  <c r="Z509" i="3"/>
  <c r="AA509" i="3"/>
  <c r="P509" i="3"/>
  <c r="Q509" i="3" s="1"/>
  <c r="R509" i="3" s="1"/>
  <c r="S509" i="3" s="1"/>
  <c r="I508" i="3"/>
  <c r="W508" i="3" s="1"/>
  <c r="J508" i="3"/>
  <c r="AD508" i="3" s="1"/>
  <c r="M508" i="3"/>
  <c r="N508" i="3" s="1"/>
  <c r="L508" i="3" l="1"/>
  <c r="T509" i="3"/>
  <c r="AG509" i="3" l="1"/>
  <c r="AH509" i="3"/>
  <c r="U508" i="3"/>
  <c r="D509" i="3" s="1"/>
  <c r="Y507" i="3"/>
  <c r="G509" i="3" l="1"/>
  <c r="E509" i="3"/>
  <c r="H509" i="3" s="1"/>
  <c r="F509" i="3" l="1"/>
  <c r="I509" i="3"/>
  <c r="J509" i="3"/>
  <c r="M509" i="3"/>
  <c r="N509" i="3" s="1"/>
  <c r="K509" i="3"/>
  <c r="AE509" i="3" s="1"/>
  <c r="V509" i="3" l="1"/>
  <c r="W509" i="3" s="1"/>
  <c r="A510" i="3"/>
  <c r="B510" i="3" s="1"/>
  <c r="L509" i="3"/>
  <c r="U509" i="3" l="1"/>
  <c r="Y508" i="3"/>
  <c r="AC510" i="3"/>
  <c r="Z510" i="3"/>
  <c r="AA510" i="3"/>
  <c r="AD510" i="3"/>
  <c r="P510" i="3"/>
  <c r="Q510" i="3" s="1"/>
  <c r="R510" i="3" s="1"/>
  <c r="S510" i="3" s="1"/>
  <c r="T510" i="3" l="1"/>
  <c r="AH510" i="3" l="1"/>
  <c r="E510" i="3"/>
  <c r="H510" i="3" s="1"/>
  <c r="D510" i="3"/>
  <c r="AG510" i="3"/>
  <c r="F510" i="3" l="1"/>
  <c r="G510" i="3"/>
  <c r="K510" i="3"/>
  <c r="AE510" i="3" s="1"/>
  <c r="V510" i="3" l="1"/>
  <c r="A511" i="3"/>
  <c r="B511" i="3" s="1"/>
  <c r="I510" i="3"/>
  <c r="J510" i="3"/>
  <c r="M510" i="3"/>
  <c r="N510" i="3" s="1"/>
  <c r="L510" i="3" l="1"/>
  <c r="AA511" i="3"/>
  <c r="AC511" i="3"/>
  <c r="P511" i="3"/>
  <c r="Q511" i="3" s="1"/>
  <c r="R511" i="3" s="1"/>
  <c r="S511" i="3" s="1"/>
  <c r="Z511" i="3"/>
  <c r="AD511" i="3"/>
  <c r="W510" i="3"/>
  <c r="U510" i="3" l="1"/>
  <c r="Y509" i="3"/>
  <c r="T511" i="3"/>
  <c r="AG511" i="3" s="1"/>
  <c r="AH511" i="3" l="1"/>
  <c r="D511" i="3"/>
  <c r="E511" i="3"/>
  <c r="H511" i="3" s="1"/>
  <c r="F511" i="3" l="1"/>
  <c r="G511" i="3"/>
  <c r="K511" i="3"/>
  <c r="AE511" i="3" s="1"/>
  <c r="V511" i="3" l="1"/>
  <c r="A512" i="3"/>
  <c r="B512" i="3" s="1"/>
  <c r="I511" i="3"/>
  <c r="J511" i="3"/>
  <c r="M511" i="3"/>
  <c r="N511" i="3" s="1"/>
  <c r="W511" i="3" l="1"/>
  <c r="L511" i="3"/>
  <c r="AC512" i="3"/>
  <c r="Z512" i="3"/>
  <c r="AA512" i="3"/>
  <c r="P512" i="3"/>
  <c r="Q512" i="3" s="1"/>
  <c r="R512" i="3" s="1"/>
  <c r="S512" i="3" s="1"/>
  <c r="AD512" i="3"/>
  <c r="T512" i="3" l="1"/>
  <c r="U511" i="3"/>
  <c r="Y510" i="3"/>
  <c r="D512" i="3" l="1"/>
  <c r="G512" i="3" s="1"/>
  <c r="AH512" i="3"/>
  <c r="E512" i="3"/>
  <c r="H512" i="3" s="1"/>
  <c r="K512" i="3" s="1"/>
  <c r="AE512" i="3" s="1"/>
  <c r="AG512" i="3"/>
  <c r="F512" i="3" l="1"/>
  <c r="I512" i="3"/>
  <c r="J512" i="3"/>
  <c r="M512" i="3"/>
  <c r="N512" i="3" s="1"/>
  <c r="V512" i="3"/>
  <c r="A513" i="3"/>
  <c r="B513" i="3" s="1"/>
  <c r="W512" i="3" l="1"/>
  <c r="L512" i="3"/>
  <c r="AA513" i="3"/>
  <c r="P513" i="3"/>
  <c r="Q513" i="3" s="1"/>
  <c r="R513" i="3" s="1"/>
  <c r="S513" i="3" s="1"/>
  <c r="AC513" i="3"/>
  <c r="AD513" i="3"/>
  <c r="Z513" i="3"/>
  <c r="T513" i="3" l="1"/>
  <c r="AG513" i="3" s="1"/>
  <c r="U512" i="3"/>
  <c r="Y511" i="3"/>
  <c r="AH513" i="3" l="1"/>
  <c r="E513" i="3"/>
  <c r="H513" i="3" s="1"/>
  <c r="D513" i="3"/>
  <c r="F513" i="3" l="1"/>
  <c r="G513" i="3"/>
  <c r="K513" i="3"/>
  <c r="AE513" i="3" s="1"/>
  <c r="V513" i="3" l="1"/>
  <c r="A514" i="3"/>
  <c r="B514" i="3" s="1"/>
  <c r="I513" i="3"/>
  <c r="J513" i="3"/>
  <c r="M513" i="3"/>
  <c r="N513" i="3" s="1"/>
  <c r="L513" i="3" l="1"/>
  <c r="Z514" i="3"/>
  <c r="AA514" i="3"/>
  <c r="AC514" i="3"/>
  <c r="P514" i="3"/>
  <c r="Q514" i="3" s="1"/>
  <c r="R514" i="3" s="1"/>
  <c r="S514" i="3" s="1"/>
  <c r="W513" i="3"/>
  <c r="T514" i="3" l="1"/>
  <c r="AH514" i="3" s="1"/>
  <c r="U513" i="3"/>
  <c r="Y512" i="3"/>
  <c r="AG514" i="3" l="1"/>
  <c r="E514" i="3"/>
  <c r="H514" i="3" s="1"/>
  <c r="D514" i="3"/>
  <c r="K514" i="3" l="1"/>
  <c r="AE514" i="3" s="1"/>
  <c r="F514" i="3"/>
  <c r="G514" i="3"/>
  <c r="V514" i="3" l="1"/>
  <c r="A515" i="3"/>
  <c r="B515" i="3" s="1"/>
  <c r="I514" i="3"/>
  <c r="J514" i="3"/>
  <c r="AD514" i="3" s="1"/>
  <c r="M514" i="3"/>
  <c r="N514" i="3" s="1"/>
  <c r="W514" i="3" l="1"/>
  <c r="L514" i="3"/>
  <c r="P515" i="3"/>
  <c r="Q515" i="3" s="1"/>
  <c r="R515" i="3" s="1"/>
  <c r="S515" i="3" s="1"/>
  <c r="AC515" i="3"/>
  <c r="Z515" i="3"/>
  <c r="AA515" i="3"/>
  <c r="U514" i="3" l="1"/>
  <c r="Y513" i="3"/>
  <c r="T515" i="3"/>
  <c r="D515" i="3" l="1"/>
  <c r="G515" i="3" s="1"/>
  <c r="AG515" i="3"/>
  <c r="AH515" i="3"/>
  <c r="E515" i="3"/>
  <c r="H515" i="3" s="1"/>
  <c r="K515" i="3" l="1"/>
  <c r="AE515" i="3" s="1"/>
  <c r="I515" i="3"/>
  <c r="J515" i="3"/>
  <c r="AD515" i="3" s="1"/>
  <c r="M515" i="3"/>
  <c r="N515" i="3" s="1"/>
  <c r="F515" i="3"/>
  <c r="L515" i="3" l="1"/>
  <c r="V515" i="3"/>
  <c r="W515" i="3" s="1"/>
  <c r="A516" i="3"/>
  <c r="B516" i="3" s="1"/>
  <c r="U515" i="3" l="1"/>
  <c r="Y514" i="3"/>
  <c r="AA516" i="3"/>
  <c r="Z516" i="3"/>
  <c r="AC516" i="3"/>
  <c r="P516" i="3"/>
  <c r="Q516" i="3" s="1"/>
  <c r="R516" i="3" s="1"/>
  <c r="S516" i="3" s="1"/>
  <c r="T516" i="3" l="1"/>
  <c r="AG516" i="3" s="1"/>
  <c r="D516" i="3" l="1"/>
  <c r="AH516" i="3"/>
  <c r="E516" i="3"/>
  <c r="H516" i="3" s="1"/>
  <c r="F516" i="3" l="1"/>
  <c r="G516" i="3"/>
  <c r="K516" i="3"/>
  <c r="AE516" i="3" s="1"/>
  <c r="I516" i="3" l="1"/>
  <c r="J516" i="3"/>
  <c r="AD516" i="3" s="1"/>
  <c r="M516" i="3"/>
  <c r="N516" i="3" s="1"/>
  <c r="V516" i="3"/>
  <c r="A517" i="3"/>
  <c r="B517" i="3" s="1"/>
  <c r="W516" i="3" l="1"/>
  <c r="L516" i="3"/>
  <c r="AC517" i="3"/>
  <c r="P517" i="3"/>
  <c r="Q517" i="3" s="1"/>
  <c r="R517" i="3" s="1"/>
  <c r="S517" i="3" s="1"/>
  <c r="AA517" i="3"/>
  <c r="Z517" i="3"/>
  <c r="U516" i="3" l="1"/>
  <c r="Y515" i="3"/>
  <c r="T517" i="3"/>
  <c r="AG517" i="3" s="1"/>
  <c r="D517" i="3" l="1"/>
  <c r="G517" i="3" s="1"/>
  <c r="AH517" i="3"/>
  <c r="E517" i="3"/>
  <c r="H517" i="3" s="1"/>
  <c r="K517" i="3" s="1"/>
  <c r="AE517" i="3" s="1"/>
  <c r="F517" i="3" l="1"/>
  <c r="I517" i="3"/>
  <c r="J517" i="3"/>
  <c r="AD517" i="3" s="1"/>
  <c r="M517" i="3"/>
  <c r="N517" i="3" s="1"/>
  <c r="V517" i="3"/>
  <c r="A518" i="3"/>
  <c r="B518" i="3" s="1"/>
  <c r="W517" i="3" l="1"/>
  <c r="L517" i="3"/>
  <c r="AA518" i="3"/>
  <c r="AC518" i="3"/>
  <c r="Z518" i="3"/>
  <c r="P518" i="3"/>
  <c r="Q518" i="3" s="1"/>
  <c r="R518" i="3" s="1"/>
  <c r="S518" i="3" s="1"/>
  <c r="U517" i="3" l="1"/>
  <c r="Y516" i="3"/>
  <c r="T518" i="3"/>
  <c r="D518" i="3" l="1"/>
  <c r="G518" i="3" s="1"/>
  <c r="E518" i="3"/>
  <c r="H518" i="3" s="1"/>
  <c r="AH518" i="3"/>
  <c r="AG518" i="3"/>
  <c r="F518" i="3" l="1"/>
  <c r="I518" i="3"/>
  <c r="J518" i="3"/>
  <c r="AD518" i="3" s="1"/>
  <c r="M518" i="3"/>
  <c r="N518" i="3" s="1"/>
  <c r="K518" i="3"/>
  <c r="AE518" i="3" s="1"/>
  <c r="V518" i="3" l="1"/>
  <c r="W518" i="3" s="1"/>
  <c r="A519" i="3"/>
  <c r="B519" i="3" s="1"/>
  <c r="L518" i="3"/>
  <c r="U518" i="3" l="1"/>
  <c r="Y517" i="3"/>
  <c r="AA519" i="3"/>
  <c r="Z519" i="3"/>
  <c r="AC519" i="3"/>
  <c r="P519" i="3"/>
  <c r="Q519" i="3" s="1"/>
  <c r="R519" i="3" s="1"/>
  <c r="S519" i="3" s="1"/>
  <c r="T519" i="3" l="1"/>
  <c r="D519" i="3" s="1"/>
  <c r="AG519" i="3" l="1"/>
  <c r="G519" i="3"/>
  <c r="AH519" i="3"/>
  <c r="E519" i="3"/>
  <c r="H519" i="3" s="1"/>
  <c r="F519" i="3" l="1"/>
  <c r="I519" i="3"/>
  <c r="J519" i="3"/>
  <c r="AD519" i="3" s="1"/>
  <c r="M519" i="3"/>
  <c r="N519" i="3" s="1"/>
  <c r="K519" i="3"/>
  <c r="AE519" i="3" s="1"/>
  <c r="V519" i="3" l="1"/>
  <c r="W519" i="3" s="1"/>
  <c r="A520" i="3"/>
  <c r="B520" i="3" s="1"/>
  <c r="L519" i="3"/>
  <c r="U519" i="3" l="1"/>
  <c r="Y518" i="3"/>
  <c r="AA520" i="3"/>
  <c r="AC520" i="3"/>
  <c r="Z520" i="3"/>
  <c r="P520" i="3"/>
  <c r="Q520" i="3" s="1"/>
  <c r="R520" i="3" s="1"/>
  <c r="S520" i="3" s="1"/>
  <c r="T520" i="3" l="1"/>
  <c r="D520" i="3" s="1"/>
  <c r="AG520" i="3" l="1"/>
  <c r="E520" i="3"/>
  <c r="H520" i="3" s="1"/>
  <c r="K520" i="3" s="1"/>
  <c r="AE520" i="3" s="1"/>
  <c r="AH520" i="3"/>
  <c r="G520" i="3"/>
  <c r="F520" i="3" l="1"/>
  <c r="I520" i="3"/>
  <c r="J520" i="3"/>
  <c r="AD520" i="3" s="1"/>
  <c r="M520" i="3"/>
  <c r="N520" i="3" s="1"/>
  <c r="V520" i="3"/>
  <c r="A521" i="3"/>
  <c r="B521" i="3" s="1"/>
  <c r="W520" i="3" l="1"/>
  <c r="L520" i="3"/>
  <c r="P521" i="3"/>
  <c r="Q521" i="3" s="1"/>
  <c r="R521" i="3" s="1"/>
  <c r="S521" i="3" s="1"/>
  <c r="AC521" i="3"/>
  <c r="AA521" i="3"/>
  <c r="Z521" i="3"/>
  <c r="U520" i="3" l="1"/>
  <c r="Y519" i="3"/>
  <c r="T521" i="3"/>
  <c r="AH521" i="3" s="1"/>
  <c r="AG521" i="3" l="1"/>
  <c r="D521" i="3"/>
  <c r="E521" i="3"/>
  <c r="H521" i="3" s="1"/>
  <c r="K521" i="3" s="1"/>
  <c r="AE521" i="3" s="1"/>
  <c r="F521" i="3" l="1"/>
  <c r="G521" i="3"/>
  <c r="I521" i="3" s="1"/>
  <c r="V521" i="3"/>
  <c r="A522" i="3"/>
  <c r="B522" i="3" s="1"/>
  <c r="M521" i="3" l="1"/>
  <c r="N521" i="3" s="1"/>
  <c r="J521" i="3"/>
  <c r="W521" i="3"/>
  <c r="AC522" i="3"/>
  <c r="P522" i="3"/>
  <c r="Q522" i="3" s="1"/>
  <c r="R522" i="3" s="1"/>
  <c r="S522" i="3" s="1"/>
  <c r="AA522" i="3"/>
  <c r="Z522" i="3"/>
  <c r="L521" i="3" l="1"/>
  <c r="U521" i="3" s="1"/>
  <c r="AD521" i="3"/>
  <c r="T522" i="3"/>
  <c r="AG522" i="3" s="1"/>
  <c r="Y520" i="3" l="1"/>
  <c r="AH522" i="3"/>
  <c r="E522" i="3"/>
  <c r="H522" i="3" s="1"/>
  <c r="D522" i="3"/>
  <c r="K522" i="3" l="1"/>
  <c r="AE522" i="3" s="1"/>
  <c r="F522" i="3"/>
  <c r="G522" i="3"/>
  <c r="I522" i="3" l="1"/>
  <c r="J522" i="3"/>
  <c r="AD522" i="3" s="1"/>
  <c r="M522" i="3"/>
  <c r="N522" i="3" s="1"/>
  <c r="V522" i="3"/>
  <c r="A523" i="3"/>
  <c r="B523" i="3" s="1"/>
  <c r="W522" i="3" l="1"/>
  <c r="L522" i="3"/>
  <c r="AC523" i="3"/>
  <c r="Z523" i="3"/>
  <c r="AA523" i="3"/>
  <c r="P523" i="3"/>
  <c r="Q523" i="3" s="1"/>
  <c r="R523" i="3" s="1"/>
  <c r="S523" i="3" s="1"/>
  <c r="U522" i="3" l="1"/>
  <c r="Y521" i="3"/>
  <c r="T523" i="3"/>
  <c r="AG523" i="3" s="1"/>
  <c r="AH523" i="3" l="1"/>
  <c r="D523" i="3"/>
  <c r="G523" i="3" s="1"/>
  <c r="E523" i="3"/>
  <c r="H523" i="3" s="1"/>
  <c r="F523" i="3" l="1"/>
  <c r="I523" i="3"/>
  <c r="J523" i="3"/>
  <c r="AD523" i="3" s="1"/>
  <c r="M523" i="3"/>
  <c r="N523" i="3" s="1"/>
  <c r="K523" i="3"/>
  <c r="AE523" i="3" s="1"/>
  <c r="V523" i="3" l="1"/>
  <c r="W523" i="3" s="1"/>
  <c r="A524" i="3"/>
  <c r="B524" i="3" s="1"/>
  <c r="L523" i="3"/>
  <c r="U523" i="3" l="1"/>
  <c r="Y522" i="3"/>
  <c r="Z524" i="3"/>
  <c r="P524" i="3"/>
  <c r="Q524" i="3" s="1"/>
  <c r="R524" i="3" s="1"/>
  <c r="S524" i="3" s="1"/>
  <c r="AC524" i="3"/>
  <c r="AA524" i="3"/>
  <c r="T524" i="3" l="1"/>
  <c r="E524" i="3" s="1"/>
  <c r="H524" i="3" s="1"/>
  <c r="D524" i="3" l="1"/>
  <c r="G524" i="3" s="1"/>
  <c r="K524" i="3"/>
  <c r="AE524" i="3" s="1"/>
  <c r="AH524" i="3"/>
  <c r="AG524" i="3"/>
  <c r="F524" i="3" l="1"/>
  <c r="I524" i="3"/>
  <c r="J524" i="3"/>
  <c r="AD524" i="3" s="1"/>
  <c r="M524" i="3"/>
  <c r="N524" i="3" s="1"/>
  <c r="V524" i="3"/>
  <c r="A525" i="3"/>
  <c r="B525" i="3" s="1"/>
  <c r="W524" i="3" l="1"/>
  <c r="L524" i="3"/>
  <c r="AA525" i="3"/>
  <c r="AC525" i="3"/>
  <c r="AD525" i="3"/>
  <c r="Z525" i="3"/>
  <c r="P525" i="3"/>
  <c r="Q525" i="3" s="1"/>
  <c r="R525" i="3" s="1"/>
  <c r="S525" i="3" s="1"/>
  <c r="T525" i="3" l="1"/>
  <c r="AH525" i="3" s="1"/>
  <c r="U524" i="3"/>
  <c r="Y523" i="3"/>
  <c r="AG525" i="3" l="1"/>
  <c r="D525" i="3"/>
  <c r="E525" i="3"/>
  <c r="H525" i="3" s="1"/>
  <c r="F525" i="3" l="1"/>
  <c r="G525" i="3"/>
  <c r="K525" i="3"/>
  <c r="AE525" i="3" s="1"/>
  <c r="I525" i="3" l="1"/>
  <c r="J525" i="3"/>
  <c r="M525" i="3"/>
  <c r="N525" i="3" s="1"/>
  <c r="V525" i="3"/>
  <c r="A526" i="3"/>
  <c r="B526" i="3" s="1"/>
  <c r="L525" i="3" l="1"/>
  <c r="W525" i="3"/>
  <c r="AA526" i="3"/>
  <c r="P526" i="3"/>
  <c r="Q526" i="3" s="1"/>
  <c r="R526" i="3" s="1"/>
  <c r="S526" i="3" s="1"/>
  <c r="Z526" i="3"/>
  <c r="AD526" i="3"/>
  <c r="AC526" i="3"/>
  <c r="T526" i="3" l="1"/>
  <c r="U525" i="3"/>
  <c r="Y524" i="3"/>
  <c r="D526" i="3" l="1"/>
  <c r="G526" i="3" s="1"/>
  <c r="AH526" i="3"/>
  <c r="E526" i="3"/>
  <c r="H526" i="3" s="1"/>
  <c r="K526" i="3" s="1"/>
  <c r="AE526" i="3" s="1"/>
  <c r="AG526" i="3"/>
  <c r="F526" i="3" l="1"/>
  <c r="V526" i="3"/>
  <c r="A527" i="3"/>
  <c r="B527" i="3" s="1"/>
  <c r="I526" i="3"/>
  <c r="J526" i="3"/>
  <c r="M526" i="3"/>
  <c r="N526" i="3" s="1"/>
  <c r="W526" i="3" l="1"/>
  <c r="L526" i="3"/>
  <c r="Z527" i="3"/>
  <c r="AC527" i="3"/>
  <c r="P527" i="3"/>
  <c r="Q527" i="3" s="1"/>
  <c r="R527" i="3" s="1"/>
  <c r="S527" i="3" s="1"/>
  <c r="AA527" i="3"/>
  <c r="U526" i="3" l="1"/>
  <c r="Y525" i="3"/>
  <c r="T527" i="3"/>
  <c r="D527" i="3" l="1"/>
  <c r="G527" i="3" s="1"/>
  <c r="E527" i="3"/>
  <c r="H527" i="3" s="1"/>
  <c r="AG527" i="3"/>
  <c r="AH527" i="3"/>
  <c r="F527" i="3" l="1"/>
  <c r="I527" i="3"/>
  <c r="J527" i="3"/>
  <c r="AD527" i="3" s="1"/>
  <c r="M527" i="3"/>
  <c r="N527" i="3" s="1"/>
  <c r="K527" i="3"/>
  <c r="AE527" i="3" s="1"/>
  <c r="V527" i="3" l="1"/>
  <c r="W527" i="3" s="1"/>
  <c r="A528" i="3"/>
  <c r="B528" i="3" s="1"/>
  <c r="L527" i="3"/>
  <c r="U527" i="3" l="1"/>
  <c r="Y526" i="3"/>
  <c r="Z528" i="3"/>
  <c r="P528" i="3"/>
  <c r="Q528" i="3" s="1"/>
  <c r="R528" i="3" s="1"/>
  <c r="S528" i="3" s="1"/>
  <c r="AC528" i="3"/>
  <c r="AA528" i="3"/>
  <c r="T528" i="3" l="1"/>
  <c r="AH528" i="3" s="1"/>
  <c r="D528" i="3" l="1"/>
  <c r="E528" i="3"/>
  <c r="H528" i="3" s="1"/>
  <c r="K528" i="3" s="1"/>
  <c r="AE528" i="3" s="1"/>
  <c r="AG528" i="3"/>
  <c r="F528" i="3" l="1"/>
  <c r="G528" i="3"/>
  <c r="M528" i="3" s="1"/>
  <c r="N528" i="3" s="1"/>
  <c r="V528" i="3"/>
  <c r="A529" i="3"/>
  <c r="B529" i="3" s="1"/>
  <c r="I528" i="3" l="1"/>
  <c r="W528" i="3" s="1"/>
  <c r="J528" i="3"/>
  <c r="Z529" i="3"/>
  <c r="AC529" i="3"/>
  <c r="AD529" i="3"/>
  <c r="P529" i="3"/>
  <c r="Q529" i="3" s="1"/>
  <c r="R529" i="3" s="1"/>
  <c r="S529" i="3" s="1"/>
  <c r="AA529" i="3"/>
  <c r="L528" i="3" l="1"/>
  <c r="Y527" i="3" s="1"/>
  <c r="AD528" i="3"/>
  <c r="T529" i="3"/>
  <c r="AG529" i="3" l="1"/>
  <c r="U528" i="3"/>
  <c r="D529" i="3" s="1"/>
  <c r="G529" i="3" s="1"/>
  <c r="AH529" i="3"/>
  <c r="E529" i="3" l="1"/>
  <c r="H529" i="3" s="1"/>
  <c r="K529" i="3" s="1"/>
  <c r="AE529" i="3" s="1"/>
  <c r="J529" i="3"/>
  <c r="A530" i="3" l="1"/>
  <c r="B530" i="3" s="1"/>
  <c r="P530" i="3" s="1"/>
  <c r="Q530" i="3" s="1"/>
  <c r="R530" i="3" s="1"/>
  <c r="S530" i="3" s="1"/>
  <c r="V529" i="3"/>
  <c r="M529" i="3"/>
  <c r="N529" i="3" s="1"/>
  <c r="I529" i="3"/>
  <c r="F529" i="3"/>
  <c r="L529" i="3"/>
  <c r="AC530" i="3" l="1"/>
  <c r="AD530" i="3"/>
  <c r="Z530" i="3"/>
  <c r="AA530" i="3"/>
  <c r="W529" i="3"/>
  <c r="T530" i="3"/>
  <c r="U529" i="3"/>
  <c r="Y528" i="3"/>
  <c r="AG530" i="3" l="1"/>
  <c r="D530" i="3"/>
  <c r="G530" i="3" s="1"/>
  <c r="AH530" i="3"/>
  <c r="E530" i="3"/>
  <c r="H530" i="3" s="1"/>
  <c r="F530" i="3" l="1"/>
  <c r="I530" i="3"/>
  <c r="J530" i="3"/>
  <c r="M530" i="3"/>
  <c r="N530" i="3" s="1"/>
  <c r="K530" i="3"/>
  <c r="AE530" i="3" s="1"/>
  <c r="V530" i="3" l="1"/>
  <c r="W530" i="3" s="1"/>
  <c r="A531" i="3"/>
  <c r="B531" i="3" s="1"/>
  <c r="L530" i="3"/>
  <c r="U530" i="3" l="1"/>
  <c r="Y529" i="3"/>
  <c r="Z531" i="3"/>
  <c r="AD531" i="3"/>
  <c r="AC531" i="3"/>
  <c r="AA531" i="3"/>
  <c r="P531" i="3"/>
  <c r="Q531" i="3" s="1"/>
  <c r="R531" i="3" s="1"/>
  <c r="S531" i="3" s="1"/>
  <c r="T531" i="3" l="1"/>
  <c r="AG531" i="3" s="1"/>
  <c r="AH531" i="3" l="1"/>
  <c r="D531" i="3"/>
  <c r="E531" i="3"/>
  <c r="H531" i="3" s="1"/>
  <c r="K531" i="3" l="1"/>
  <c r="AE531" i="3" s="1"/>
  <c r="F531" i="3"/>
  <c r="G531" i="3"/>
  <c r="I531" i="3" l="1"/>
  <c r="J531" i="3"/>
  <c r="M531" i="3"/>
  <c r="N531" i="3" s="1"/>
  <c r="V531" i="3"/>
  <c r="A532" i="3"/>
  <c r="B532" i="3" s="1"/>
  <c r="W531" i="3" l="1"/>
  <c r="L531" i="3"/>
  <c r="AD532" i="3"/>
  <c r="AC532" i="3"/>
  <c r="Z532" i="3"/>
  <c r="P532" i="3"/>
  <c r="Q532" i="3" s="1"/>
  <c r="R532" i="3" s="1"/>
  <c r="S532" i="3" s="1"/>
  <c r="AA532" i="3"/>
  <c r="U531" i="3" l="1"/>
  <c r="Y530" i="3"/>
  <c r="T532" i="3"/>
  <c r="AH532" i="3" s="1"/>
  <c r="D532" i="3" l="1"/>
  <c r="G532" i="3" s="1"/>
  <c r="AG532" i="3"/>
  <c r="E532" i="3"/>
  <c r="H532" i="3" s="1"/>
  <c r="K532" i="3" s="1"/>
  <c r="AE532" i="3" s="1"/>
  <c r="F532" i="3" l="1"/>
  <c r="V532" i="3"/>
  <c r="A533" i="3"/>
  <c r="B533" i="3" s="1"/>
  <c r="I532" i="3"/>
  <c r="J532" i="3"/>
  <c r="M532" i="3"/>
  <c r="N532" i="3" s="1"/>
  <c r="W532" i="3" l="1"/>
  <c r="L532" i="3"/>
  <c r="P533" i="3"/>
  <c r="Q533" i="3" s="1"/>
  <c r="R533" i="3" s="1"/>
  <c r="S533" i="3" s="1"/>
  <c r="AD533" i="3"/>
  <c r="AA533" i="3"/>
  <c r="Z533" i="3"/>
  <c r="AC533" i="3"/>
  <c r="T533" i="3" l="1"/>
  <c r="U532" i="3"/>
  <c r="Y531" i="3"/>
  <c r="E533" i="3" l="1"/>
  <c r="H533" i="3" s="1"/>
  <c r="K533" i="3" s="1"/>
  <c r="AE533" i="3" s="1"/>
  <c r="AH533" i="3"/>
  <c r="AG533" i="3"/>
  <c r="D533" i="3"/>
  <c r="F533" i="3" l="1"/>
  <c r="G533" i="3"/>
  <c r="V533" i="3"/>
  <c r="A534" i="3"/>
  <c r="B534" i="3" s="1"/>
  <c r="Z534" i="3" l="1"/>
  <c r="AC534" i="3"/>
  <c r="AA534" i="3"/>
  <c r="P534" i="3"/>
  <c r="Q534" i="3" s="1"/>
  <c r="R534" i="3" s="1"/>
  <c r="S534" i="3" s="1"/>
  <c r="I533" i="3"/>
  <c r="W533" i="3" s="1"/>
  <c r="J533" i="3"/>
  <c r="M533" i="3"/>
  <c r="N533" i="3" s="1"/>
  <c r="L533" i="3" l="1"/>
  <c r="T534" i="3"/>
  <c r="U533" i="3" l="1"/>
  <c r="D534" i="3" s="1"/>
  <c r="AG534" i="3"/>
  <c r="AH534" i="3"/>
  <c r="Y532" i="3"/>
  <c r="E534" i="3" l="1"/>
  <c r="H534" i="3" s="1"/>
  <c r="K534" i="3" s="1"/>
  <c r="AE534" i="3" s="1"/>
  <c r="G534" i="3"/>
  <c r="F534" i="3" l="1"/>
  <c r="V534" i="3"/>
  <c r="A535" i="3"/>
  <c r="B535" i="3" s="1"/>
  <c r="I534" i="3"/>
  <c r="J534" i="3"/>
  <c r="AD534" i="3" s="1"/>
  <c r="M534" i="3"/>
  <c r="N534" i="3" s="1"/>
  <c r="W534" i="3" l="1"/>
  <c r="L534" i="3"/>
  <c r="AA535" i="3"/>
  <c r="AC535" i="3"/>
  <c r="AD535" i="3"/>
  <c r="Z535" i="3"/>
  <c r="P535" i="3"/>
  <c r="Q535" i="3" s="1"/>
  <c r="R535" i="3" s="1"/>
  <c r="S535" i="3" s="1"/>
  <c r="T535" i="3" l="1"/>
  <c r="U534" i="3"/>
  <c r="Y533" i="3"/>
  <c r="D535" i="3" l="1"/>
  <c r="G535" i="3" s="1"/>
  <c r="E535" i="3"/>
  <c r="H535" i="3" s="1"/>
  <c r="K535" i="3" s="1"/>
  <c r="AE535" i="3" s="1"/>
  <c r="AG535" i="3"/>
  <c r="AH535" i="3"/>
  <c r="F535" i="3" l="1"/>
  <c r="V535" i="3"/>
  <c r="A536" i="3"/>
  <c r="B536" i="3" s="1"/>
  <c r="I535" i="3"/>
  <c r="J535" i="3"/>
  <c r="M535" i="3"/>
  <c r="N535" i="3" s="1"/>
  <c r="W535" i="3" l="1"/>
  <c r="L535" i="3"/>
  <c r="AC536" i="3"/>
  <c r="AA536" i="3"/>
  <c r="Z536" i="3"/>
  <c r="P536" i="3"/>
  <c r="Q536" i="3" s="1"/>
  <c r="R536" i="3" s="1"/>
  <c r="S536" i="3" s="1"/>
  <c r="AD536" i="3"/>
  <c r="U535" i="3" l="1"/>
  <c r="Y534" i="3"/>
  <c r="T536" i="3"/>
  <c r="AH536" i="3" s="1"/>
  <c r="AG536" i="3" l="1"/>
  <c r="E536" i="3"/>
  <c r="H536" i="3" s="1"/>
  <c r="D536" i="3"/>
  <c r="K536" i="3" l="1"/>
  <c r="AE536" i="3" s="1"/>
  <c r="F536" i="3"/>
  <c r="G536" i="3"/>
  <c r="I536" i="3" l="1"/>
  <c r="J536" i="3"/>
  <c r="M536" i="3"/>
  <c r="N536" i="3" s="1"/>
  <c r="V536" i="3"/>
  <c r="A537" i="3"/>
  <c r="B537" i="3" s="1"/>
  <c r="W536" i="3" l="1"/>
  <c r="L536" i="3"/>
  <c r="AC537" i="3"/>
  <c r="P537" i="3"/>
  <c r="Q537" i="3" s="1"/>
  <c r="R537" i="3" s="1"/>
  <c r="S537" i="3" s="1"/>
  <c r="Z537" i="3"/>
  <c r="AA537" i="3"/>
  <c r="U536" i="3" l="1"/>
  <c r="Y535" i="3"/>
  <c r="T537" i="3"/>
  <c r="AH537" i="3" s="1"/>
  <c r="AG537" i="3" l="1"/>
  <c r="E537" i="3"/>
  <c r="H537" i="3" s="1"/>
  <c r="D537" i="3"/>
  <c r="K537" i="3" l="1"/>
  <c r="AE537" i="3" s="1"/>
  <c r="F537" i="3"/>
  <c r="G537" i="3"/>
  <c r="I537" i="3" l="1"/>
  <c r="J537" i="3"/>
  <c r="AD537" i="3" s="1"/>
  <c r="M537" i="3"/>
  <c r="N537" i="3" s="1"/>
  <c r="V537" i="3"/>
  <c r="A538" i="3"/>
  <c r="B538" i="3" s="1"/>
  <c r="W537" i="3" l="1"/>
  <c r="L537" i="3"/>
  <c r="AA538" i="3"/>
  <c r="AC538" i="3"/>
  <c r="Z538" i="3"/>
  <c r="P538" i="3"/>
  <c r="Q538" i="3" s="1"/>
  <c r="R538" i="3" s="1"/>
  <c r="S538" i="3" s="1"/>
  <c r="T538" i="3" l="1"/>
  <c r="U537" i="3"/>
  <c r="Y536" i="3"/>
  <c r="D538" i="3" l="1"/>
  <c r="G538" i="3" s="1"/>
  <c r="AH538" i="3"/>
  <c r="AG538" i="3"/>
  <c r="E538" i="3"/>
  <c r="H538" i="3" s="1"/>
  <c r="F538" i="3" l="1"/>
  <c r="I538" i="3"/>
  <c r="J538" i="3"/>
  <c r="AD538" i="3" s="1"/>
  <c r="M538" i="3"/>
  <c r="N538" i="3" s="1"/>
  <c r="K538" i="3"/>
  <c r="AE538" i="3" s="1"/>
  <c r="V538" i="3" l="1"/>
  <c r="W538" i="3" s="1"/>
  <c r="A539" i="3"/>
  <c r="B539" i="3" s="1"/>
  <c r="L538" i="3"/>
  <c r="U538" i="3" l="1"/>
  <c r="Y537" i="3"/>
  <c r="Z539" i="3"/>
  <c r="P539" i="3"/>
  <c r="Q539" i="3" s="1"/>
  <c r="R539" i="3" s="1"/>
  <c r="S539" i="3" s="1"/>
  <c r="AD539" i="3"/>
  <c r="AA539" i="3"/>
  <c r="AC539" i="3"/>
  <c r="T539" i="3" l="1"/>
  <c r="AH539" i="3" s="1"/>
  <c r="AG539" i="3" l="1"/>
  <c r="E539" i="3"/>
  <c r="H539" i="3" s="1"/>
  <c r="K539" i="3" s="1"/>
  <c r="AE539" i="3" s="1"/>
  <c r="D539" i="3"/>
  <c r="G539" i="3" s="1"/>
  <c r="F539" i="3" l="1"/>
  <c r="V539" i="3"/>
  <c r="A540" i="3"/>
  <c r="B540" i="3" s="1"/>
  <c r="I539" i="3"/>
  <c r="J539" i="3"/>
  <c r="M539" i="3"/>
  <c r="N539" i="3" s="1"/>
  <c r="W539" i="3" l="1"/>
  <c r="L539" i="3"/>
  <c r="AA540" i="3"/>
  <c r="AC540" i="3"/>
  <c r="Z540" i="3"/>
  <c r="AD540" i="3"/>
  <c r="P540" i="3"/>
  <c r="Q540" i="3" s="1"/>
  <c r="R540" i="3" s="1"/>
  <c r="S540" i="3" s="1"/>
  <c r="U539" i="3" l="1"/>
  <c r="Y538" i="3"/>
  <c r="T540" i="3"/>
  <c r="AG540" i="3" s="1"/>
  <c r="E540" i="3" l="1"/>
  <c r="H540" i="3" s="1"/>
  <c r="D540" i="3"/>
  <c r="AH540" i="3"/>
  <c r="K540" i="3" l="1"/>
  <c r="AE540" i="3" s="1"/>
  <c r="F540" i="3"/>
  <c r="G540" i="3"/>
  <c r="V540" i="3" l="1"/>
  <c r="A541" i="3"/>
  <c r="B541" i="3" s="1"/>
  <c r="I540" i="3"/>
  <c r="J540" i="3"/>
  <c r="M540" i="3"/>
  <c r="N540" i="3" s="1"/>
  <c r="W540" i="3" l="1"/>
  <c r="L540" i="3"/>
  <c r="P541" i="3"/>
  <c r="Q541" i="3" s="1"/>
  <c r="R541" i="3" s="1"/>
  <c r="S541" i="3" s="1"/>
  <c r="AA541" i="3"/>
  <c r="AD541" i="3"/>
  <c r="Z541" i="3"/>
  <c r="AC541" i="3"/>
  <c r="U540" i="3" l="1"/>
  <c r="Y539" i="3"/>
  <c r="T541" i="3"/>
  <c r="AG541" i="3" s="1"/>
  <c r="AH541" i="3" l="1"/>
  <c r="E541" i="3"/>
  <c r="H541" i="3" s="1"/>
  <c r="D541" i="3"/>
  <c r="K541" i="3" l="1"/>
  <c r="AE541" i="3" s="1"/>
  <c r="F541" i="3"/>
  <c r="G541" i="3"/>
  <c r="I541" i="3" l="1"/>
  <c r="J541" i="3"/>
  <c r="M541" i="3"/>
  <c r="N541" i="3" s="1"/>
  <c r="V541" i="3"/>
  <c r="A542" i="3"/>
  <c r="B542" i="3" s="1"/>
  <c r="W541" i="3" l="1"/>
  <c r="L541" i="3"/>
  <c r="AC542" i="3"/>
  <c r="P542" i="3"/>
  <c r="Q542" i="3" s="1"/>
  <c r="R542" i="3" s="1"/>
  <c r="S542" i="3" s="1"/>
  <c r="AA542" i="3"/>
  <c r="Z542" i="3"/>
  <c r="AD542" i="3"/>
  <c r="T542" i="3" l="1"/>
  <c r="AH542" i="3" s="1"/>
  <c r="U541" i="3"/>
  <c r="Y540" i="3"/>
  <c r="E542" i="3" l="1"/>
  <c r="H542" i="3" s="1"/>
  <c r="K542" i="3" s="1"/>
  <c r="AE542" i="3" s="1"/>
  <c r="AG542" i="3"/>
  <c r="D542" i="3"/>
  <c r="F542" i="3" l="1"/>
  <c r="G542" i="3"/>
  <c r="V542" i="3"/>
  <c r="A543" i="3"/>
  <c r="B543" i="3" s="1"/>
  <c r="P543" i="3" l="1"/>
  <c r="Q543" i="3" s="1"/>
  <c r="R543" i="3" s="1"/>
  <c r="S543" i="3" s="1"/>
  <c r="AD543" i="3"/>
  <c r="Z543" i="3"/>
  <c r="AA543" i="3"/>
  <c r="AC543" i="3"/>
  <c r="I542" i="3"/>
  <c r="W542" i="3" s="1"/>
  <c r="J542" i="3"/>
  <c r="M542" i="3"/>
  <c r="N542" i="3" s="1"/>
  <c r="T543" i="3" l="1"/>
  <c r="L542" i="3"/>
  <c r="AH543" i="3" l="1"/>
  <c r="U542" i="3"/>
  <c r="E543" i="3" s="1"/>
  <c r="H543" i="3" s="1"/>
  <c r="AG543" i="3"/>
  <c r="Y541" i="3"/>
  <c r="D543" i="3" l="1"/>
  <c r="G543" i="3" s="1"/>
  <c r="K543" i="3"/>
  <c r="AE543" i="3" s="1"/>
  <c r="F543" i="3" l="1"/>
  <c r="I543" i="3"/>
  <c r="J543" i="3"/>
  <c r="M543" i="3"/>
  <c r="N543" i="3" s="1"/>
  <c r="V543" i="3"/>
  <c r="A544" i="3"/>
  <c r="B544" i="3" s="1"/>
  <c r="W543" i="3" l="1"/>
  <c r="L543" i="3"/>
  <c r="P544" i="3"/>
  <c r="Q544" i="3" s="1"/>
  <c r="R544" i="3" s="1"/>
  <c r="S544" i="3" s="1"/>
  <c r="Z544" i="3"/>
  <c r="AC544" i="3"/>
  <c r="AA544" i="3"/>
  <c r="U543" i="3" l="1"/>
  <c r="Y542" i="3"/>
  <c r="T544" i="3"/>
  <c r="AG544" i="3" s="1"/>
  <c r="E544" i="3" l="1"/>
  <c r="H544" i="3" s="1"/>
  <c r="D544" i="3"/>
  <c r="AH544" i="3"/>
  <c r="K544" i="3" l="1"/>
  <c r="AE544" i="3" s="1"/>
  <c r="F544" i="3"/>
  <c r="G544" i="3"/>
  <c r="I544" i="3" l="1"/>
  <c r="J544" i="3"/>
  <c r="AD544" i="3" s="1"/>
  <c r="M544" i="3"/>
  <c r="N544" i="3" s="1"/>
  <c r="V544" i="3"/>
  <c r="A545" i="3"/>
  <c r="B545" i="3" s="1"/>
  <c r="W544" i="3" l="1"/>
  <c r="L544" i="3"/>
  <c r="Z545" i="3"/>
  <c r="AA545" i="3"/>
  <c r="AC545" i="3"/>
  <c r="P545" i="3"/>
  <c r="Q545" i="3" s="1"/>
  <c r="R545" i="3" s="1"/>
  <c r="S545" i="3" s="1"/>
  <c r="U544" i="3" l="1"/>
  <c r="Y543" i="3"/>
  <c r="T545" i="3"/>
  <c r="AH545" i="3" s="1"/>
  <c r="E545" i="3" l="1"/>
  <c r="H545" i="3" s="1"/>
  <c r="K545" i="3" s="1"/>
  <c r="AE545" i="3" s="1"/>
  <c r="D545" i="3"/>
  <c r="AG545" i="3"/>
  <c r="V545" i="3" l="1"/>
  <c r="A546" i="3"/>
  <c r="B546" i="3" s="1"/>
  <c r="F545" i="3"/>
  <c r="G545" i="3"/>
  <c r="I545" i="3" l="1"/>
  <c r="W545" i="3" s="1"/>
  <c r="J545" i="3"/>
  <c r="AD545" i="3" s="1"/>
  <c r="M545" i="3"/>
  <c r="N545" i="3" s="1"/>
  <c r="AC546" i="3"/>
  <c r="P546" i="3"/>
  <c r="Q546" i="3" s="1"/>
  <c r="R546" i="3" s="1"/>
  <c r="S546" i="3" s="1"/>
  <c r="Z546" i="3"/>
  <c r="AA546" i="3"/>
  <c r="T546" i="3" l="1"/>
  <c r="L545" i="3"/>
  <c r="U545" i="3" l="1"/>
  <c r="D546" i="3" s="1"/>
  <c r="AG546" i="3"/>
  <c r="AH546" i="3"/>
  <c r="Y544" i="3"/>
  <c r="E546" i="3" l="1"/>
  <c r="H546" i="3" s="1"/>
  <c r="K546" i="3" s="1"/>
  <c r="AE546" i="3" s="1"/>
  <c r="G546" i="3"/>
  <c r="F546" i="3" l="1"/>
  <c r="V546" i="3"/>
  <c r="A547" i="3"/>
  <c r="B547" i="3" s="1"/>
  <c r="I546" i="3"/>
  <c r="J546" i="3"/>
  <c r="AD546" i="3" s="1"/>
  <c r="M546" i="3"/>
  <c r="N546" i="3" s="1"/>
  <c r="W546" i="3" l="1"/>
  <c r="L546" i="3"/>
  <c r="AC547" i="3"/>
  <c r="P547" i="3"/>
  <c r="Q547" i="3" s="1"/>
  <c r="R547" i="3" s="1"/>
  <c r="S547" i="3" s="1"/>
  <c r="AA547" i="3"/>
  <c r="Z547" i="3"/>
  <c r="U546" i="3" l="1"/>
  <c r="Y545" i="3"/>
  <c r="T547" i="3"/>
  <c r="AG547" i="3" s="1"/>
  <c r="E547" i="3" l="1"/>
  <c r="H547" i="3" s="1"/>
  <c r="K547" i="3" s="1"/>
  <c r="AE547" i="3" s="1"/>
  <c r="D547" i="3"/>
  <c r="G547" i="3" s="1"/>
  <c r="AH547" i="3"/>
  <c r="F547" i="3" l="1"/>
  <c r="I547" i="3"/>
  <c r="J547" i="3"/>
  <c r="AD547" i="3" s="1"/>
  <c r="M547" i="3"/>
  <c r="N547" i="3" s="1"/>
  <c r="V547" i="3"/>
  <c r="A548" i="3"/>
  <c r="B548" i="3" s="1"/>
  <c r="W547" i="3" l="1"/>
  <c r="L547" i="3"/>
  <c r="Z548" i="3"/>
  <c r="AA548" i="3"/>
  <c r="P548" i="3"/>
  <c r="Q548" i="3" s="1"/>
  <c r="R548" i="3" s="1"/>
  <c r="S548" i="3" s="1"/>
  <c r="AC548" i="3"/>
  <c r="U547" i="3" l="1"/>
  <c r="Y546" i="3"/>
  <c r="T548" i="3"/>
  <c r="E548" i="3" l="1"/>
  <c r="H548" i="3" s="1"/>
  <c r="K548" i="3" s="1"/>
  <c r="AE548" i="3" s="1"/>
  <c r="D548" i="3"/>
  <c r="AG548" i="3"/>
  <c r="AH548" i="3"/>
  <c r="V548" i="3" l="1"/>
  <c r="A549" i="3"/>
  <c r="B549" i="3" s="1"/>
  <c r="F548" i="3"/>
  <c r="G548" i="3"/>
  <c r="I548" i="3" l="1"/>
  <c r="W548" i="3" s="1"/>
  <c r="J548" i="3"/>
  <c r="AD548" i="3" s="1"/>
  <c r="M548" i="3"/>
  <c r="N548" i="3" s="1"/>
  <c r="P549" i="3"/>
  <c r="Q549" i="3" s="1"/>
  <c r="R549" i="3" s="1"/>
  <c r="S549" i="3" s="1"/>
  <c r="AC549" i="3"/>
  <c r="AA549" i="3"/>
  <c r="Z549" i="3"/>
  <c r="T549" i="3" l="1"/>
  <c r="L548" i="3"/>
  <c r="AH549" i="3" l="1"/>
  <c r="U548" i="3"/>
  <c r="E549" i="3" s="1"/>
  <c r="H549" i="3" s="1"/>
  <c r="AG549" i="3"/>
  <c r="Y547" i="3"/>
  <c r="K549" i="3" l="1"/>
  <c r="AE549" i="3" s="1"/>
  <c r="D549" i="3"/>
  <c r="V549" i="3" l="1"/>
  <c r="A550" i="3"/>
  <c r="B550" i="3" s="1"/>
  <c r="F549" i="3"/>
  <c r="G549" i="3"/>
  <c r="I549" i="3" l="1"/>
  <c r="W549" i="3" s="1"/>
  <c r="J549" i="3"/>
  <c r="AD549" i="3" s="1"/>
  <c r="M549" i="3"/>
  <c r="N549" i="3" s="1"/>
  <c r="P550" i="3"/>
  <c r="Q550" i="3" s="1"/>
  <c r="R550" i="3" s="1"/>
  <c r="S550" i="3" s="1"/>
  <c r="AA550" i="3"/>
  <c r="AC550" i="3"/>
  <c r="Z550" i="3"/>
  <c r="T550" i="3" l="1"/>
  <c r="L549" i="3"/>
  <c r="U549" i="3" l="1"/>
  <c r="D550" i="3" s="1"/>
  <c r="AH550" i="3"/>
  <c r="AG550" i="3"/>
  <c r="Y548" i="3"/>
  <c r="E550" i="3" l="1"/>
  <c r="H550" i="3" s="1"/>
  <c r="K550" i="3" s="1"/>
  <c r="AE550" i="3" s="1"/>
  <c r="G550" i="3"/>
  <c r="F550" i="3" l="1"/>
  <c r="I550" i="3"/>
  <c r="J550" i="3"/>
  <c r="AD550" i="3" s="1"/>
  <c r="M550" i="3"/>
  <c r="N550" i="3" s="1"/>
  <c r="V550" i="3"/>
  <c r="A551" i="3"/>
  <c r="B551" i="3" s="1"/>
  <c r="W550" i="3" l="1"/>
  <c r="L550" i="3"/>
  <c r="P551" i="3"/>
  <c r="Q551" i="3" s="1"/>
  <c r="R551" i="3" s="1"/>
  <c r="S551" i="3" s="1"/>
  <c r="AC551" i="3"/>
  <c r="AA551" i="3"/>
  <c r="Z551" i="3"/>
  <c r="T551" i="3" l="1"/>
  <c r="AG551" i="3" s="1"/>
  <c r="U550" i="3"/>
  <c r="Y549" i="3"/>
  <c r="D551" i="3" l="1"/>
  <c r="G551" i="3" s="1"/>
  <c r="AH551" i="3"/>
  <c r="E551" i="3"/>
  <c r="H551" i="3" s="1"/>
  <c r="F551" i="3" l="1"/>
  <c r="I551" i="3"/>
  <c r="J551" i="3"/>
  <c r="AD551" i="3" s="1"/>
  <c r="M551" i="3"/>
  <c r="N551" i="3" s="1"/>
  <c r="K551" i="3"/>
  <c r="AE551" i="3" s="1"/>
  <c r="V551" i="3" l="1"/>
  <c r="W551" i="3" s="1"/>
  <c r="A552" i="3"/>
  <c r="B552" i="3" s="1"/>
  <c r="L551" i="3"/>
  <c r="U551" i="3" l="1"/>
  <c r="Y550" i="3"/>
  <c r="AA552" i="3"/>
  <c r="P552" i="3"/>
  <c r="Q552" i="3" s="1"/>
  <c r="R552" i="3" s="1"/>
  <c r="S552" i="3" s="1"/>
  <c r="AC552" i="3"/>
  <c r="Z552" i="3"/>
  <c r="T552" i="3" l="1"/>
  <c r="D552" i="3" s="1"/>
  <c r="AG552" i="3" l="1"/>
  <c r="AH552" i="3"/>
  <c r="E552" i="3"/>
  <c r="H552" i="3" s="1"/>
  <c r="K552" i="3" s="1"/>
  <c r="AE552" i="3" s="1"/>
  <c r="G552" i="3"/>
  <c r="F552" i="3" l="1"/>
  <c r="I552" i="3"/>
  <c r="J552" i="3"/>
  <c r="AD552" i="3" s="1"/>
  <c r="M552" i="3"/>
  <c r="N552" i="3" s="1"/>
  <c r="V552" i="3"/>
  <c r="A553" i="3"/>
  <c r="B553" i="3" s="1"/>
  <c r="W552" i="3" l="1"/>
  <c r="L552" i="3"/>
  <c r="P553" i="3"/>
  <c r="Q553" i="3" s="1"/>
  <c r="R553" i="3" s="1"/>
  <c r="S553" i="3" s="1"/>
  <c r="Z553" i="3"/>
  <c r="AC553" i="3"/>
  <c r="AA553" i="3"/>
  <c r="T553" i="3" l="1"/>
  <c r="U552" i="3"/>
  <c r="Y551" i="3"/>
  <c r="D553" i="3" l="1"/>
  <c r="G553" i="3" s="1"/>
  <c r="AH553" i="3"/>
  <c r="AG553" i="3"/>
  <c r="E553" i="3"/>
  <c r="H553" i="3" s="1"/>
  <c r="K553" i="3" l="1"/>
  <c r="AE553" i="3" s="1"/>
  <c r="F553" i="3"/>
  <c r="I553" i="3"/>
  <c r="J553" i="3"/>
  <c r="AD553" i="3" s="1"/>
  <c r="M553" i="3"/>
  <c r="N553" i="3" s="1"/>
  <c r="V553" i="3" l="1"/>
  <c r="W553" i="3" s="1"/>
  <c r="A554" i="3"/>
  <c r="B554" i="3" s="1"/>
  <c r="L553" i="3"/>
  <c r="U553" i="3" l="1"/>
  <c r="Y552" i="3"/>
  <c r="AA554" i="3"/>
  <c r="AC554" i="3"/>
  <c r="P554" i="3"/>
  <c r="Q554" i="3" s="1"/>
  <c r="R554" i="3" s="1"/>
  <c r="S554" i="3" s="1"/>
  <c r="Z554" i="3"/>
  <c r="T554" i="3" l="1"/>
  <c r="AH554" i="3" s="1"/>
  <c r="E554" i="3" l="1"/>
  <c r="H554" i="3" s="1"/>
  <c r="K554" i="3" s="1"/>
  <c r="AE554" i="3" s="1"/>
  <c r="AG554" i="3"/>
  <c r="D554" i="3"/>
  <c r="V554" i="3" l="1"/>
  <c r="A555" i="3"/>
  <c r="B555" i="3" s="1"/>
  <c r="F554" i="3"/>
  <c r="G554" i="3"/>
  <c r="I554" i="3" l="1"/>
  <c r="W554" i="3" s="1"/>
  <c r="J554" i="3"/>
  <c r="AD554" i="3" s="1"/>
  <c r="M554" i="3"/>
  <c r="N554" i="3" s="1"/>
  <c r="AA555" i="3"/>
  <c r="Z555" i="3"/>
  <c r="AC555" i="3"/>
  <c r="P555" i="3"/>
  <c r="Q555" i="3" s="1"/>
  <c r="R555" i="3" s="1"/>
  <c r="S555" i="3" s="1"/>
  <c r="L554" i="3" l="1"/>
  <c r="T555" i="3"/>
  <c r="U554" i="3" l="1"/>
  <c r="E555" i="3" s="1"/>
  <c r="H555" i="3" s="1"/>
  <c r="AG555" i="3"/>
  <c r="AH555" i="3"/>
  <c r="Y553" i="3"/>
  <c r="K555" i="3" l="1"/>
  <c r="AE555" i="3" s="1"/>
  <c r="D555" i="3"/>
  <c r="F555" i="3" l="1"/>
  <c r="G555" i="3"/>
  <c r="V555" i="3"/>
  <c r="A556" i="3"/>
  <c r="B556" i="3" s="1"/>
  <c r="P556" i="3" l="1"/>
  <c r="Q556" i="3" s="1"/>
  <c r="R556" i="3" s="1"/>
  <c r="S556" i="3" s="1"/>
  <c r="AA556" i="3"/>
  <c r="Z556" i="3"/>
  <c r="AC556" i="3"/>
  <c r="I555" i="3"/>
  <c r="W555" i="3" s="1"/>
  <c r="J555" i="3"/>
  <c r="AD555" i="3" s="1"/>
  <c r="M555" i="3"/>
  <c r="N555" i="3" s="1"/>
  <c r="T556" i="3" l="1"/>
  <c r="L555" i="3"/>
  <c r="AH556" i="3" l="1"/>
  <c r="U555" i="3"/>
  <c r="D556" i="3" s="1"/>
  <c r="AG556" i="3"/>
  <c r="Y554" i="3"/>
  <c r="E556" i="3" l="1"/>
  <c r="H556" i="3" s="1"/>
  <c r="K556" i="3" s="1"/>
  <c r="AE556" i="3" s="1"/>
  <c r="G556" i="3"/>
  <c r="F556" i="3" l="1"/>
  <c r="I556" i="3"/>
  <c r="J556" i="3"/>
  <c r="AD556" i="3" s="1"/>
  <c r="M556" i="3"/>
  <c r="N556" i="3" s="1"/>
  <c r="V556" i="3"/>
  <c r="A557" i="3"/>
  <c r="B557" i="3" s="1"/>
  <c r="W556" i="3" l="1"/>
  <c r="L556" i="3"/>
  <c r="P557" i="3"/>
  <c r="Q557" i="3" s="1"/>
  <c r="R557" i="3" s="1"/>
  <c r="S557" i="3" s="1"/>
  <c r="AA557" i="3"/>
  <c r="AC557" i="3"/>
  <c r="Z557" i="3"/>
  <c r="U556" i="3" l="1"/>
  <c r="Y555" i="3"/>
  <c r="T557" i="3"/>
  <c r="AH557" i="3" s="1"/>
  <c r="D557" i="3" l="1"/>
  <c r="G557" i="3" s="1"/>
  <c r="AG557" i="3"/>
  <c r="E557" i="3"/>
  <c r="H557" i="3" s="1"/>
  <c r="K557" i="3" s="1"/>
  <c r="AE557" i="3" s="1"/>
  <c r="F557" i="3" l="1"/>
  <c r="I557" i="3"/>
  <c r="J557" i="3"/>
  <c r="AD557" i="3" s="1"/>
  <c r="M557" i="3"/>
  <c r="N557" i="3" s="1"/>
  <c r="V557" i="3"/>
  <c r="A558" i="3"/>
  <c r="B558" i="3" s="1"/>
  <c r="W557" i="3" l="1"/>
  <c r="L557" i="3"/>
  <c r="AA558" i="3"/>
  <c r="P558" i="3"/>
  <c r="Q558" i="3" s="1"/>
  <c r="R558" i="3" s="1"/>
  <c r="S558" i="3" s="1"/>
  <c r="Z558" i="3"/>
  <c r="AC558" i="3"/>
  <c r="T558" i="3" l="1"/>
  <c r="AG558" i="3" s="1"/>
  <c r="U557" i="3"/>
  <c r="Y556" i="3"/>
  <c r="E558" i="3" l="1"/>
  <c r="H558" i="3" s="1"/>
  <c r="AH558" i="3"/>
  <c r="D558" i="3"/>
  <c r="F558" i="3" l="1"/>
  <c r="G558" i="3"/>
  <c r="K558" i="3"/>
  <c r="AE558" i="3" s="1"/>
  <c r="I558" i="3" l="1"/>
  <c r="J558" i="3"/>
  <c r="AD558" i="3" s="1"/>
  <c r="M558" i="3"/>
  <c r="N558" i="3" s="1"/>
  <c r="V558" i="3"/>
  <c r="A559" i="3"/>
  <c r="B559" i="3" s="1"/>
  <c r="W558" i="3" l="1"/>
  <c r="L558" i="3"/>
  <c r="AC559" i="3"/>
  <c r="P559" i="3"/>
  <c r="Q559" i="3" s="1"/>
  <c r="R559" i="3" s="1"/>
  <c r="S559" i="3" s="1"/>
  <c r="AA559" i="3"/>
  <c r="Z559" i="3"/>
  <c r="T559" i="3" l="1"/>
  <c r="U558" i="3"/>
  <c r="Y557" i="3"/>
  <c r="E559" i="3" l="1"/>
  <c r="H559" i="3" s="1"/>
  <c r="K559" i="3" s="1"/>
  <c r="AE559" i="3" s="1"/>
  <c r="AH559" i="3"/>
  <c r="AG559" i="3"/>
  <c r="D559" i="3"/>
  <c r="V559" i="3" l="1"/>
  <c r="A560" i="3"/>
  <c r="B560" i="3" s="1"/>
  <c r="F559" i="3"/>
  <c r="G559" i="3"/>
  <c r="I559" i="3" l="1"/>
  <c r="W559" i="3" s="1"/>
  <c r="J559" i="3"/>
  <c r="AD559" i="3" s="1"/>
  <c r="M559" i="3"/>
  <c r="N559" i="3" s="1"/>
  <c r="Z560" i="3"/>
  <c r="AC560" i="3"/>
  <c r="AA560" i="3"/>
  <c r="P560" i="3"/>
  <c r="Q560" i="3" s="1"/>
  <c r="R560" i="3" s="1"/>
  <c r="S560" i="3" s="1"/>
  <c r="T560" i="3" l="1"/>
  <c r="L559" i="3"/>
  <c r="AG560" i="3" l="1"/>
  <c r="U559" i="3"/>
  <c r="D560" i="3" s="1"/>
  <c r="AH560" i="3"/>
  <c r="Y558" i="3"/>
  <c r="E560" i="3" l="1"/>
  <c r="H560" i="3" s="1"/>
  <c r="K560" i="3" s="1"/>
  <c r="AE560" i="3" s="1"/>
  <c r="G560" i="3"/>
  <c r="F560" i="3" l="1"/>
  <c r="V560" i="3"/>
  <c r="A561" i="3"/>
  <c r="B561" i="3" s="1"/>
  <c r="I560" i="3"/>
  <c r="J560" i="3"/>
  <c r="AD560" i="3" s="1"/>
  <c r="M560" i="3"/>
  <c r="N560" i="3" s="1"/>
  <c r="W560" i="3" l="1"/>
  <c r="L560" i="3"/>
  <c r="AA561" i="3"/>
  <c r="P561" i="3"/>
  <c r="Q561" i="3" s="1"/>
  <c r="R561" i="3" s="1"/>
  <c r="S561" i="3" s="1"/>
  <c r="Z561" i="3"/>
  <c r="AC561" i="3"/>
  <c r="U560" i="3" l="1"/>
  <c r="Y559" i="3"/>
  <c r="T561" i="3"/>
  <c r="E561" i="3" l="1"/>
  <c r="H561" i="3" s="1"/>
  <c r="K561" i="3" s="1"/>
  <c r="AE561" i="3" s="1"/>
  <c r="D561" i="3"/>
  <c r="AH561" i="3"/>
  <c r="AG561" i="3"/>
  <c r="F561" i="3" l="1"/>
  <c r="G561" i="3"/>
  <c r="M561" i="3" s="1"/>
  <c r="N561" i="3" s="1"/>
  <c r="V561" i="3"/>
  <c r="A562" i="3"/>
  <c r="B562" i="3" s="1"/>
  <c r="I561" i="3" l="1"/>
  <c r="W561" i="3" s="1"/>
  <c r="J561" i="3"/>
  <c r="Z562" i="3"/>
  <c r="AA562" i="3"/>
  <c r="P562" i="3"/>
  <c r="Q562" i="3" s="1"/>
  <c r="R562" i="3" s="1"/>
  <c r="S562" i="3" s="1"/>
  <c r="AC562" i="3"/>
  <c r="L561" i="3" l="1"/>
  <c r="U561" i="3" s="1"/>
  <c r="AD561" i="3"/>
  <c r="Y560" i="3"/>
  <c r="T562" i="3"/>
  <c r="AH562" i="3" s="1"/>
  <c r="AG562" i="3" l="1"/>
  <c r="E562" i="3"/>
  <c r="H562" i="3" s="1"/>
  <c r="K562" i="3" s="1"/>
  <c r="AE562" i="3" s="1"/>
  <c r="D562" i="3"/>
  <c r="F562" i="3" l="1"/>
  <c r="G562" i="3"/>
  <c r="J562" i="3" s="1"/>
  <c r="AD562" i="3" s="1"/>
  <c r="V562" i="3"/>
  <c r="A563" i="3"/>
  <c r="B563" i="3" s="1"/>
  <c r="M562" i="3" l="1"/>
  <c r="N562" i="3" s="1"/>
  <c r="I562" i="3"/>
  <c r="W562" i="3" s="1"/>
  <c r="L562" i="3"/>
  <c r="Z563" i="3"/>
  <c r="P563" i="3"/>
  <c r="Q563" i="3" s="1"/>
  <c r="R563" i="3" s="1"/>
  <c r="S563" i="3" s="1"/>
  <c r="AC563" i="3"/>
  <c r="AA563" i="3"/>
  <c r="U562" i="3" l="1"/>
  <c r="Y561" i="3"/>
  <c r="T563" i="3"/>
  <c r="AH563" i="3" s="1"/>
  <c r="AG563" i="3" l="1"/>
  <c r="D563" i="3"/>
  <c r="E563" i="3"/>
  <c r="H563" i="3" s="1"/>
  <c r="K563" i="3" s="1"/>
  <c r="AE563" i="3" s="1"/>
  <c r="F563" i="3" l="1"/>
  <c r="G563" i="3"/>
  <c r="M563" i="3" s="1"/>
  <c r="N563" i="3" s="1"/>
  <c r="V563" i="3"/>
  <c r="A564" i="3"/>
  <c r="B564" i="3" s="1"/>
  <c r="I563" i="3" l="1"/>
  <c r="W563" i="3" s="1"/>
  <c r="J563" i="3"/>
  <c r="Z564" i="3"/>
  <c r="P564" i="3"/>
  <c r="Q564" i="3" s="1"/>
  <c r="R564" i="3" s="1"/>
  <c r="S564" i="3" s="1"/>
  <c r="AC564" i="3"/>
  <c r="AA564" i="3"/>
  <c r="L563" i="3" l="1"/>
  <c r="U563" i="3" s="1"/>
  <c r="AD563" i="3"/>
  <c r="T564" i="3"/>
  <c r="AH564" i="3" s="1"/>
  <c r="Y562" i="3" l="1"/>
  <c r="D564" i="3"/>
  <c r="E564" i="3"/>
  <c r="H564" i="3" s="1"/>
  <c r="AG564" i="3"/>
  <c r="K564" i="3" l="1"/>
  <c r="AE564" i="3" s="1"/>
  <c r="F564" i="3"/>
  <c r="G564" i="3"/>
  <c r="V564" i="3" l="1"/>
  <c r="A565" i="3"/>
  <c r="B565" i="3" s="1"/>
  <c r="I564" i="3"/>
  <c r="J564" i="3"/>
  <c r="AD564" i="3" s="1"/>
  <c r="M564" i="3"/>
  <c r="N564" i="3" s="1"/>
  <c r="W564" i="3" l="1"/>
  <c r="L564" i="3"/>
  <c r="Z565" i="3"/>
  <c r="AC565" i="3"/>
  <c r="P565" i="3"/>
  <c r="Q565" i="3" s="1"/>
  <c r="R565" i="3" s="1"/>
  <c r="S565" i="3" s="1"/>
  <c r="AA565" i="3"/>
  <c r="U564" i="3" l="1"/>
  <c r="Y563" i="3"/>
  <c r="T565" i="3"/>
  <c r="E565" i="3" l="1"/>
  <c r="H565" i="3" s="1"/>
  <c r="K565" i="3" s="1"/>
  <c r="AE565" i="3" s="1"/>
  <c r="D565" i="3"/>
  <c r="AG565" i="3"/>
  <c r="AH565" i="3"/>
  <c r="V565" i="3" l="1"/>
  <c r="A566" i="3"/>
  <c r="B566" i="3" s="1"/>
  <c r="F565" i="3"/>
  <c r="G565" i="3"/>
  <c r="I565" i="3" l="1"/>
  <c r="W565" i="3" s="1"/>
  <c r="J565" i="3"/>
  <c r="AD565" i="3" s="1"/>
  <c r="M565" i="3"/>
  <c r="N565" i="3" s="1"/>
  <c r="Z566" i="3"/>
  <c r="AA566" i="3"/>
  <c r="P566" i="3"/>
  <c r="Q566" i="3" s="1"/>
  <c r="R566" i="3" s="1"/>
  <c r="S566" i="3" s="1"/>
  <c r="AC566" i="3"/>
  <c r="L565" i="3" l="1"/>
  <c r="T566" i="3"/>
  <c r="AG566" i="3" l="1"/>
  <c r="AH566" i="3"/>
  <c r="U565" i="3"/>
  <c r="D566" i="3" s="1"/>
  <c r="Y564" i="3"/>
  <c r="G566" i="3" l="1"/>
  <c r="E566" i="3"/>
  <c r="H566" i="3" s="1"/>
  <c r="F566" i="3" l="1"/>
  <c r="I566" i="3"/>
  <c r="J566" i="3"/>
  <c r="AD566" i="3" s="1"/>
  <c r="M566" i="3"/>
  <c r="N566" i="3" s="1"/>
  <c r="K566" i="3"/>
  <c r="AE566" i="3" s="1"/>
  <c r="V566" i="3" l="1"/>
  <c r="W566" i="3" s="1"/>
  <c r="A567" i="3"/>
  <c r="B567" i="3" s="1"/>
  <c r="L566" i="3"/>
  <c r="U566" i="3" l="1"/>
  <c r="Y565" i="3"/>
  <c r="P567" i="3"/>
  <c r="Q567" i="3" s="1"/>
  <c r="R567" i="3" s="1"/>
  <c r="S567" i="3" s="1"/>
  <c r="AA567" i="3"/>
  <c r="Z567" i="3"/>
  <c r="AC567" i="3"/>
  <c r="T567" i="3" l="1"/>
  <c r="AG567" i="3" s="1"/>
  <c r="AH567" i="3" l="1"/>
  <c r="E567" i="3"/>
  <c r="H567" i="3" s="1"/>
  <c r="K567" i="3" s="1"/>
  <c r="AE567" i="3" s="1"/>
  <c r="D567" i="3"/>
  <c r="G567" i="3" s="1"/>
  <c r="F567" i="3" l="1"/>
  <c r="I567" i="3"/>
  <c r="J567" i="3"/>
  <c r="AD567" i="3" s="1"/>
  <c r="M567" i="3"/>
  <c r="N567" i="3" s="1"/>
  <c r="V567" i="3"/>
  <c r="A568" i="3"/>
  <c r="B568" i="3" s="1"/>
  <c r="W567" i="3" l="1"/>
  <c r="L567" i="3"/>
  <c r="AC568" i="3"/>
  <c r="P568" i="3"/>
  <c r="Q568" i="3" s="1"/>
  <c r="R568" i="3" s="1"/>
  <c r="S568" i="3" s="1"/>
  <c r="AA568" i="3"/>
  <c r="Z568" i="3"/>
  <c r="U567" i="3" l="1"/>
  <c r="Y566" i="3"/>
  <c r="T568" i="3"/>
  <c r="AG568" i="3" s="1"/>
  <c r="D568" i="3" l="1"/>
  <c r="G568" i="3" s="1"/>
  <c r="E568" i="3"/>
  <c r="H568" i="3" s="1"/>
  <c r="K568" i="3" s="1"/>
  <c r="AE568" i="3" s="1"/>
  <c r="AH568" i="3"/>
  <c r="F568" i="3" l="1"/>
  <c r="V568" i="3"/>
  <c r="A569" i="3"/>
  <c r="B569" i="3" s="1"/>
  <c r="I568" i="3"/>
  <c r="J568" i="3"/>
  <c r="AD568" i="3" s="1"/>
  <c r="M568" i="3"/>
  <c r="N568" i="3" s="1"/>
  <c r="L568" i="3" l="1"/>
  <c r="W568" i="3"/>
  <c r="AA569" i="3"/>
  <c r="P569" i="3"/>
  <c r="Q569" i="3" s="1"/>
  <c r="R569" i="3" s="1"/>
  <c r="S569" i="3" s="1"/>
  <c r="AC569" i="3"/>
  <c r="Z569" i="3"/>
  <c r="T569" i="3" l="1"/>
  <c r="AH569" i="3" s="1"/>
  <c r="U568" i="3"/>
  <c r="Y567" i="3"/>
  <c r="D569" i="3" l="1"/>
  <c r="G569" i="3" s="1"/>
  <c r="AG569" i="3"/>
  <c r="E569" i="3"/>
  <c r="H569" i="3" s="1"/>
  <c r="F569" i="3" l="1"/>
  <c r="I569" i="3"/>
  <c r="J569" i="3"/>
  <c r="AD569" i="3" s="1"/>
  <c r="M569" i="3"/>
  <c r="N569" i="3" s="1"/>
  <c r="K569" i="3"/>
  <c r="AE569" i="3" s="1"/>
  <c r="L569" i="3" l="1"/>
  <c r="V569" i="3"/>
  <c r="W569" i="3" s="1"/>
  <c r="A570" i="3"/>
  <c r="B570" i="3" s="1"/>
  <c r="AC570" i="3" l="1"/>
  <c r="P570" i="3"/>
  <c r="Q570" i="3" s="1"/>
  <c r="R570" i="3" s="1"/>
  <c r="S570" i="3" s="1"/>
  <c r="Z570" i="3"/>
  <c r="AA570" i="3"/>
  <c r="U569" i="3"/>
  <c r="Y568" i="3"/>
  <c r="T570" i="3" l="1"/>
  <c r="D570" i="3" l="1"/>
  <c r="E570" i="3"/>
  <c r="H570" i="3" s="1"/>
  <c r="AG570" i="3"/>
  <c r="AH570" i="3"/>
  <c r="F570" i="3" l="1"/>
  <c r="G570" i="3"/>
  <c r="K570" i="3"/>
  <c r="AE570" i="3" s="1"/>
  <c r="V570" i="3" l="1"/>
  <c r="A571" i="3"/>
  <c r="B571" i="3" s="1"/>
  <c r="I570" i="3"/>
  <c r="J570" i="3"/>
  <c r="AD570" i="3" s="1"/>
  <c r="M570" i="3"/>
  <c r="N570" i="3" s="1"/>
  <c r="W570" i="3" l="1"/>
  <c r="L570" i="3"/>
  <c r="P571" i="3"/>
  <c r="Q571" i="3" s="1"/>
  <c r="R571" i="3" s="1"/>
  <c r="S571" i="3" s="1"/>
  <c r="AA571" i="3"/>
  <c r="Z571" i="3"/>
  <c r="AC571" i="3"/>
  <c r="U570" i="3" l="1"/>
  <c r="Y569" i="3"/>
  <c r="T571" i="3"/>
  <c r="D571" i="3" l="1"/>
  <c r="G571" i="3" s="1"/>
  <c r="AG571" i="3"/>
  <c r="AH571" i="3"/>
  <c r="E571" i="3"/>
  <c r="H571" i="3" s="1"/>
  <c r="K571" i="3" s="1"/>
  <c r="AE571" i="3" s="1"/>
  <c r="F571" i="3" l="1"/>
  <c r="V571" i="3"/>
  <c r="A572" i="3"/>
  <c r="B572" i="3" s="1"/>
  <c r="I571" i="3"/>
  <c r="J571" i="3"/>
  <c r="AD571" i="3" s="1"/>
  <c r="M571" i="3"/>
  <c r="N571" i="3" s="1"/>
  <c r="W571" i="3" l="1"/>
  <c r="L571" i="3"/>
  <c r="AC572" i="3"/>
  <c r="P572" i="3"/>
  <c r="Q572" i="3" s="1"/>
  <c r="R572" i="3" s="1"/>
  <c r="S572" i="3" s="1"/>
  <c r="AA572" i="3"/>
  <c r="Z572" i="3"/>
  <c r="T572" i="3" l="1"/>
  <c r="AH572" i="3" s="1"/>
  <c r="U571" i="3"/>
  <c r="Y570" i="3"/>
  <c r="E572" i="3" l="1"/>
  <c r="H572" i="3" s="1"/>
  <c r="AG572" i="3"/>
  <c r="D572" i="3"/>
  <c r="F572" i="3" l="1"/>
  <c r="G572" i="3"/>
  <c r="K572" i="3"/>
  <c r="AE572" i="3" s="1"/>
  <c r="V572" i="3" l="1"/>
  <c r="A573" i="3"/>
  <c r="B573" i="3" s="1"/>
  <c r="I572" i="3"/>
  <c r="J572" i="3"/>
  <c r="AD572" i="3" s="1"/>
  <c r="M572" i="3"/>
  <c r="N572" i="3" s="1"/>
  <c r="W572" i="3" l="1"/>
  <c r="L572" i="3"/>
  <c r="P573" i="3"/>
  <c r="Q573" i="3" s="1"/>
  <c r="R573" i="3" s="1"/>
  <c r="S573" i="3" s="1"/>
  <c r="Z573" i="3"/>
  <c r="AC573" i="3"/>
  <c r="AA573" i="3"/>
  <c r="U572" i="3" l="1"/>
  <c r="Y571" i="3"/>
  <c r="T573" i="3"/>
  <c r="E573" i="3" l="1"/>
  <c r="H573" i="3" s="1"/>
  <c r="K573" i="3" s="1"/>
  <c r="AE573" i="3" s="1"/>
  <c r="D573" i="3"/>
  <c r="AH573" i="3"/>
  <c r="AG573" i="3"/>
  <c r="F573" i="3" l="1"/>
  <c r="G573" i="3"/>
  <c r="I573" i="3" s="1"/>
  <c r="V573" i="3"/>
  <c r="A574" i="3"/>
  <c r="B574" i="3" s="1"/>
  <c r="J573" i="3" l="1"/>
  <c r="M573" i="3"/>
  <c r="N573" i="3" s="1"/>
  <c r="W573" i="3"/>
  <c r="AA574" i="3"/>
  <c r="Z574" i="3"/>
  <c r="P574" i="3"/>
  <c r="Q574" i="3" s="1"/>
  <c r="R574" i="3" s="1"/>
  <c r="S574" i="3" s="1"/>
  <c r="AC574" i="3"/>
  <c r="L573" i="3" l="1"/>
  <c r="U573" i="3" s="1"/>
  <c r="AD573" i="3"/>
  <c r="T574" i="3"/>
  <c r="AH574" i="3" l="1"/>
  <c r="Y572" i="3"/>
  <c r="D574" i="3"/>
  <c r="G574" i="3" s="1"/>
  <c r="AG574" i="3"/>
  <c r="E574" i="3"/>
  <c r="H574" i="3" s="1"/>
  <c r="K574" i="3" l="1"/>
  <c r="AE574" i="3" s="1"/>
  <c r="I574" i="3"/>
  <c r="J574" i="3"/>
  <c r="AD574" i="3" s="1"/>
  <c r="M574" i="3"/>
  <c r="N574" i="3" s="1"/>
  <c r="F574" i="3"/>
  <c r="V574" i="3" l="1"/>
  <c r="W574" i="3" s="1"/>
  <c r="A575" i="3"/>
  <c r="B575" i="3" s="1"/>
  <c r="L574" i="3"/>
  <c r="U574" i="3" l="1"/>
  <c r="Y573" i="3"/>
  <c r="P575" i="3"/>
  <c r="Q575" i="3" s="1"/>
  <c r="R575" i="3" s="1"/>
  <c r="S575" i="3" s="1"/>
  <c r="Z575" i="3"/>
  <c r="AC575" i="3"/>
  <c r="AA575" i="3"/>
  <c r="T575" i="3" l="1"/>
  <c r="AH575" i="3" s="1"/>
  <c r="AG575" i="3" l="1"/>
  <c r="E575" i="3"/>
  <c r="H575" i="3" s="1"/>
  <c r="D575" i="3"/>
  <c r="K575" i="3" l="1"/>
  <c r="AE575" i="3" s="1"/>
  <c r="F575" i="3"/>
  <c r="G575" i="3"/>
  <c r="V575" i="3" l="1"/>
  <c r="A576" i="3"/>
  <c r="B576" i="3" s="1"/>
  <c r="I575" i="3"/>
  <c r="J575" i="3"/>
  <c r="AD575" i="3" s="1"/>
  <c r="M575" i="3"/>
  <c r="N575" i="3" s="1"/>
  <c r="W575" i="3" l="1"/>
  <c r="L575" i="3"/>
  <c r="AA576" i="3"/>
  <c r="P576" i="3"/>
  <c r="Q576" i="3" s="1"/>
  <c r="R576" i="3" s="1"/>
  <c r="S576" i="3" s="1"/>
  <c r="Z576" i="3"/>
  <c r="AC576" i="3"/>
  <c r="U575" i="3" l="1"/>
  <c r="Y574" i="3"/>
  <c r="T576" i="3"/>
  <c r="E576" i="3" l="1"/>
  <c r="H576" i="3" s="1"/>
  <c r="K576" i="3" s="1"/>
  <c r="AE576" i="3" s="1"/>
  <c r="AH576" i="3"/>
  <c r="D576" i="3"/>
  <c r="G576" i="3" s="1"/>
  <c r="AG576" i="3"/>
  <c r="F576" i="3" l="1"/>
  <c r="V576" i="3"/>
  <c r="A577" i="3"/>
  <c r="B577" i="3" s="1"/>
  <c r="I576" i="3"/>
  <c r="J576" i="3"/>
  <c r="AD576" i="3" s="1"/>
  <c r="M576" i="3"/>
  <c r="N576" i="3" s="1"/>
  <c r="W576" i="3" l="1"/>
  <c r="L576" i="3"/>
  <c r="P577" i="3"/>
  <c r="Q577" i="3" s="1"/>
  <c r="R577" i="3" s="1"/>
  <c r="S577" i="3" s="1"/>
  <c r="AC577" i="3"/>
  <c r="AA577" i="3"/>
  <c r="Z577" i="3"/>
  <c r="U576" i="3" l="1"/>
  <c r="Y575" i="3"/>
  <c r="T577" i="3"/>
  <c r="AH577" i="3" s="1"/>
  <c r="E577" i="3" l="1"/>
  <c r="H577" i="3" s="1"/>
  <c r="K577" i="3" s="1"/>
  <c r="AE577" i="3" s="1"/>
  <c r="AG577" i="3"/>
  <c r="D577" i="3"/>
  <c r="F577" i="3" l="1"/>
  <c r="G577" i="3"/>
  <c r="J577" i="3" s="1"/>
  <c r="AD577" i="3" s="1"/>
  <c r="V577" i="3"/>
  <c r="A578" i="3"/>
  <c r="B578" i="3" s="1"/>
  <c r="M577" i="3" l="1"/>
  <c r="N577" i="3" s="1"/>
  <c r="I577" i="3"/>
  <c r="W577" i="3" s="1"/>
  <c r="L577" i="3"/>
  <c r="AC578" i="3"/>
  <c r="P578" i="3"/>
  <c r="Q578" i="3" s="1"/>
  <c r="R578" i="3" s="1"/>
  <c r="S578" i="3" s="1"/>
  <c r="Z578" i="3"/>
  <c r="AA578" i="3"/>
  <c r="U577" i="3" l="1"/>
  <c r="Y576" i="3"/>
  <c r="T578" i="3"/>
  <c r="AG578" i="3" s="1"/>
  <c r="D578" i="3" l="1"/>
  <c r="G578" i="3" s="1"/>
  <c r="AH578" i="3"/>
  <c r="E578" i="3"/>
  <c r="H578" i="3" s="1"/>
  <c r="K578" i="3" s="1"/>
  <c r="AE578" i="3" s="1"/>
  <c r="F578" i="3" l="1"/>
  <c r="I578" i="3"/>
  <c r="J578" i="3"/>
  <c r="AD578" i="3" s="1"/>
  <c r="M578" i="3"/>
  <c r="N578" i="3" s="1"/>
  <c r="V578" i="3"/>
  <c r="A579" i="3"/>
  <c r="B579" i="3" s="1"/>
  <c r="W578" i="3" l="1"/>
  <c r="L578" i="3"/>
  <c r="AC579" i="3"/>
  <c r="Z579" i="3"/>
  <c r="P579" i="3"/>
  <c r="Q579" i="3" s="1"/>
  <c r="R579" i="3" s="1"/>
  <c r="S579" i="3" s="1"/>
  <c r="AA579" i="3"/>
  <c r="U578" i="3" l="1"/>
  <c r="Y577" i="3"/>
  <c r="T579" i="3"/>
  <c r="AG579" i="3" s="1"/>
  <c r="E579" i="3" l="1"/>
  <c r="H579" i="3" s="1"/>
  <c r="K579" i="3" s="1"/>
  <c r="AE579" i="3" s="1"/>
  <c r="AH579" i="3"/>
  <c r="D579" i="3"/>
  <c r="F579" i="3" l="1"/>
  <c r="G579" i="3"/>
  <c r="M579" i="3" s="1"/>
  <c r="N579" i="3" s="1"/>
  <c r="V579" i="3"/>
  <c r="A580" i="3"/>
  <c r="B580" i="3" s="1"/>
  <c r="I579" i="3" l="1"/>
  <c r="W579" i="3" s="1"/>
  <c r="J579" i="3"/>
  <c r="P580" i="3"/>
  <c r="Q580" i="3" s="1"/>
  <c r="R580" i="3" s="1"/>
  <c r="S580" i="3" s="1"/>
  <c r="AA580" i="3"/>
  <c r="AC580" i="3"/>
  <c r="Z580" i="3"/>
  <c r="L579" i="3" l="1"/>
  <c r="Y578" i="3" s="1"/>
  <c r="AD579" i="3"/>
  <c r="T580" i="3"/>
  <c r="AH580" i="3" l="1"/>
  <c r="U579" i="3"/>
  <c r="E580" i="3" s="1"/>
  <c r="H580" i="3" s="1"/>
  <c r="AG580" i="3"/>
  <c r="D580" i="3" l="1"/>
  <c r="G580" i="3" s="1"/>
  <c r="K580" i="3"/>
  <c r="AE580" i="3" s="1"/>
  <c r="F580" i="3" l="1"/>
  <c r="I580" i="3"/>
  <c r="J580" i="3"/>
  <c r="AD580" i="3" s="1"/>
  <c r="M580" i="3"/>
  <c r="N580" i="3" s="1"/>
  <c r="V580" i="3"/>
  <c r="A581" i="3"/>
  <c r="B581" i="3" s="1"/>
  <c r="W580" i="3" l="1"/>
  <c r="P581" i="3"/>
  <c r="Q581" i="3" s="1"/>
  <c r="R581" i="3" s="1"/>
  <c r="S581" i="3" s="1"/>
  <c r="Z581" i="3"/>
  <c r="AA581" i="3"/>
  <c r="AC581" i="3"/>
  <c r="L580" i="3"/>
  <c r="T581" i="3" l="1"/>
  <c r="AH581" i="3" s="1"/>
  <c r="U580" i="3"/>
  <c r="Y579" i="3"/>
  <c r="D581" i="3" l="1"/>
  <c r="G581" i="3" s="1"/>
  <c r="AG581" i="3"/>
  <c r="E581" i="3"/>
  <c r="H581" i="3" s="1"/>
  <c r="I581" i="3" l="1"/>
  <c r="J581" i="3"/>
  <c r="AD581" i="3" s="1"/>
  <c r="M581" i="3"/>
  <c r="N581" i="3" s="1"/>
  <c r="F581" i="3"/>
  <c r="K581" i="3"/>
  <c r="AE581" i="3" s="1"/>
  <c r="L581" i="3" l="1"/>
  <c r="V581" i="3"/>
  <c r="W581" i="3" s="1"/>
  <c r="A582" i="3"/>
  <c r="B582" i="3" s="1"/>
  <c r="P582" i="3" l="1"/>
  <c r="Q582" i="3" s="1"/>
  <c r="R582" i="3" s="1"/>
  <c r="S582" i="3" s="1"/>
  <c r="Z582" i="3"/>
  <c r="AC582" i="3"/>
  <c r="AA582" i="3"/>
  <c r="U581" i="3"/>
  <c r="Y580" i="3"/>
  <c r="T582" i="3" l="1"/>
  <c r="AH582" i="3" s="1"/>
  <c r="E582" i="3" l="1"/>
  <c r="H582" i="3" s="1"/>
  <c r="K582" i="3" s="1"/>
  <c r="AE582" i="3" s="1"/>
  <c r="AG582" i="3"/>
  <c r="D582" i="3"/>
  <c r="V582" i="3" l="1"/>
  <c r="A583" i="3"/>
  <c r="B583" i="3" s="1"/>
  <c r="F582" i="3"/>
  <c r="G582" i="3"/>
  <c r="I582" i="3" l="1"/>
  <c r="W582" i="3" s="1"/>
  <c r="J582" i="3"/>
  <c r="AD582" i="3" s="1"/>
  <c r="M582" i="3"/>
  <c r="N582" i="3" s="1"/>
  <c r="AA583" i="3"/>
  <c r="Z583" i="3"/>
  <c r="P583" i="3"/>
  <c r="Q583" i="3" s="1"/>
  <c r="R583" i="3" s="1"/>
  <c r="S583" i="3" s="1"/>
  <c r="AC583" i="3"/>
  <c r="T583" i="3" l="1"/>
  <c r="L582" i="3"/>
  <c r="U582" i="3" l="1"/>
  <c r="E583" i="3" s="1"/>
  <c r="H583" i="3" s="1"/>
  <c r="AG583" i="3"/>
  <c r="AH583" i="3"/>
  <c r="Y581" i="3"/>
  <c r="D583" i="3" l="1"/>
  <c r="G583" i="3" s="1"/>
  <c r="K583" i="3"/>
  <c r="AE583" i="3" s="1"/>
  <c r="F583" i="3" l="1"/>
  <c r="V583" i="3"/>
  <c r="A584" i="3"/>
  <c r="B584" i="3" s="1"/>
  <c r="I583" i="3"/>
  <c r="J583" i="3"/>
  <c r="AD583" i="3" s="1"/>
  <c r="M583" i="3"/>
  <c r="N583" i="3" s="1"/>
  <c r="W583" i="3" l="1"/>
  <c r="L583" i="3"/>
  <c r="AC584" i="3"/>
  <c r="P584" i="3"/>
  <c r="Q584" i="3" s="1"/>
  <c r="R584" i="3" s="1"/>
  <c r="S584" i="3" s="1"/>
  <c r="AA584" i="3"/>
  <c r="Z584" i="3"/>
  <c r="U583" i="3" l="1"/>
  <c r="Y582" i="3"/>
  <c r="T584" i="3"/>
  <c r="AG584" i="3" s="1"/>
  <c r="E584" i="3" l="1"/>
  <c r="H584" i="3" s="1"/>
  <c r="K584" i="3" s="1"/>
  <c r="AE584" i="3" s="1"/>
  <c r="AH584" i="3"/>
  <c r="D584" i="3"/>
  <c r="V584" i="3" l="1"/>
  <c r="A585" i="3"/>
  <c r="B585" i="3" s="1"/>
  <c r="F584" i="3"/>
  <c r="G584" i="3"/>
  <c r="Z585" i="3" l="1"/>
  <c r="AA585" i="3"/>
  <c r="P585" i="3"/>
  <c r="Q585" i="3" s="1"/>
  <c r="R585" i="3" s="1"/>
  <c r="S585" i="3" s="1"/>
  <c r="AD585" i="3"/>
  <c r="AC585" i="3"/>
  <c r="I584" i="3"/>
  <c r="W584" i="3" s="1"/>
  <c r="J584" i="3"/>
  <c r="AD584" i="3" s="1"/>
  <c r="M584" i="3"/>
  <c r="N584" i="3" s="1"/>
  <c r="T585" i="3" l="1"/>
  <c r="L584" i="3"/>
  <c r="AG585" i="3" l="1"/>
  <c r="U584" i="3"/>
  <c r="D585" i="3" s="1"/>
  <c r="AH585" i="3"/>
  <c r="Y583" i="3"/>
  <c r="G585" i="3" l="1"/>
  <c r="E585" i="3"/>
  <c r="H585" i="3" s="1"/>
  <c r="F585" i="3" l="1"/>
  <c r="I585" i="3"/>
  <c r="J585" i="3"/>
  <c r="M585" i="3"/>
  <c r="N585" i="3" s="1"/>
  <c r="K585" i="3"/>
  <c r="AE585" i="3" s="1"/>
  <c r="V585" i="3" l="1"/>
  <c r="W585" i="3" s="1"/>
  <c r="A586" i="3"/>
  <c r="B586" i="3" s="1"/>
  <c r="L585" i="3"/>
  <c r="U585" i="3" l="1"/>
  <c r="Y584" i="3"/>
  <c r="P586" i="3"/>
  <c r="Q586" i="3" s="1"/>
  <c r="R586" i="3" s="1"/>
  <c r="S586" i="3" s="1"/>
  <c r="AA586" i="3"/>
  <c r="Z586" i="3"/>
  <c r="AD586" i="3"/>
  <c r="AC586" i="3"/>
  <c r="T586" i="3" l="1"/>
  <c r="E586" i="3" s="1"/>
  <c r="H586" i="3" s="1"/>
  <c r="AH586" i="3" l="1"/>
  <c r="K586" i="3"/>
  <c r="AE586" i="3" s="1"/>
  <c r="AG586" i="3"/>
  <c r="D586" i="3"/>
  <c r="F586" i="3" l="1"/>
  <c r="G586" i="3"/>
  <c r="V586" i="3"/>
  <c r="A587" i="3"/>
  <c r="B587" i="3" s="1"/>
  <c r="AA587" i="3" l="1"/>
  <c r="Z587" i="3"/>
  <c r="AC587" i="3"/>
  <c r="P587" i="3"/>
  <c r="Q587" i="3" s="1"/>
  <c r="R587" i="3" s="1"/>
  <c r="S587" i="3" s="1"/>
  <c r="I586" i="3"/>
  <c r="W586" i="3" s="1"/>
  <c r="J586" i="3"/>
  <c r="M586" i="3"/>
  <c r="N586" i="3" s="1"/>
  <c r="T587" i="3" l="1"/>
  <c r="L586" i="3"/>
  <c r="AH587" i="3" l="1"/>
  <c r="U586" i="3"/>
  <c r="D587" i="3" s="1"/>
  <c r="AG587" i="3"/>
  <c r="Y585" i="3"/>
  <c r="G587" i="3" l="1"/>
  <c r="E587" i="3"/>
  <c r="H587" i="3" s="1"/>
  <c r="F587" i="3" l="1"/>
  <c r="K587" i="3"/>
  <c r="AE587" i="3" s="1"/>
  <c r="I587" i="3"/>
  <c r="J587" i="3"/>
  <c r="AD587" i="3" s="1"/>
  <c r="M587" i="3"/>
  <c r="N587" i="3" s="1"/>
  <c r="L587" i="3" l="1"/>
  <c r="V587" i="3"/>
  <c r="W587" i="3" s="1"/>
  <c r="A588" i="3"/>
  <c r="B588" i="3" s="1"/>
  <c r="U587" i="3" l="1"/>
  <c r="Y586" i="3"/>
  <c r="P588" i="3"/>
  <c r="Q588" i="3" s="1"/>
  <c r="R588" i="3" s="1"/>
  <c r="S588" i="3" s="1"/>
  <c r="Z588" i="3"/>
  <c r="AC588" i="3"/>
  <c r="AA588" i="3"/>
  <c r="T588" i="3" l="1"/>
  <c r="AH588" i="3" s="1"/>
  <c r="E588" i="3" l="1"/>
  <c r="H588" i="3" s="1"/>
  <c r="K588" i="3" s="1"/>
  <c r="AE588" i="3" s="1"/>
  <c r="AG588" i="3"/>
  <c r="D588" i="3"/>
  <c r="G588" i="3" s="1"/>
  <c r="F588" i="3" l="1"/>
  <c r="I588" i="3"/>
  <c r="J588" i="3"/>
  <c r="AD588" i="3" s="1"/>
  <c r="M588" i="3"/>
  <c r="N588" i="3" s="1"/>
  <c r="V588" i="3"/>
  <c r="A589" i="3"/>
  <c r="B589" i="3" s="1"/>
  <c r="W588" i="3" l="1"/>
  <c r="L588" i="3"/>
  <c r="AA589" i="3"/>
  <c r="Z589" i="3"/>
  <c r="AC589" i="3"/>
  <c r="P589" i="3"/>
  <c r="Q589" i="3" s="1"/>
  <c r="R589" i="3" s="1"/>
  <c r="S589" i="3" s="1"/>
  <c r="AD589" i="3"/>
  <c r="T589" i="3" l="1"/>
  <c r="AG589" i="3" s="1"/>
  <c r="U588" i="3"/>
  <c r="Y587" i="3"/>
  <c r="AH589" i="3" l="1"/>
  <c r="D589" i="3"/>
  <c r="E589" i="3"/>
  <c r="H589" i="3" s="1"/>
  <c r="F589" i="3" l="1"/>
  <c r="G589" i="3"/>
  <c r="K589" i="3"/>
  <c r="AE589" i="3" s="1"/>
  <c r="I589" i="3" l="1"/>
  <c r="J589" i="3"/>
  <c r="M589" i="3"/>
  <c r="N589" i="3" s="1"/>
  <c r="V589" i="3"/>
  <c r="A590" i="3"/>
  <c r="B590" i="3" s="1"/>
  <c r="W589" i="3" l="1"/>
  <c r="L589" i="3"/>
  <c r="P590" i="3"/>
  <c r="Q590" i="3" s="1"/>
  <c r="R590" i="3" s="1"/>
  <c r="S590" i="3" s="1"/>
  <c r="AC590" i="3"/>
  <c r="AA590" i="3"/>
  <c r="Z590" i="3"/>
  <c r="AD590" i="3"/>
  <c r="U589" i="3" l="1"/>
  <c r="Y588" i="3"/>
  <c r="T590" i="3"/>
  <c r="AH590" i="3" s="1"/>
  <c r="D590" i="3" l="1"/>
  <c r="G590" i="3" s="1"/>
  <c r="E590" i="3"/>
  <c r="H590" i="3" s="1"/>
  <c r="K590" i="3" s="1"/>
  <c r="AE590" i="3" s="1"/>
  <c r="AG590" i="3"/>
  <c r="F590" i="3" l="1"/>
  <c r="V590" i="3"/>
  <c r="A591" i="3"/>
  <c r="B591" i="3" s="1"/>
  <c r="I590" i="3"/>
  <c r="J590" i="3"/>
  <c r="M590" i="3"/>
  <c r="N590" i="3" s="1"/>
  <c r="W590" i="3" l="1"/>
  <c r="L590" i="3"/>
  <c r="AC591" i="3"/>
  <c r="P591" i="3"/>
  <c r="Q591" i="3" s="1"/>
  <c r="R591" i="3" s="1"/>
  <c r="S591" i="3" s="1"/>
  <c r="Z591" i="3"/>
  <c r="AA591" i="3"/>
  <c r="AD591" i="3"/>
  <c r="U590" i="3" l="1"/>
  <c r="Y589" i="3"/>
  <c r="T591" i="3"/>
  <c r="AG591" i="3" s="1"/>
  <c r="D591" i="3" l="1"/>
  <c r="G591" i="3" s="1"/>
  <c r="E591" i="3"/>
  <c r="H591" i="3" s="1"/>
  <c r="K591" i="3" s="1"/>
  <c r="AE591" i="3" s="1"/>
  <c r="AH591" i="3"/>
  <c r="F591" i="3" l="1"/>
  <c r="I591" i="3"/>
  <c r="J591" i="3"/>
  <c r="M591" i="3"/>
  <c r="N591" i="3" s="1"/>
  <c r="V591" i="3"/>
  <c r="A592" i="3"/>
  <c r="B592" i="3" s="1"/>
  <c r="W591" i="3" l="1"/>
  <c r="L591" i="3"/>
  <c r="AA592" i="3"/>
  <c r="AC592" i="3"/>
  <c r="Z592" i="3"/>
  <c r="AD592" i="3"/>
  <c r="P592" i="3"/>
  <c r="Q592" i="3" s="1"/>
  <c r="R592" i="3" s="1"/>
  <c r="S592" i="3" s="1"/>
  <c r="U591" i="3" l="1"/>
  <c r="Y590" i="3"/>
  <c r="T592" i="3"/>
  <c r="D592" i="3" l="1"/>
  <c r="G592" i="3" s="1"/>
  <c r="AH592" i="3"/>
  <c r="AG592" i="3"/>
  <c r="E592" i="3"/>
  <c r="H592" i="3" s="1"/>
  <c r="K592" i="3" s="1"/>
  <c r="AE592" i="3" s="1"/>
  <c r="F592" i="3" l="1"/>
  <c r="I592" i="3"/>
  <c r="J592" i="3"/>
  <c r="M592" i="3"/>
  <c r="N592" i="3" s="1"/>
  <c r="V592" i="3"/>
  <c r="A593" i="3"/>
  <c r="B593" i="3" s="1"/>
  <c r="W592" i="3" l="1"/>
  <c r="L592" i="3"/>
  <c r="Z593" i="3"/>
  <c r="P593" i="3"/>
  <c r="Q593" i="3" s="1"/>
  <c r="R593" i="3" s="1"/>
  <c r="S593" i="3" s="1"/>
  <c r="AD593" i="3"/>
  <c r="AA593" i="3"/>
  <c r="AC593" i="3"/>
  <c r="U592" i="3" l="1"/>
  <c r="Y591" i="3"/>
  <c r="T593" i="3"/>
  <c r="E593" i="3" l="1"/>
  <c r="H593" i="3" s="1"/>
  <c r="K593" i="3" s="1"/>
  <c r="AE593" i="3" s="1"/>
  <c r="D593" i="3"/>
  <c r="G593" i="3" s="1"/>
  <c r="AH593" i="3"/>
  <c r="AG593" i="3"/>
  <c r="F593" i="3" l="1"/>
  <c r="I593" i="3"/>
  <c r="J593" i="3"/>
  <c r="M593" i="3"/>
  <c r="N593" i="3" s="1"/>
  <c r="V593" i="3"/>
  <c r="A594" i="3"/>
  <c r="B594" i="3" s="1"/>
  <c r="W593" i="3" l="1"/>
  <c r="L593" i="3"/>
  <c r="Z594" i="3"/>
  <c r="AA594" i="3"/>
  <c r="P594" i="3"/>
  <c r="Q594" i="3" s="1"/>
  <c r="R594" i="3" s="1"/>
  <c r="S594" i="3" s="1"/>
  <c r="AC594" i="3"/>
  <c r="U593" i="3" l="1"/>
  <c r="Y592" i="3"/>
  <c r="T594" i="3"/>
  <c r="AG594" i="3" s="1"/>
  <c r="AH594" i="3" l="1"/>
  <c r="E594" i="3"/>
  <c r="H594" i="3" s="1"/>
  <c r="K594" i="3" s="1"/>
  <c r="AE594" i="3" s="1"/>
  <c r="D594" i="3"/>
  <c r="V594" i="3" l="1"/>
  <c r="A595" i="3"/>
  <c r="B595" i="3" s="1"/>
  <c r="F594" i="3"/>
  <c r="G594" i="3"/>
  <c r="I594" i="3" l="1"/>
  <c r="W594" i="3" s="1"/>
  <c r="J594" i="3"/>
  <c r="AD594" i="3" s="1"/>
  <c r="M594" i="3"/>
  <c r="N594" i="3" s="1"/>
  <c r="AC595" i="3"/>
  <c r="AA595" i="3"/>
  <c r="P595" i="3"/>
  <c r="Q595" i="3" s="1"/>
  <c r="R595" i="3" s="1"/>
  <c r="S595" i="3" s="1"/>
  <c r="Z595" i="3"/>
  <c r="T595" i="3" l="1"/>
  <c r="L594" i="3"/>
  <c r="AH595" i="3" l="1"/>
  <c r="U594" i="3"/>
  <c r="E595" i="3" s="1"/>
  <c r="H595" i="3" s="1"/>
  <c r="AG595" i="3"/>
  <c r="Y593" i="3"/>
  <c r="D595" i="3" l="1"/>
  <c r="G595" i="3" s="1"/>
  <c r="K595" i="3"/>
  <c r="AE595" i="3" s="1"/>
  <c r="F595" i="3" l="1"/>
  <c r="V595" i="3"/>
  <c r="A596" i="3"/>
  <c r="B596" i="3" s="1"/>
  <c r="I595" i="3"/>
  <c r="J595" i="3"/>
  <c r="AD595" i="3" s="1"/>
  <c r="M595" i="3"/>
  <c r="N595" i="3" s="1"/>
  <c r="W595" i="3" l="1"/>
  <c r="L595" i="3"/>
  <c r="P596" i="3"/>
  <c r="Q596" i="3" s="1"/>
  <c r="R596" i="3" s="1"/>
  <c r="S596" i="3" s="1"/>
  <c r="AA596" i="3"/>
  <c r="AC596" i="3"/>
  <c r="Z596" i="3"/>
  <c r="T596" i="3" l="1"/>
  <c r="AG596" i="3" s="1"/>
  <c r="U595" i="3"/>
  <c r="Y594" i="3"/>
  <c r="D596" i="3" l="1"/>
  <c r="E596" i="3"/>
  <c r="H596" i="3" s="1"/>
  <c r="AH596" i="3"/>
  <c r="F596" i="3" l="1"/>
  <c r="G596" i="3"/>
  <c r="K596" i="3"/>
  <c r="AE596" i="3" s="1"/>
  <c r="V596" i="3" l="1"/>
  <c r="A597" i="3"/>
  <c r="B597" i="3" s="1"/>
  <c r="I596" i="3"/>
  <c r="J596" i="3"/>
  <c r="AD596" i="3" s="1"/>
  <c r="M596" i="3"/>
  <c r="N596" i="3" s="1"/>
  <c r="W596" i="3" l="1"/>
  <c r="L596" i="3"/>
  <c r="Z597" i="3"/>
  <c r="P597" i="3"/>
  <c r="Q597" i="3" s="1"/>
  <c r="R597" i="3" s="1"/>
  <c r="S597" i="3" s="1"/>
  <c r="AA597" i="3"/>
  <c r="AC597" i="3"/>
  <c r="U596" i="3" l="1"/>
  <c r="Y595" i="3"/>
  <c r="T597" i="3"/>
  <c r="E597" i="3" l="1"/>
  <c r="H597" i="3" s="1"/>
  <c r="K597" i="3" s="1"/>
  <c r="AE597" i="3" s="1"/>
  <c r="AH597" i="3"/>
  <c r="AG597" i="3"/>
  <c r="D597" i="3"/>
  <c r="G597" i="3" s="1"/>
  <c r="F597" i="3" l="1"/>
  <c r="I597" i="3"/>
  <c r="J597" i="3"/>
  <c r="AD597" i="3" s="1"/>
  <c r="M597" i="3"/>
  <c r="N597" i="3" s="1"/>
  <c r="V597" i="3"/>
  <c r="A598" i="3"/>
  <c r="B598" i="3" s="1"/>
  <c r="W597" i="3" l="1"/>
  <c r="L597" i="3"/>
  <c r="AC598" i="3"/>
  <c r="P598" i="3"/>
  <c r="Q598" i="3" s="1"/>
  <c r="R598" i="3" s="1"/>
  <c r="S598" i="3" s="1"/>
  <c r="Z598" i="3"/>
  <c r="AA598" i="3"/>
  <c r="U597" i="3" l="1"/>
  <c r="Y596" i="3"/>
  <c r="T598" i="3"/>
  <c r="AG598" i="3" s="1"/>
  <c r="AH598" i="3" l="1"/>
  <c r="E598" i="3"/>
  <c r="H598" i="3" s="1"/>
  <c r="K598" i="3" s="1"/>
  <c r="AE598" i="3" s="1"/>
  <c r="D598" i="3"/>
  <c r="V598" i="3" l="1"/>
  <c r="A599" i="3"/>
  <c r="B599" i="3" s="1"/>
  <c r="F598" i="3"/>
  <c r="G598" i="3"/>
  <c r="I598" i="3" l="1"/>
  <c r="W598" i="3" s="1"/>
  <c r="J598" i="3"/>
  <c r="AD598" i="3" s="1"/>
  <c r="M598" i="3"/>
  <c r="N598" i="3" s="1"/>
  <c r="AC599" i="3"/>
  <c r="AA599" i="3"/>
  <c r="P599" i="3"/>
  <c r="Q599" i="3" s="1"/>
  <c r="R599" i="3" s="1"/>
  <c r="S599" i="3" s="1"/>
  <c r="Z599" i="3"/>
  <c r="T599" i="3" l="1"/>
  <c r="L598" i="3"/>
  <c r="U598" i="3" l="1"/>
  <c r="D599" i="3" s="1"/>
  <c r="AG599" i="3"/>
  <c r="AH599" i="3"/>
  <c r="Y597" i="3"/>
  <c r="G599" i="3" l="1"/>
  <c r="E599" i="3"/>
  <c r="H599" i="3" s="1"/>
  <c r="I599" i="3" l="1"/>
  <c r="J599" i="3"/>
  <c r="AD599" i="3" s="1"/>
  <c r="M599" i="3"/>
  <c r="N599" i="3" s="1"/>
  <c r="K599" i="3"/>
  <c r="AE599" i="3" s="1"/>
  <c r="F599" i="3"/>
  <c r="V599" i="3" l="1"/>
  <c r="W599" i="3" s="1"/>
  <c r="A600" i="3"/>
  <c r="B600" i="3" s="1"/>
  <c r="L599" i="3"/>
  <c r="U599" i="3" l="1"/>
  <c r="Y598" i="3"/>
  <c r="AC600" i="3"/>
  <c r="P600" i="3"/>
  <c r="Q600" i="3" s="1"/>
  <c r="R600" i="3" s="1"/>
  <c r="S600" i="3" s="1"/>
  <c r="Z600" i="3"/>
  <c r="AA600" i="3"/>
  <c r="T600" i="3" l="1"/>
  <c r="E600" i="3" s="1"/>
  <c r="H600" i="3" s="1"/>
  <c r="AH600" i="3" l="1"/>
  <c r="K600" i="3"/>
  <c r="AE600" i="3" s="1"/>
  <c r="AG600" i="3"/>
  <c r="D600" i="3"/>
  <c r="V600" i="3" l="1"/>
  <c r="A601" i="3"/>
  <c r="B601" i="3" s="1"/>
  <c r="F600" i="3"/>
  <c r="G600" i="3"/>
  <c r="I600" i="3" l="1"/>
  <c r="W600" i="3" s="1"/>
  <c r="J600" i="3"/>
  <c r="AD600" i="3" s="1"/>
  <c r="M600" i="3"/>
  <c r="N600" i="3" s="1"/>
  <c r="P601" i="3"/>
  <c r="Q601" i="3" s="1"/>
  <c r="R601" i="3" s="1"/>
  <c r="S601" i="3" s="1"/>
  <c r="AA601" i="3"/>
  <c r="AC601" i="3"/>
  <c r="Z601" i="3"/>
  <c r="T601" i="3" l="1"/>
  <c r="L600" i="3"/>
  <c r="AH601" i="3" l="1"/>
  <c r="U600" i="3"/>
  <c r="D601" i="3" s="1"/>
  <c r="AG601" i="3"/>
  <c r="Y599" i="3"/>
  <c r="E601" i="3" l="1"/>
  <c r="H601" i="3" s="1"/>
  <c r="K601" i="3" s="1"/>
  <c r="AE601" i="3" s="1"/>
  <c r="G601" i="3"/>
  <c r="F601" i="3" l="1"/>
  <c r="I601" i="3"/>
  <c r="J601" i="3"/>
  <c r="AD601" i="3" s="1"/>
  <c r="M601" i="3"/>
  <c r="N601" i="3" s="1"/>
  <c r="V601" i="3"/>
  <c r="A602" i="3"/>
  <c r="B602" i="3" s="1"/>
  <c r="W601" i="3" l="1"/>
  <c r="L601" i="3"/>
  <c r="P602" i="3"/>
  <c r="Q602" i="3" s="1"/>
  <c r="R602" i="3" s="1"/>
  <c r="S602" i="3" s="1"/>
  <c r="Z602" i="3"/>
  <c r="AC602" i="3"/>
  <c r="AA602" i="3"/>
  <c r="U601" i="3" l="1"/>
  <c r="Y600" i="3"/>
  <c r="T602" i="3"/>
  <c r="AG602" i="3" s="1"/>
  <c r="D602" i="3" l="1"/>
  <c r="E602" i="3"/>
  <c r="H602" i="3" s="1"/>
  <c r="AH602" i="3"/>
  <c r="K602" i="3" l="1"/>
  <c r="AE602" i="3" s="1"/>
  <c r="F602" i="3"/>
  <c r="G602" i="3"/>
  <c r="I602" i="3" l="1"/>
  <c r="J602" i="3"/>
  <c r="AD602" i="3" s="1"/>
  <c r="M602" i="3"/>
  <c r="N602" i="3" s="1"/>
  <c r="V602" i="3"/>
  <c r="A603" i="3"/>
  <c r="B603" i="3" s="1"/>
  <c r="W602" i="3" l="1"/>
  <c r="L602" i="3"/>
  <c r="AA603" i="3"/>
  <c r="AC603" i="3"/>
  <c r="Z603" i="3"/>
  <c r="P603" i="3"/>
  <c r="Q603" i="3" s="1"/>
  <c r="R603" i="3" s="1"/>
  <c r="S603" i="3" s="1"/>
  <c r="U602" i="3" l="1"/>
  <c r="Y601" i="3"/>
  <c r="T603" i="3"/>
  <c r="AG603" i="3" s="1"/>
  <c r="AH603" i="3" l="1"/>
  <c r="D603" i="3"/>
  <c r="G603" i="3" s="1"/>
  <c r="E603" i="3"/>
  <c r="H603" i="3" s="1"/>
  <c r="K603" i="3" s="1"/>
  <c r="AE603" i="3" s="1"/>
  <c r="F603" i="3" l="1"/>
  <c r="I603" i="3"/>
  <c r="J603" i="3"/>
  <c r="AD603" i="3" s="1"/>
  <c r="M603" i="3"/>
  <c r="N603" i="3" s="1"/>
  <c r="V603" i="3"/>
  <c r="A604" i="3"/>
  <c r="B604" i="3" s="1"/>
  <c r="W603" i="3" l="1"/>
  <c r="L603" i="3"/>
  <c r="AC604" i="3"/>
  <c r="Z604" i="3"/>
  <c r="AA604" i="3"/>
  <c r="P604" i="3"/>
  <c r="Q604" i="3" s="1"/>
  <c r="R604" i="3" s="1"/>
  <c r="S604" i="3" s="1"/>
  <c r="U603" i="3" l="1"/>
  <c r="Y602" i="3"/>
  <c r="T604" i="3"/>
  <c r="AH604" i="3" s="1"/>
  <c r="D604" i="3" l="1"/>
  <c r="E604" i="3"/>
  <c r="H604" i="3" s="1"/>
  <c r="AG604" i="3"/>
  <c r="F604" i="3" l="1"/>
  <c r="G604" i="3"/>
  <c r="K604" i="3"/>
  <c r="AE604" i="3" s="1"/>
  <c r="V604" i="3" l="1"/>
  <c r="A605" i="3"/>
  <c r="B605" i="3" s="1"/>
  <c r="I604" i="3"/>
  <c r="J604" i="3"/>
  <c r="AD604" i="3" s="1"/>
  <c r="M604" i="3"/>
  <c r="N604" i="3" s="1"/>
  <c r="W604" i="3" l="1"/>
  <c r="L604" i="3"/>
  <c r="P605" i="3"/>
  <c r="Q605" i="3" s="1"/>
  <c r="R605" i="3" s="1"/>
  <c r="S605" i="3" s="1"/>
  <c r="Z605" i="3"/>
  <c r="AA605" i="3"/>
  <c r="AD605" i="3"/>
  <c r="AC605" i="3"/>
  <c r="U604" i="3" l="1"/>
  <c r="Y603" i="3"/>
  <c r="T605" i="3"/>
  <c r="AG605" i="3" s="1"/>
  <c r="AH605" i="3" l="1"/>
  <c r="D605" i="3"/>
  <c r="E605" i="3"/>
  <c r="H605" i="3" s="1"/>
  <c r="K605" i="3" s="1"/>
  <c r="AE605" i="3" s="1"/>
  <c r="F605" i="3" l="1"/>
  <c r="G605" i="3"/>
  <c r="M605" i="3" s="1"/>
  <c r="N605" i="3" s="1"/>
  <c r="V605" i="3"/>
  <c r="A606" i="3"/>
  <c r="B606" i="3" s="1"/>
  <c r="I605" i="3" l="1"/>
  <c r="W605" i="3" s="1"/>
  <c r="J605" i="3"/>
  <c r="L605" i="3" s="1"/>
  <c r="P606" i="3"/>
  <c r="Q606" i="3" s="1"/>
  <c r="R606" i="3" s="1"/>
  <c r="S606" i="3" s="1"/>
  <c r="AC606" i="3"/>
  <c r="AD606" i="3"/>
  <c r="AA606" i="3"/>
  <c r="Z606" i="3"/>
  <c r="U605" i="3" l="1"/>
  <c r="Y604" i="3"/>
  <c r="T606" i="3"/>
  <c r="AG606" i="3" s="1"/>
  <c r="E606" i="3" l="1"/>
  <c r="H606" i="3" s="1"/>
  <c r="AH606" i="3"/>
  <c r="D606" i="3"/>
  <c r="F606" i="3" l="1"/>
  <c r="G606" i="3"/>
  <c r="K606" i="3"/>
  <c r="AE606" i="3" s="1"/>
  <c r="I606" i="3" l="1"/>
  <c r="J606" i="3"/>
  <c r="M606" i="3"/>
  <c r="N606" i="3" s="1"/>
  <c r="V606" i="3"/>
  <c r="A607" i="3"/>
  <c r="B607" i="3" s="1"/>
  <c r="W606" i="3" l="1"/>
  <c r="L606" i="3"/>
  <c r="Z607" i="3"/>
  <c r="AC607" i="3"/>
  <c r="P607" i="3"/>
  <c r="Q607" i="3" s="1"/>
  <c r="R607" i="3" s="1"/>
  <c r="S607" i="3" s="1"/>
  <c r="AA607" i="3"/>
  <c r="U606" i="3" l="1"/>
  <c r="Y605" i="3"/>
  <c r="T607" i="3"/>
  <c r="AH607" i="3" s="1"/>
  <c r="E607" i="3" l="1"/>
  <c r="H607" i="3" s="1"/>
  <c r="K607" i="3" s="1"/>
  <c r="AE607" i="3" s="1"/>
  <c r="D607" i="3"/>
  <c r="AG607" i="3"/>
  <c r="V607" i="3" l="1"/>
  <c r="A608" i="3"/>
  <c r="B608" i="3" s="1"/>
  <c r="F607" i="3"/>
  <c r="G607" i="3"/>
  <c r="I607" i="3" l="1"/>
  <c r="W607" i="3" s="1"/>
  <c r="J607" i="3"/>
  <c r="AD607" i="3" s="1"/>
  <c r="M607" i="3"/>
  <c r="N607" i="3" s="1"/>
  <c r="AA608" i="3"/>
  <c r="P608" i="3"/>
  <c r="Q608" i="3" s="1"/>
  <c r="R608" i="3" s="1"/>
  <c r="S608" i="3" s="1"/>
  <c r="Z608" i="3"/>
  <c r="AC608" i="3"/>
  <c r="T608" i="3" l="1"/>
  <c r="L607" i="3"/>
  <c r="AH608" i="3" l="1"/>
  <c r="AG608" i="3"/>
  <c r="U607" i="3"/>
  <c r="E608" i="3" s="1"/>
  <c r="H608" i="3" s="1"/>
  <c r="Y606" i="3"/>
  <c r="D608" i="3" l="1"/>
  <c r="G608" i="3" s="1"/>
  <c r="K608" i="3"/>
  <c r="AE608" i="3" s="1"/>
  <c r="F608" i="3" l="1"/>
  <c r="I608" i="3"/>
  <c r="J608" i="3"/>
  <c r="AD608" i="3" s="1"/>
  <c r="M608" i="3"/>
  <c r="N608" i="3" s="1"/>
  <c r="V608" i="3"/>
  <c r="A609" i="3"/>
  <c r="B609" i="3" s="1"/>
  <c r="L608" i="3" l="1"/>
  <c r="W608" i="3"/>
  <c r="Z609" i="3"/>
  <c r="P609" i="3"/>
  <c r="Q609" i="3" s="1"/>
  <c r="R609" i="3" s="1"/>
  <c r="S609" i="3" s="1"/>
  <c r="AC609" i="3"/>
  <c r="AA609" i="3"/>
  <c r="AD609" i="3"/>
  <c r="U608" i="3" l="1"/>
  <c r="Y607" i="3"/>
  <c r="T609" i="3"/>
  <c r="AG609" i="3" s="1"/>
  <c r="E609" i="3" l="1"/>
  <c r="H609" i="3" s="1"/>
  <c r="D609" i="3"/>
  <c r="AH609" i="3"/>
  <c r="K609" i="3" l="1"/>
  <c r="AE609" i="3" s="1"/>
  <c r="F609" i="3"/>
  <c r="G609" i="3"/>
  <c r="I609" i="3" l="1"/>
  <c r="J609" i="3"/>
  <c r="M609" i="3"/>
  <c r="N609" i="3" s="1"/>
  <c r="V609" i="3"/>
  <c r="A610" i="3"/>
  <c r="B610" i="3" s="1"/>
  <c r="L609" i="3" l="1"/>
  <c r="W609" i="3"/>
  <c r="AA610" i="3"/>
  <c r="P610" i="3"/>
  <c r="Q610" i="3" s="1"/>
  <c r="R610" i="3" s="1"/>
  <c r="S610" i="3" s="1"/>
  <c r="Z610" i="3"/>
  <c r="AC610" i="3"/>
  <c r="AD610" i="3"/>
  <c r="U609" i="3" l="1"/>
  <c r="Y608" i="3"/>
  <c r="T610" i="3"/>
  <c r="AG610" i="3" s="1"/>
  <c r="AH610" i="3" l="1"/>
  <c r="D610" i="3"/>
  <c r="G610" i="3" s="1"/>
  <c r="E610" i="3"/>
  <c r="H610" i="3" s="1"/>
  <c r="K610" i="3" s="1"/>
  <c r="AE610" i="3" s="1"/>
  <c r="F610" i="3" l="1"/>
  <c r="I610" i="3"/>
  <c r="J610" i="3"/>
  <c r="M610" i="3"/>
  <c r="N610" i="3" s="1"/>
  <c r="V610" i="3"/>
  <c r="A611" i="3"/>
  <c r="B611" i="3" s="1"/>
  <c r="W610" i="3" l="1"/>
  <c r="L610" i="3"/>
  <c r="AA611" i="3"/>
  <c r="P611" i="3"/>
  <c r="Q611" i="3" s="1"/>
  <c r="R611" i="3" s="1"/>
  <c r="S611" i="3" s="1"/>
  <c r="AC611" i="3"/>
  <c r="AD611" i="3"/>
  <c r="Z611" i="3"/>
  <c r="T611" i="3" l="1"/>
  <c r="U610" i="3"/>
  <c r="Y609" i="3"/>
  <c r="E611" i="3" l="1"/>
  <c r="H611" i="3" s="1"/>
  <c r="K611" i="3" s="1"/>
  <c r="AE611" i="3" s="1"/>
  <c r="AH611" i="3"/>
  <c r="AG611" i="3"/>
  <c r="D611" i="3"/>
  <c r="V611" i="3" l="1"/>
  <c r="A612" i="3"/>
  <c r="B612" i="3" s="1"/>
  <c r="F611" i="3"/>
  <c r="G611" i="3"/>
  <c r="I611" i="3" l="1"/>
  <c r="W611" i="3" s="1"/>
  <c r="J611" i="3"/>
  <c r="M611" i="3"/>
  <c r="N611" i="3" s="1"/>
  <c r="Z612" i="3"/>
  <c r="P612" i="3"/>
  <c r="Q612" i="3" s="1"/>
  <c r="R612" i="3" s="1"/>
  <c r="S612" i="3" s="1"/>
  <c r="AD612" i="3"/>
  <c r="AC612" i="3"/>
  <c r="AA612" i="3"/>
  <c r="T612" i="3" l="1"/>
  <c r="L611" i="3"/>
  <c r="U611" i="3" l="1"/>
  <c r="E612" i="3" s="1"/>
  <c r="H612" i="3" s="1"/>
  <c r="AH612" i="3"/>
  <c r="AG612" i="3"/>
  <c r="Y610" i="3"/>
  <c r="D612" i="3" l="1"/>
  <c r="G612" i="3" s="1"/>
  <c r="K612" i="3"/>
  <c r="AE612" i="3" s="1"/>
  <c r="F612" i="3" l="1"/>
  <c r="V612" i="3"/>
  <c r="A613" i="3"/>
  <c r="B613" i="3" s="1"/>
  <c r="I612" i="3"/>
  <c r="J612" i="3"/>
  <c r="M612" i="3"/>
  <c r="N612" i="3" s="1"/>
  <c r="W612" i="3" l="1"/>
  <c r="L612" i="3"/>
  <c r="P613" i="3"/>
  <c r="Q613" i="3" s="1"/>
  <c r="R613" i="3" s="1"/>
  <c r="S613" i="3" s="1"/>
  <c r="AD613" i="3"/>
  <c r="AA613" i="3"/>
  <c r="Z613" i="3"/>
  <c r="AC613" i="3"/>
  <c r="U612" i="3" l="1"/>
  <c r="Y611" i="3"/>
  <c r="T613" i="3"/>
  <c r="AG613" i="3" s="1"/>
  <c r="D613" i="3" l="1"/>
  <c r="AH613" i="3"/>
  <c r="E613" i="3"/>
  <c r="H613" i="3" s="1"/>
  <c r="F613" i="3" l="1"/>
  <c r="G613" i="3"/>
  <c r="K613" i="3"/>
  <c r="AE613" i="3" s="1"/>
  <c r="V613" i="3" l="1"/>
  <c r="A614" i="3"/>
  <c r="B614" i="3" s="1"/>
  <c r="I613" i="3"/>
  <c r="J613" i="3"/>
  <c r="M613" i="3"/>
  <c r="N613" i="3" s="1"/>
  <c r="W613" i="3" l="1"/>
  <c r="L613" i="3"/>
  <c r="AC614" i="3"/>
  <c r="AA614" i="3"/>
  <c r="Z614" i="3"/>
  <c r="P614" i="3"/>
  <c r="Q614" i="3" s="1"/>
  <c r="R614" i="3" s="1"/>
  <c r="S614" i="3" s="1"/>
  <c r="U613" i="3" l="1"/>
  <c r="Y612" i="3"/>
  <c r="T614" i="3"/>
  <c r="AG614" i="3" s="1"/>
  <c r="D614" i="3" l="1"/>
  <c r="G614" i="3" s="1"/>
  <c r="E614" i="3"/>
  <c r="H614" i="3" s="1"/>
  <c r="K614" i="3" s="1"/>
  <c r="AE614" i="3" s="1"/>
  <c r="AH614" i="3"/>
  <c r="F614" i="3" l="1"/>
  <c r="I614" i="3"/>
  <c r="J614" i="3"/>
  <c r="AD614" i="3" s="1"/>
  <c r="M614" i="3"/>
  <c r="N614" i="3" s="1"/>
  <c r="V614" i="3"/>
  <c r="A615" i="3"/>
  <c r="B615" i="3" s="1"/>
  <c r="L614" i="3" l="1"/>
  <c r="W614" i="3"/>
  <c r="P615" i="3"/>
  <c r="Q615" i="3" s="1"/>
  <c r="R615" i="3" s="1"/>
  <c r="S615" i="3" s="1"/>
  <c r="AC615" i="3"/>
  <c r="Z615" i="3"/>
  <c r="AA615" i="3"/>
  <c r="AD615" i="3"/>
  <c r="U614" i="3" l="1"/>
  <c r="Y613" i="3"/>
  <c r="T615" i="3"/>
  <c r="AH615" i="3" s="1"/>
  <c r="E615" i="3" l="1"/>
  <c r="H615" i="3" s="1"/>
  <c r="K615" i="3" s="1"/>
  <c r="AE615" i="3" s="1"/>
  <c r="AG615" i="3"/>
  <c r="D615" i="3"/>
  <c r="F615" i="3" l="1"/>
  <c r="G615" i="3"/>
  <c r="V615" i="3"/>
  <c r="A616" i="3"/>
  <c r="B616" i="3" s="1"/>
  <c r="AD616" i="3" l="1"/>
  <c r="P616" i="3"/>
  <c r="Q616" i="3" s="1"/>
  <c r="R616" i="3" s="1"/>
  <c r="S616" i="3" s="1"/>
  <c r="Z616" i="3"/>
  <c r="AC616" i="3"/>
  <c r="AA616" i="3"/>
  <c r="I615" i="3"/>
  <c r="W615" i="3" s="1"/>
  <c r="J615" i="3"/>
  <c r="M615" i="3"/>
  <c r="N615" i="3" s="1"/>
  <c r="L615" i="3" l="1"/>
  <c r="T616" i="3"/>
  <c r="U615" i="3" l="1"/>
  <c r="D616" i="3" s="1"/>
  <c r="AH616" i="3"/>
  <c r="AG616" i="3"/>
  <c r="Y614" i="3"/>
  <c r="E616" i="3" l="1"/>
  <c r="H616" i="3" s="1"/>
  <c r="K616" i="3" s="1"/>
  <c r="AE616" i="3" s="1"/>
  <c r="G616" i="3"/>
  <c r="F616" i="3" l="1"/>
  <c r="I616" i="3"/>
  <c r="J616" i="3"/>
  <c r="M616" i="3"/>
  <c r="N616" i="3" s="1"/>
  <c r="V616" i="3"/>
  <c r="A617" i="3"/>
  <c r="B617" i="3" s="1"/>
  <c r="W616" i="3" l="1"/>
  <c r="L616" i="3"/>
  <c r="Z617" i="3"/>
  <c r="AC617" i="3"/>
  <c r="P617" i="3"/>
  <c r="Q617" i="3" s="1"/>
  <c r="R617" i="3" s="1"/>
  <c r="S617" i="3" s="1"/>
  <c r="AA617" i="3"/>
  <c r="U616" i="3" l="1"/>
  <c r="Y615" i="3"/>
  <c r="T617" i="3"/>
  <c r="AG617" i="3" s="1"/>
  <c r="D617" i="3" l="1"/>
  <c r="G617" i="3" s="1"/>
  <c r="E617" i="3"/>
  <c r="H617" i="3" s="1"/>
  <c r="K617" i="3" s="1"/>
  <c r="AE617" i="3" s="1"/>
  <c r="AH617" i="3"/>
  <c r="F617" i="3" l="1"/>
  <c r="I617" i="3"/>
  <c r="J617" i="3"/>
  <c r="AD617" i="3" s="1"/>
  <c r="M617" i="3"/>
  <c r="N617" i="3" s="1"/>
  <c r="V617" i="3"/>
  <c r="A618" i="3"/>
  <c r="B618" i="3" s="1"/>
  <c r="W617" i="3" l="1"/>
  <c r="L617" i="3"/>
  <c r="P618" i="3"/>
  <c r="Q618" i="3" s="1"/>
  <c r="R618" i="3" s="1"/>
  <c r="S618" i="3" s="1"/>
  <c r="Z618" i="3"/>
  <c r="AC618" i="3"/>
  <c r="AA618" i="3"/>
  <c r="U617" i="3" l="1"/>
  <c r="Y616" i="3"/>
  <c r="T618" i="3"/>
  <c r="E618" i="3" l="1"/>
  <c r="H618" i="3" s="1"/>
  <c r="K618" i="3" s="1"/>
  <c r="AE618" i="3" s="1"/>
  <c r="AG618" i="3"/>
  <c r="D618" i="3"/>
  <c r="AH618" i="3"/>
  <c r="F618" i="3" l="1"/>
  <c r="G618" i="3"/>
  <c r="V618" i="3"/>
  <c r="A619" i="3"/>
  <c r="B619" i="3" s="1"/>
  <c r="P619" i="3" l="1"/>
  <c r="Q619" i="3" s="1"/>
  <c r="R619" i="3" s="1"/>
  <c r="S619" i="3" s="1"/>
  <c r="AD619" i="3"/>
  <c r="AA619" i="3"/>
  <c r="AC619" i="3"/>
  <c r="Z619" i="3"/>
  <c r="I618" i="3"/>
  <c r="W618" i="3" s="1"/>
  <c r="J618" i="3"/>
  <c r="AD618" i="3" s="1"/>
  <c r="M618" i="3"/>
  <c r="N618" i="3" s="1"/>
  <c r="T619" i="3" l="1"/>
  <c r="L618" i="3"/>
  <c r="AH619" i="3" l="1"/>
  <c r="AG619" i="3"/>
  <c r="U618" i="3"/>
  <c r="D619" i="3" s="1"/>
  <c r="Y617" i="3"/>
  <c r="E619" i="3" l="1"/>
  <c r="H619" i="3" s="1"/>
  <c r="K619" i="3" s="1"/>
  <c r="AE619" i="3" s="1"/>
  <c r="G619" i="3"/>
  <c r="F619" i="3" l="1"/>
  <c r="I619" i="3"/>
  <c r="J619" i="3"/>
  <c r="M619" i="3"/>
  <c r="N619" i="3" s="1"/>
  <c r="V619" i="3"/>
  <c r="A620" i="3"/>
  <c r="B620" i="3" s="1"/>
  <c r="W619" i="3" l="1"/>
  <c r="L619" i="3"/>
  <c r="AC620" i="3"/>
  <c r="AD620" i="3"/>
  <c r="P620" i="3"/>
  <c r="Q620" i="3" s="1"/>
  <c r="R620" i="3" s="1"/>
  <c r="S620" i="3" s="1"/>
  <c r="AA620" i="3"/>
  <c r="Z620" i="3"/>
  <c r="T620" i="3" l="1"/>
  <c r="AH620" i="3" s="1"/>
  <c r="U619" i="3"/>
  <c r="Y618" i="3"/>
  <c r="E620" i="3" l="1"/>
  <c r="H620" i="3" s="1"/>
  <c r="K620" i="3" s="1"/>
  <c r="AE620" i="3" s="1"/>
  <c r="D620" i="3"/>
  <c r="G620" i="3" s="1"/>
  <c r="AG620" i="3"/>
  <c r="F620" i="3" l="1"/>
  <c r="I620" i="3"/>
  <c r="J620" i="3"/>
  <c r="M620" i="3"/>
  <c r="N620" i="3" s="1"/>
  <c r="V620" i="3"/>
  <c r="A621" i="3"/>
  <c r="B621" i="3" s="1"/>
  <c r="W620" i="3" l="1"/>
  <c r="L620" i="3"/>
  <c r="AD621" i="3"/>
  <c r="AC621" i="3"/>
  <c r="AA621" i="3"/>
  <c r="P621" i="3"/>
  <c r="Q621" i="3" s="1"/>
  <c r="R621" i="3" s="1"/>
  <c r="S621" i="3" s="1"/>
  <c r="Z621" i="3"/>
  <c r="U620" i="3" l="1"/>
  <c r="Y619" i="3"/>
  <c r="T621" i="3"/>
  <c r="D621" i="3" l="1"/>
  <c r="G621" i="3" s="1"/>
  <c r="AH621" i="3"/>
  <c r="E621" i="3"/>
  <c r="H621" i="3" s="1"/>
  <c r="AG621" i="3"/>
  <c r="F621" i="3" l="1"/>
  <c r="I621" i="3"/>
  <c r="J621" i="3"/>
  <c r="M621" i="3"/>
  <c r="N621" i="3" s="1"/>
  <c r="K621" i="3"/>
  <c r="AE621" i="3" s="1"/>
  <c r="V621" i="3" l="1"/>
  <c r="W621" i="3" s="1"/>
  <c r="A622" i="3"/>
  <c r="B622" i="3" s="1"/>
  <c r="L621" i="3"/>
  <c r="U621" i="3" l="1"/>
  <c r="Y620" i="3"/>
  <c r="AA622" i="3"/>
  <c r="AC622" i="3"/>
  <c r="P622" i="3"/>
  <c r="Q622" i="3" s="1"/>
  <c r="R622" i="3" s="1"/>
  <c r="S622" i="3" s="1"/>
  <c r="Z622" i="3"/>
  <c r="AD622" i="3"/>
  <c r="T622" i="3" l="1"/>
  <c r="AG622" i="3" s="1"/>
  <c r="D622" i="3" l="1"/>
  <c r="E622" i="3"/>
  <c r="H622" i="3" s="1"/>
  <c r="K622" i="3" s="1"/>
  <c r="AE622" i="3" s="1"/>
  <c r="AH622" i="3"/>
  <c r="F622" i="3" l="1"/>
  <c r="G622" i="3"/>
  <c r="I622" i="3" s="1"/>
  <c r="V622" i="3"/>
  <c r="A623" i="3"/>
  <c r="B623" i="3" s="1"/>
  <c r="M622" i="3" l="1"/>
  <c r="N622" i="3" s="1"/>
  <c r="J622" i="3"/>
  <c r="L622" i="3" s="1"/>
  <c r="W622" i="3"/>
  <c r="P623" i="3"/>
  <c r="Q623" i="3" s="1"/>
  <c r="R623" i="3" s="1"/>
  <c r="S623" i="3" s="1"/>
  <c r="Z623" i="3"/>
  <c r="AD623" i="3"/>
  <c r="AA623" i="3"/>
  <c r="AC623" i="3"/>
  <c r="U622" i="3" l="1"/>
  <c r="Y621" i="3"/>
  <c r="T623" i="3"/>
  <c r="D623" i="3" l="1"/>
  <c r="G623" i="3" s="1"/>
  <c r="AH623" i="3"/>
  <c r="AG623" i="3"/>
  <c r="E623" i="3"/>
  <c r="H623" i="3" s="1"/>
  <c r="K623" i="3" l="1"/>
  <c r="AE623" i="3" s="1"/>
  <c r="I623" i="3"/>
  <c r="J623" i="3"/>
  <c r="M623" i="3"/>
  <c r="N623" i="3" s="1"/>
  <c r="F623" i="3"/>
  <c r="L623" i="3" l="1"/>
  <c r="V623" i="3"/>
  <c r="W623" i="3" s="1"/>
  <c r="A624" i="3"/>
  <c r="B624" i="3" s="1"/>
  <c r="U623" i="3" l="1"/>
  <c r="Y622" i="3"/>
  <c r="AA624" i="3"/>
  <c r="Z624" i="3"/>
  <c r="AC624" i="3"/>
  <c r="P624" i="3"/>
  <c r="Q624" i="3" s="1"/>
  <c r="R624" i="3" s="1"/>
  <c r="S624" i="3" s="1"/>
  <c r="T624" i="3" l="1"/>
  <c r="D624" i="3" s="1"/>
  <c r="AG624" i="3" l="1"/>
  <c r="AH624" i="3"/>
  <c r="E624" i="3"/>
  <c r="H624" i="3" s="1"/>
  <c r="K624" i="3" s="1"/>
  <c r="AE624" i="3" s="1"/>
  <c r="G624" i="3"/>
  <c r="F624" i="3" l="1"/>
  <c r="I624" i="3"/>
  <c r="J624" i="3"/>
  <c r="AD624" i="3" s="1"/>
  <c r="M624" i="3"/>
  <c r="N624" i="3" s="1"/>
  <c r="V624" i="3"/>
  <c r="A625" i="3"/>
  <c r="B625" i="3" s="1"/>
  <c r="W624" i="3" l="1"/>
  <c r="L624" i="3"/>
  <c r="P625" i="3"/>
  <c r="Q625" i="3" s="1"/>
  <c r="R625" i="3" s="1"/>
  <c r="S625" i="3" s="1"/>
  <c r="AD625" i="3"/>
  <c r="AA625" i="3"/>
  <c r="Z625" i="3"/>
  <c r="AC625" i="3"/>
  <c r="U624" i="3" l="1"/>
  <c r="Y623" i="3"/>
  <c r="T625" i="3"/>
  <c r="D625" i="3" l="1"/>
  <c r="G625" i="3" s="1"/>
  <c r="E625" i="3"/>
  <c r="H625" i="3" s="1"/>
  <c r="AH625" i="3"/>
  <c r="AG625" i="3"/>
  <c r="F625" i="3" l="1"/>
  <c r="I625" i="3"/>
  <c r="J625" i="3"/>
  <c r="M625" i="3"/>
  <c r="N625" i="3" s="1"/>
  <c r="K625" i="3"/>
  <c r="AE625" i="3" s="1"/>
  <c r="V625" i="3" l="1"/>
  <c r="W625" i="3" s="1"/>
  <c r="A626" i="3"/>
  <c r="B626" i="3" s="1"/>
  <c r="L625" i="3"/>
  <c r="U625" i="3" l="1"/>
  <c r="Y624" i="3"/>
  <c r="AD626" i="3"/>
  <c r="Z626" i="3"/>
  <c r="AC626" i="3"/>
  <c r="P626" i="3"/>
  <c r="Q626" i="3" s="1"/>
  <c r="R626" i="3" s="1"/>
  <c r="S626" i="3" s="1"/>
  <c r="AA626" i="3"/>
  <c r="T626" i="3" l="1"/>
  <c r="E626" i="3" s="1"/>
  <c r="H626" i="3" s="1"/>
  <c r="AG626" i="3" l="1"/>
  <c r="K626" i="3"/>
  <c r="AE626" i="3" s="1"/>
  <c r="D626" i="3"/>
  <c r="AH626" i="3"/>
  <c r="V626" i="3" l="1"/>
  <c r="A627" i="3"/>
  <c r="B627" i="3" s="1"/>
  <c r="F626" i="3"/>
  <c r="G626" i="3"/>
  <c r="I626" i="3" l="1"/>
  <c r="W626" i="3" s="1"/>
  <c r="J626" i="3"/>
  <c r="M626" i="3"/>
  <c r="N626" i="3" s="1"/>
  <c r="Z627" i="3"/>
  <c r="P627" i="3"/>
  <c r="Q627" i="3" s="1"/>
  <c r="R627" i="3" s="1"/>
  <c r="S627" i="3" s="1"/>
  <c r="AC627" i="3"/>
  <c r="AA627" i="3"/>
  <c r="L626" i="3" l="1"/>
  <c r="T627" i="3"/>
  <c r="AG627" i="3" l="1"/>
  <c r="U626" i="3"/>
  <c r="D627" i="3" s="1"/>
  <c r="AH627" i="3"/>
  <c r="Y625" i="3"/>
  <c r="G627" i="3" l="1"/>
  <c r="E627" i="3"/>
  <c r="H627" i="3" s="1"/>
  <c r="K627" i="3" l="1"/>
  <c r="AE627" i="3" s="1"/>
  <c r="I627" i="3"/>
  <c r="J627" i="3"/>
  <c r="AD627" i="3" s="1"/>
  <c r="M627" i="3"/>
  <c r="N627" i="3" s="1"/>
  <c r="F627" i="3"/>
  <c r="L627" i="3" l="1"/>
  <c r="V627" i="3"/>
  <c r="W627" i="3" s="1"/>
  <c r="A628" i="3"/>
  <c r="B628" i="3" s="1"/>
  <c r="Z628" i="3" l="1"/>
  <c r="AA628" i="3"/>
  <c r="P628" i="3"/>
  <c r="Q628" i="3" s="1"/>
  <c r="R628" i="3" s="1"/>
  <c r="S628" i="3" s="1"/>
  <c r="AC628" i="3"/>
  <c r="U627" i="3"/>
  <c r="Y626" i="3"/>
  <c r="T628" i="3" l="1"/>
  <c r="D628" i="3" l="1"/>
  <c r="E628" i="3"/>
  <c r="H628" i="3" s="1"/>
  <c r="AG628" i="3"/>
  <c r="AH628" i="3"/>
  <c r="F628" i="3" l="1"/>
  <c r="G628" i="3"/>
  <c r="K628" i="3"/>
  <c r="AE628" i="3" s="1"/>
  <c r="I628" i="3" l="1"/>
  <c r="J628" i="3"/>
  <c r="AD628" i="3" s="1"/>
  <c r="M628" i="3"/>
  <c r="N628" i="3" s="1"/>
  <c r="V628" i="3"/>
  <c r="A629" i="3"/>
  <c r="B629" i="3" s="1"/>
  <c r="W628" i="3" l="1"/>
  <c r="L628" i="3"/>
  <c r="AC629" i="3"/>
  <c r="AA629" i="3"/>
  <c r="P629" i="3"/>
  <c r="Q629" i="3" s="1"/>
  <c r="R629" i="3" s="1"/>
  <c r="S629" i="3" s="1"/>
  <c r="AD629" i="3"/>
  <c r="Z629" i="3"/>
  <c r="T629" i="3" l="1"/>
  <c r="U628" i="3"/>
  <c r="Y627" i="3"/>
  <c r="E629" i="3" l="1"/>
  <c r="H629" i="3" s="1"/>
  <c r="K629" i="3" s="1"/>
  <c r="AE629" i="3" s="1"/>
  <c r="AH629" i="3"/>
  <c r="AG629" i="3"/>
  <c r="D629" i="3"/>
  <c r="F629" i="3" l="1"/>
  <c r="G629" i="3"/>
  <c r="V629" i="3"/>
  <c r="A630" i="3"/>
  <c r="B630" i="3" s="1"/>
  <c r="I629" i="3" l="1"/>
  <c r="W629" i="3" s="1"/>
  <c r="J629" i="3"/>
  <c r="M629" i="3"/>
  <c r="N629" i="3" s="1"/>
  <c r="AD630" i="3"/>
  <c r="P630" i="3"/>
  <c r="Q630" i="3" s="1"/>
  <c r="R630" i="3" s="1"/>
  <c r="S630" i="3" s="1"/>
  <c r="AC630" i="3"/>
  <c r="AA630" i="3"/>
  <c r="Z630" i="3"/>
  <c r="T630" i="3" l="1"/>
  <c r="L629" i="3"/>
  <c r="U629" i="3" l="1"/>
  <c r="D630" i="3" s="1"/>
  <c r="AH630" i="3"/>
  <c r="AG630" i="3"/>
  <c r="Y628" i="3"/>
  <c r="G630" i="3" l="1"/>
  <c r="E630" i="3"/>
  <c r="H630" i="3" s="1"/>
  <c r="F630" i="3" l="1"/>
  <c r="K630" i="3"/>
  <c r="AE630" i="3" s="1"/>
  <c r="I630" i="3"/>
  <c r="J630" i="3"/>
  <c r="M630" i="3"/>
  <c r="N630" i="3" s="1"/>
  <c r="V630" i="3" l="1"/>
  <c r="W630" i="3" s="1"/>
  <c r="A631" i="3"/>
  <c r="B631" i="3" s="1"/>
  <c r="L630" i="3"/>
  <c r="U630" i="3" l="1"/>
  <c r="Y629" i="3"/>
  <c r="AD631" i="3"/>
  <c r="P631" i="3"/>
  <c r="Q631" i="3" s="1"/>
  <c r="R631" i="3" s="1"/>
  <c r="S631" i="3" s="1"/>
  <c r="AC631" i="3"/>
  <c r="AA631" i="3"/>
  <c r="Z631" i="3"/>
  <c r="T631" i="3" l="1"/>
  <c r="D631" i="3" s="1"/>
  <c r="AH631" i="3" l="1"/>
  <c r="E631" i="3"/>
  <c r="H631" i="3" s="1"/>
  <c r="K631" i="3" s="1"/>
  <c r="AE631" i="3" s="1"/>
  <c r="G631" i="3"/>
  <c r="AG631" i="3"/>
  <c r="F631" i="3" l="1"/>
  <c r="I631" i="3"/>
  <c r="J631" i="3"/>
  <c r="M631" i="3"/>
  <c r="N631" i="3" s="1"/>
  <c r="V631" i="3"/>
  <c r="A632" i="3"/>
  <c r="B632" i="3" s="1"/>
  <c r="L631" i="3" l="1"/>
  <c r="W631" i="3"/>
  <c r="AC632" i="3"/>
  <c r="AA632" i="3"/>
  <c r="Z632" i="3"/>
  <c r="P632" i="3"/>
  <c r="Q632" i="3" s="1"/>
  <c r="R632" i="3" s="1"/>
  <c r="S632" i="3" s="1"/>
  <c r="AD632" i="3"/>
  <c r="T632" i="3" l="1"/>
  <c r="U631" i="3"/>
  <c r="Y630" i="3"/>
  <c r="D632" i="3" l="1"/>
  <c r="G632" i="3" s="1"/>
  <c r="E632" i="3"/>
  <c r="H632" i="3" s="1"/>
  <c r="K632" i="3" s="1"/>
  <c r="AE632" i="3" s="1"/>
  <c r="AG632" i="3"/>
  <c r="AH632" i="3"/>
  <c r="F632" i="3" l="1"/>
  <c r="I632" i="3"/>
  <c r="J632" i="3"/>
  <c r="M632" i="3"/>
  <c r="N632" i="3" s="1"/>
  <c r="V632" i="3"/>
  <c r="A633" i="3"/>
  <c r="B633" i="3" s="1"/>
  <c r="W632" i="3" l="1"/>
  <c r="L632" i="3"/>
  <c r="AD633" i="3"/>
  <c r="Z633" i="3"/>
  <c r="AC633" i="3"/>
  <c r="P633" i="3"/>
  <c r="Q633" i="3" s="1"/>
  <c r="R633" i="3" s="1"/>
  <c r="S633" i="3" s="1"/>
  <c r="AA633" i="3"/>
  <c r="U632" i="3" l="1"/>
  <c r="Y631" i="3"/>
  <c r="T633" i="3"/>
  <c r="AG633" i="3" s="1"/>
  <c r="D633" i="3" l="1"/>
  <c r="G633" i="3" s="1"/>
  <c r="E633" i="3"/>
  <c r="H633" i="3" s="1"/>
  <c r="K633" i="3" s="1"/>
  <c r="AE633" i="3" s="1"/>
  <c r="AH633" i="3"/>
  <c r="F633" i="3" l="1"/>
  <c r="V633" i="3"/>
  <c r="A634" i="3"/>
  <c r="B634" i="3" s="1"/>
  <c r="I633" i="3"/>
  <c r="J633" i="3"/>
  <c r="M633" i="3"/>
  <c r="N633" i="3" s="1"/>
  <c r="L633" i="3" l="1"/>
  <c r="W633" i="3"/>
  <c r="P634" i="3"/>
  <c r="Q634" i="3" s="1"/>
  <c r="R634" i="3" s="1"/>
  <c r="S634" i="3" s="1"/>
  <c r="AA634" i="3"/>
  <c r="AC634" i="3"/>
  <c r="Z634" i="3"/>
  <c r="U633" i="3" l="1"/>
  <c r="Y632" i="3"/>
  <c r="T634" i="3"/>
  <c r="AH634" i="3" s="1"/>
  <c r="E634" i="3" l="1"/>
  <c r="H634" i="3" s="1"/>
  <c r="K634" i="3" s="1"/>
  <c r="AE634" i="3" s="1"/>
  <c r="AG634" i="3"/>
  <c r="D634" i="3"/>
  <c r="F634" i="3" l="1"/>
  <c r="G634" i="3"/>
  <c r="V634" i="3"/>
  <c r="A635" i="3"/>
  <c r="B635" i="3" s="1"/>
  <c r="Z635" i="3" l="1"/>
  <c r="AA635" i="3"/>
  <c r="P635" i="3"/>
  <c r="Q635" i="3" s="1"/>
  <c r="R635" i="3" s="1"/>
  <c r="S635" i="3" s="1"/>
  <c r="AD635" i="3"/>
  <c r="AC635" i="3"/>
  <c r="I634" i="3"/>
  <c r="W634" i="3" s="1"/>
  <c r="J634" i="3"/>
  <c r="AD634" i="3" s="1"/>
  <c r="M634" i="3"/>
  <c r="N634" i="3" s="1"/>
  <c r="T635" i="3" l="1"/>
  <c r="L634" i="3"/>
  <c r="AH635" i="3" l="1"/>
  <c r="U634" i="3"/>
  <c r="D635" i="3" s="1"/>
  <c r="AG635" i="3"/>
  <c r="Y633" i="3"/>
  <c r="E635" i="3" l="1"/>
  <c r="H635" i="3" s="1"/>
  <c r="K635" i="3" s="1"/>
  <c r="AE635" i="3" s="1"/>
  <c r="G635" i="3"/>
  <c r="F635" i="3" l="1"/>
  <c r="I635" i="3"/>
  <c r="J635" i="3"/>
  <c r="M635" i="3"/>
  <c r="N635" i="3" s="1"/>
  <c r="V635" i="3"/>
  <c r="A636" i="3"/>
  <c r="B636" i="3" s="1"/>
  <c r="W635" i="3" l="1"/>
  <c r="L635" i="3"/>
  <c r="AC636" i="3"/>
  <c r="AD636" i="3"/>
  <c r="AA636" i="3"/>
  <c r="P636" i="3"/>
  <c r="Q636" i="3" s="1"/>
  <c r="R636" i="3" s="1"/>
  <c r="S636" i="3" s="1"/>
  <c r="Z636" i="3"/>
  <c r="U635" i="3" l="1"/>
  <c r="Y634" i="3"/>
  <c r="T636" i="3"/>
  <c r="AG636" i="3" s="1"/>
  <c r="AH636" i="3" l="1"/>
  <c r="D636" i="3"/>
  <c r="E636" i="3"/>
  <c r="H636" i="3" s="1"/>
  <c r="F636" i="3" l="1"/>
  <c r="G636" i="3"/>
  <c r="K636" i="3"/>
  <c r="AE636" i="3" s="1"/>
  <c r="I636" i="3" l="1"/>
  <c r="J636" i="3"/>
  <c r="M636" i="3"/>
  <c r="N636" i="3" s="1"/>
  <c r="V636" i="3"/>
  <c r="A637" i="3"/>
  <c r="B637" i="3" s="1"/>
  <c r="W636" i="3" l="1"/>
  <c r="L636" i="3"/>
  <c r="Z637" i="3"/>
  <c r="P637" i="3"/>
  <c r="Q637" i="3" s="1"/>
  <c r="R637" i="3" s="1"/>
  <c r="S637" i="3" s="1"/>
  <c r="AC637" i="3"/>
  <c r="AA637" i="3"/>
  <c r="U636" i="3" l="1"/>
  <c r="Y635" i="3"/>
  <c r="T637" i="3"/>
  <c r="AG637" i="3" s="1"/>
  <c r="D637" i="3" l="1"/>
  <c r="AH637" i="3"/>
  <c r="E637" i="3"/>
  <c r="H637" i="3" s="1"/>
  <c r="F637" i="3" l="1"/>
  <c r="G637" i="3"/>
  <c r="K637" i="3"/>
  <c r="AE637" i="3" s="1"/>
  <c r="I637" i="3" l="1"/>
  <c r="J637" i="3"/>
  <c r="AD637" i="3" s="1"/>
  <c r="M637" i="3"/>
  <c r="N637" i="3" s="1"/>
  <c r="V637" i="3"/>
  <c r="A638" i="3"/>
  <c r="B638" i="3" s="1"/>
  <c r="W637" i="3" l="1"/>
  <c r="L637" i="3"/>
  <c r="P638" i="3"/>
  <c r="Q638" i="3" s="1"/>
  <c r="R638" i="3" s="1"/>
  <c r="S638" i="3" s="1"/>
  <c r="AC638" i="3"/>
  <c r="AA638" i="3"/>
  <c r="Z638" i="3"/>
  <c r="T638" i="3" l="1"/>
  <c r="AG638" i="3" s="1"/>
  <c r="U637" i="3"/>
  <c r="Y636" i="3"/>
  <c r="D638" i="3" l="1"/>
  <c r="G638" i="3" s="1"/>
  <c r="E638" i="3"/>
  <c r="H638" i="3" s="1"/>
  <c r="AH638" i="3"/>
  <c r="F638" i="3" l="1"/>
  <c r="I638" i="3"/>
  <c r="J638" i="3"/>
  <c r="AD638" i="3" s="1"/>
  <c r="M638" i="3"/>
  <c r="N638" i="3" s="1"/>
  <c r="K638" i="3"/>
  <c r="AE638" i="3" s="1"/>
  <c r="V638" i="3" l="1"/>
  <c r="W638" i="3" s="1"/>
  <c r="A639" i="3"/>
  <c r="B639" i="3" s="1"/>
  <c r="L638" i="3"/>
  <c r="U638" i="3" l="1"/>
  <c r="Y637" i="3"/>
  <c r="AC639" i="3"/>
  <c r="P639" i="3"/>
  <c r="Q639" i="3" s="1"/>
  <c r="R639" i="3" s="1"/>
  <c r="S639" i="3" s="1"/>
  <c r="AA639" i="3"/>
  <c r="AD639" i="3"/>
  <c r="Z639" i="3"/>
  <c r="T639" i="3" l="1"/>
  <c r="D639" i="3" s="1"/>
  <c r="AG639" i="3" l="1"/>
  <c r="E639" i="3"/>
  <c r="H639" i="3" s="1"/>
  <c r="K639" i="3" s="1"/>
  <c r="AE639" i="3" s="1"/>
  <c r="AH639" i="3"/>
  <c r="G639" i="3"/>
  <c r="F639" i="3" l="1"/>
  <c r="V639" i="3"/>
  <c r="A640" i="3"/>
  <c r="B640" i="3" s="1"/>
  <c r="I639" i="3"/>
  <c r="J639" i="3"/>
  <c r="M639" i="3"/>
  <c r="N639" i="3" s="1"/>
  <c r="W639" i="3" l="1"/>
  <c r="L639" i="3"/>
  <c r="AD640" i="3"/>
  <c r="P640" i="3"/>
  <c r="Q640" i="3" s="1"/>
  <c r="R640" i="3" s="1"/>
  <c r="S640" i="3" s="1"/>
  <c r="AA640" i="3"/>
  <c r="AC640" i="3"/>
  <c r="Z640" i="3"/>
  <c r="U639" i="3" l="1"/>
  <c r="Y638" i="3"/>
  <c r="T640" i="3"/>
  <c r="E640" i="3" l="1"/>
  <c r="H640" i="3" s="1"/>
  <c r="K640" i="3" s="1"/>
  <c r="AE640" i="3" s="1"/>
  <c r="D640" i="3"/>
  <c r="AG640" i="3"/>
  <c r="AH640" i="3"/>
  <c r="F640" i="3" l="1"/>
  <c r="G640" i="3"/>
  <c r="V640" i="3"/>
  <c r="A641" i="3"/>
  <c r="B641" i="3" s="1"/>
  <c r="AC641" i="3" l="1"/>
  <c r="AA641" i="3"/>
  <c r="AD641" i="3"/>
  <c r="Z641" i="3"/>
  <c r="P641" i="3"/>
  <c r="Q641" i="3" s="1"/>
  <c r="R641" i="3" s="1"/>
  <c r="S641" i="3" s="1"/>
  <c r="I640" i="3"/>
  <c r="W640" i="3" s="1"/>
  <c r="J640" i="3"/>
  <c r="M640" i="3"/>
  <c r="N640" i="3" s="1"/>
  <c r="L640" i="3" l="1"/>
  <c r="T641" i="3"/>
  <c r="U640" i="3" l="1"/>
  <c r="E641" i="3" s="1"/>
  <c r="H641" i="3" s="1"/>
  <c r="AG641" i="3"/>
  <c r="AH641" i="3"/>
  <c r="Y639" i="3"/>
  <c r="K641" i="3" l="1"/>
  <c r="AE641" i="3" s="1"/>
  <c r="D641" i="3"/>
  <c r="V641" i="3" l="1"/>
  <c r="A642" i="3"/>
  <c r="B642" i="3" s="1"/>
  <c r="F641" i="3"/>
  <c r="G641" i="3"/>
  <c r="I641" i="3" l="1"/>
  <c r="W641" i="3" s="1"/>
  <c r="J641" i="3"/>
  <c r="M641" i="3"/>
  <c r="N641" i="3" s="1"/>
  <c r="Z642" i="3"/>
  <c r="AD642" i="3"/>
  <c r="P642" i="3"/>
  <c r="Q642" i="3" s="1"/>
  <c r="R642" i="3" s="1"/>
  <c r="S642" i="3" s="1"/>
  <c r="AC642" i="3"/>
  <c r="AA642" i="3"/>
  <c r="T642" i="3" l="1"/>
  <c r="L641" i="3"/>
  <c r="U641" i="3" l="1"/>
  <c r="D642" i="3" s="1"/>
  <c r="AG642" i="3"/>
  <c r="AH642" i="3"/>
  <c r="Y640" i="3"/>
  <c r="E642" i="3" l="1"/>
  <c r="H642" i="3" s="1"/>
  <c r="K642" i="3" s="1"/>
  <c r="AE642" i="3" s="1"/>
  <c r="G642" i="3"/>
  <c r="F642" i="3" l="1"/>
  <c r="I642" i="3"/>
  <c r="J642" i="3"/>
  <c r="M642" i="3"/>
  <c r="N642" i="3" s="1"/>
  <c r="V642" i="3"/>
  <c r="A643" i="3"/>
  <c r="B643" i="3" s="1"/>
  <c r="W642" i="3" l="1"/>
  <c r="L642" i="3"/>
  <c r="AA643" i="3"/>
  <c r="AD643" i="3"/>
  <c r="AC643" i="3"/>
  <c r="P643" i="3"/>
  <c r="Q643" i="3" s="1"/>
  <c r="R643" i="3" s="1"/>
  <c r="S643" i="3" s="1"/>
  <c r="Z643" i="3"/>
  <c r="U642" i="3" l="1"/>
  <c r="Y641" i="3"/>
  <c r="T643" i="3"/>
  <c r="AH643" i="3" s="1"/>
  <c r="AG643" i="3" l="1"/>
  <c r="E643" i="3"/>
  <c r="H643" i="3" s="1"/>
  <c r="K643" i="3" s="1"/>
  <c r="AE643" i="3" s="1"/>
  <c r="D643" i="3"/>
  <c r="F643" i="3" l="1"/>
  <c r="G643" i="3"/>
  <c r="M643" i="3" s="1"/>
  <c r="N643" i="3" s="1"/>
  <c r="V643" i="3"/>
  <c r="A644" i="3"/>
  <c r="B644" i="3" s="1"/>
  <c r="I643" i="3" l="1"/>
  <c r="W643" i="3" s="1"/>
  <c r="J643" i="3"/>
  <c r="L643" i="3" s="1"/>
  <c r="P644" i="3"/>
  <c r="Q644" i="3" s="1"/>
  <c r="R644" i="3" s="1"/>
  <c r="S644" i="3" s="1"/>
  <c r="AA644" i="3"/>
  <c r="AC644" i="3"/>
  <c r="Z644" i="3"/>
  <c r="U643" i="3" l="1"/>
  <c r="Y642" i="3"/>
  <c r="T644" i="3"/>
  <c r="AG644" i="3" s="1"/>
  <c r="AH644" i="3" l="1"/>
  <c r="D644" i="3"/>
  <c r="E644" i="3"/>
  <c r="H644" i="3" s="1"/>
  <c r="K644" i="3" l="1"/>
  <c r="AE644" i="3" s="1"/>
  <c r="F644" i="3"/>
  <c r="G644" i="3"/>
  <c r="I644" i="3" l="1"/>
  <c r="J644" i="3"/>
  <c r="AD644" i="3" s="1"/>
  <c r="M644" i="3"/>
  <c r="N644" i="3" s="1"/>
  <c r="V644" i="3"/>
  <c r="A645" i="3"/>
  <c r="B645" i="3" s="1"/>
  <c r="L644" i="3" l="1"/>
  <c r="W644" i="3"/>
  <c r="Z645" i="3"/>
  <c r="P645" i="3"/>
  <c r="Q645" i="3" s="1"/>
  <c r="R645" i="3" s="1"/>
  <c r="S645" i="3" s="1"/>
  <c r="AD645" i="3"/>
  <c r="AA645" i="3"/>
  <c r="AC645" i="3"/>
  <c r="U644" i="3" l="1"/>
  <c r="Y643" i="3"/>
  <c r="T645" i="3"/>
  <c r="AG645" i="3" s="1"/>
  <c r="D645" i="3" l="1"/>
  <c r="AH645" i="3"/>
  <c r="E645" i="3"/>
  <c r="H645" i="3" s="1"/>
  <c r="F645" i="3" l="1"/>
  <c r="G645" i="3"/>
  <c r="K645" i="3"/>
  <c r="AE645" i="3" s="1"/>
  <c r="I645" i="3" l="1"/>
  <c r="J645" i="3"/>
  <c r="M645" i="3"/>
  <c r="N645" i="3" s="1"/>
  <c r="V645" i="3"/>
  <c r="A646" i="3"/>
  <c r="B646" i="3" s="1"/>
  <c r="W645" i="3" l="1"/>
  <c r="L645" i="3"/>
  <c r="AA646" i="3"/>
  <c r="Z646" i="3"/>
  <c r="AC646" i="3"/>
  <c r="AD646" i="3"/>
  <c r="P646" i="3"/>
  <c r="Q646" i="3" s="1"/>
  <c r="R646" i="3" s="1"/>
  <c r="S646" i="3" s="1"/>
  <c r="U645" i="3" l="1"/>
  <c r="Y644" i="3"/>
  <c r="T646" i="3"/>
  <c r="AG646" i="3" s="1"/>
  <c r="E646" i="3" l="1"/>
  <c r="H646" i="3" s="1"/>
  <c r="D646" i="3"/>
  <c r="AH646" i="3"/>
  <c r="F646" i="3" l="1"/>
  <c r="G646" i="3"/>
  <c r="K646" i="3"/>
  <c r="AE646" i="3" s="1"/>
  <c r="I646" i="3" l="1"/>
  <c r="J646" i="3"/>
  <c r="M646" i="3"/>
  <c r="N646" i="3" s="1"/>
  <c r="V646" i="3"/>
  <c r="A647" i="3"/>
  <c r="B647" i="3" s="1"/>
  <c r="L646" i="3" l="1"/>
  <c r="W646" i="3"/>
  <c r="P647" i="3"/>
  <c r="Q647" i="3" s="1"/>
  <c r="R647" i="3" s="1"/>
  <c r="S647" i="3" s="1"/>
  <c r="AC647" i="3"/>
  <c r="AA647" i="3"/>
  <c r="Z647" i="3"/>
  <c r="U646" i="3" l="1"/>
  <c r="Y645" i="3"/>
  <c r="T647" i="3"/>
  <c r="AG647" i="3" s="1"/>
  <c r="E647" i="3" l="1"/>
  <c r="H647" i="3" s="1"/>
  <c r="D647" i="3"/>
  <c r="AH647" i="3"/>
  <c r="F647" i="3" l="1"/>
  <c r="G647" i="3"/>
  <c r="K647" i="3"/>
  <c r="AE647" i="3" s="1"/>
  <c r="V647" i="3" l="1"/>
  <c r="A648" i="3"/>
  <c r="B648" i="3" s="1"/>
  <c r="I647" i="3"/>
  <c r="J647" i="3"/>
  <c r="AD647" i="3" s="1"/>
  <c r="M647" i="3"/>
  <c r="N647" i="3" s="1"/>
  <c r="W647" i="3" l="1"/>
  <c r="L647" i="3"/>
  <c r="AC648" i="3"/>
  <c r="AA648" i="3"/>
  <c r="P648" i="3"/>
  <c r="Q648" i="3" s="1"/>
  <c r="R648" i="3" s="1"/>
  <c r="S648" i="3" s="1"/>
  <c r="Z648" i="3"/>
  <c r="T648" i="3" l="1"/>
  <c r="AH648" i="3" s="1"/>
  <c r="U647" i="3"/>
  <c r="Y646" i="3"/>
  <c r="D648" i="3" l="1"/>
  <c r="AG648" i="3"/>
  <c r="E648" i="3"/>
  <c r="H648" i="3" s="1"/>
  <c r="F648" i="3" l="1"/>
  <c r="G648" i="3"/>
  <c r="K648" i="3"/>
  <c r="AE648" i="3" s="1"/>
  <c r="I648" i="3" l="1"/>
  <c r="J648" i="3"/>
  <c r="AD648" i="3" s="1"/>
  <c r="M648" i="3"/>
  <c r="N648" i="3" s="1"/>
  <c r="V648" i="3"/>
  <c r="A649" i="3"/>
  <c r="B649" i="3" s="1"/>
  <c r="W648" i="3" l="1"/>
  <c r="L648" i="3"/>
  <c r="AC649" i="3"/>
  <c r="AA649" i="3"/>
  <c r="AD649" i="3"/>
  <c r="P649" i="3"/>
  <c r="Q649" i="3" s="1"/>
  <c r="R649" i="3" s="1"/>
  <c r="S649" i="3" s="1"/>
  <c r="Z649" i="3"/>
  <c r="U648" i="3" l="1"/>
  <c r="Y647" i="3"/>
  <c r="T649" i="3"/>
  <c r="E649" i="3" l="1"/>
  <c r="H649" i="3" s="1"/>
  <c r="K649" i="3" s="1"/>
  <c r="AE649" i="3" s="1"/>
  <c r="D649" i="3"/>
  <c r="AH649" i="3"/>
  <c r="AG649" i="3"/>
  <c r="V649" i="3" l="1"/>
  <c r="A650" i="3"/>
  <c r="B650" i="3" s="1"/>
  <c r="F649" i="3"/>
  <c r="G649" i="3"/>
  <c r="I649" i="3" l="1"/>
  <c r="W649" i="3" s="1"/>
  <c r="J649" i="3"/>
  <c r="M649" i="3"/>
  <c r="N649" i="3" s="1"/>
  <c r="AA650" i="3"/>
  <c r="P650" i="3"/>
  <c r="Q650" i="3" s="1"/>
  <c r="R650" i="3" s="1"/>
  <c r="S650" i="3" s="1"/>
  <c r="Z650" i="3"/>
  <c r="AD650" i="3"/>
  <c r="AC650" i="3"/>
  <c r="L649" i="3" l="1"/>
  <c r="T650" i="3"/>
  <c r="U649" i="3" l="1"/>
  <c r="E650" i="3" s="1"/>
  <c r="H650" i="3" s="1"/>
  <c r="AG650" i="3"/>
  <c r="AH650" i="3"/>
  <c r="Y648" i="3"/>
  <c r="K650" i="3" l="1"/>
  <c r="AE650" i="3" s="1"/>
  <c r="D650" i="3"/>
  <c r="V650" i="3" l="1"/>
  <c r="A651" i="3"/>
  <c r="B651" i="3" s="1"/>
  <c r="F650" i="3"/>
  <c r="G650" i="3"/>
  <c r="I650" i="3" l="1"/>
  <c r="W650" i="3" s="1"/>
  <c r="J650" i="3"/>
  <c r="M650" i="3"/>
  <c r="N650" i="3" s="1"/>
  <c r="Z651" i="3"/>
  <c r="AC651" i="3"/>
  <c r="P651" i="3"/>
  <c r="Q651" i="3" s="1"/>
  <c r="R651" i="3" s="1"/>
  <c r="S651" i="3" s="1"/>
  <c r="AA651" i="3"/>
  <c r="AD651" i="3"/>
  <c r="T651" i="3" l="1"/>
  <c r="L650" i="3"/>
  <c r="AH651" i="3" l="1"/>
  <c r="U650" i="3"/>
  <c r="E651" i="3" s="1"/>
  <c r="H651" i="3" s="1"/>
  <c r="AG651" i="3"/>
  <c r="Y649" i="3"/>
  <c r="D651" i="3" l="1"/>
  <c r="G651" i="3" s="1"/>
  <c r="K651" i="3"/>
  <c r="AE651" i="3" s="1"/>
  <c r="F651" i="3" l="1"/>
  <c r="I651" i="3"/>
  <c r="J651" i="3"/>
  <c r="M651" i="3"/>
  <c r="N651" i="3" s="1"/>
  <c r="V651" i="3"/>
  <c r="A652" i="3"/>
  <c r="B652" i="3" s="1"/>
  <c r="W651" i="3" l="1"/>
  <c r="L651" i="3"/>
  <c r="P652" i="3"/>
  <c r="Q652" i="3" s="1"/>
  <c r="R652" i="3" s="1"/>
  <c r="S652" i="3" s="1"/>
  <c r="AC652" i="3"/>
  <c r="AA652" i="3"/>
  <c r="Z652" i="3"/>
  <c r="AD652" i="3"/>
  <c r="U651" i="3" l="1"/>
  <c r="Y650" i="3"/>
  <c r="T652" i="3"/>
  <c r="E652" i="3" l="1"/>
  <c r="H652" i="3" s="1"/>
  <c r="K652" i="3" s="1"/>
  <c r="AE652" i="3" s="1"/>
  <c r="AH652" i="3"/>
  <c r="AG652" i="3"/>
  <c r="D652" i="3"/>
  <c r="G652" i="3" s="1"/>
  <c r="F652" i="3" l="1"/>
  <c r="V652" i="3"/>
  <c r="A653" i="3"/>
  <c r="B653" i="3" s="1"/>
  <c r="I652" i="3"/>
  <c r="J652" i="3"/>
  <c r="M652" i="3"/>
  <c r="N652" i="3" s="1"/>
  <c r="W652" i="3" l="1"/>
  <c r="L652" i="3"/>
  <c r="Z653" i="3"/>
  <c r="AA653" i="3"/>
  <c r="P653" i="3"/>
  <c r="Q653" i="3" s="1"/>
  <c r="R653" i="3" s="1"/>
  <c r="S653" i="3" s="1"/>
  <c r="AD653" i="3"/>
  <c r="AC653" i="3"/>
  <c r="T653" i="3" l="1"/>
  <c r="AG653" i="3" s="1"/>
  <c r="U652" i="3"/>
  <c r="Y651" i="3"/>
  <c r="AH653" i="3" l="1"/>
  <c r="E653" i="3"/>
  <c r="H653" i="3" s="1"/>
  <c r="D653" i="3"/>
  <c r="K653" i="3" l="1"/>
  <c r="AE653" i="3" s="1"/>
  <c r="F653" i="3"/>
  <c r="G653" i="3"/>
  <c r="V653" i="3" l="1"/>
  <c r="A654" i="3"/>
  <c r="B654" i="3" s="1"/>
  <c r="I653" i="3"/>
  <c r="J653" i="3"/>
  <c r="M653" i="3"/>
  <c r="N653" i="3" s="1"/>
  <c r="W653" i="3" l="1"/>
  <c r="L653" i="3"/>
  <c r="Z654" i="3"/>
  <c r="P654" i="3"/>
  <c r="Q654" i="3" s="1"/>
  <c r="R654" i="3" s="1"/>
  <c r="S654" i="3" s="1"/>
  <c r="AC654" i="3"/>
  <c r="AA654" i="3"/>
  <c r="T654" i="3" l="1"/>
  <c r="AG654" i="3" s="1"/>
  <c r="U653" i="3"/>
  <c r="Y652" i="3"/>
  <c r="AH654" i="3" l="1"/>
  <c r="E654" i="3"/>
  <c r="H654" i="3" s="1"/>
  <c r="D654" i="3"/>
  <c r="K654" i="3" l="1"/>
  <c r="AE654" i="3" s="1"/>
  <c r="F654" i="3"/>
  <c r="G654" i="3"/>
  <c r="V654" i="3" l="1"/>
  <c r="A655" i="3"/>
  <c r="B655" i="3" s="1"/>
  <c r="I654" i="3"/>
  <c r="J654" i="3"/>
  <c r="AD654" i="3" s="1"/>
  <c r="M654" i="3"/>
  <c r="N654" i="3" s="1"/>
  <c r="L654" i="3" l="1"/>
  <c r="AD655" i="3"/>
  <c r="AC655" i="3"/>
  <c r="P655" i="3"/>
  <c r="Q655" i="3" s="1"/>
  <c r="R655" i="3" s="1"/>
  <c r="S655" i="3" s="1"/>
  <c r="Z655" i="3"/>
  <c r="AA655" i="3"/>
  <c r="W654" i="3"/>
  <c r="U654" i="3" l="1"/>
  <c r="Y653" i="3"/>
  <c r="T655" i="3"/>
  <c r="AH655" i="3" s="1"/>
  <c r="AG655" i="3" l="1"/>
  <c r="D655" i="3"/>
  <c r="E655" i="3"/>
  <c r="H655" i="3" s="1"/>
  <c r="K655" i="3" l="1"/>
  <c r="AE655" i="3" s="1"/>
  <c r="F655" i="3"/>
  <c r="G655" i="3"/>
  <c r="V655" i="3" l="1"/>
  <c r="A656" i="3"/>
  <c r="B656" i="3" s="1"/>
  <c r="I655" i="3"/>
  <c r="J655" i="3"/>
  <c r="M655" i="3"/>
  <c r="N655" i="3" s="1"/>
  <c r="W655" i="3" l="1"/>
  <c r="L655" i="3"/>
  <c r="Z656" i="3"/>
  <c r="AA656" i="3"/>
  <c r="AD656" i="3"/>
  <c r="AC656" i="3"/>
  <c r="P656" i="3"/>
  <c r="Q656" i="3" s="1"/>
  <c r="R656" i="3" s="1"/>
  <c r="S656" i="3" s="1"/>
  <c r="T656" i="3" l="1"/>
  <c r="U655" i="3"/>
  <c r="Y654" i="3"/>
  <c r="E656" i="3" l="1"/>
  <c r="H656" i="3" s="1"/>
  <c r="K656" i="3" s="1"/>
  <c r="AE656" i="3" s="1"/>
  <c r="AH656" i="3"/>
  <c r="D656" i="3"/>
  <c r="AG656" i="3"/>
  <c r="F656" i="3" l="1"/>
  <c r="G656" i="3"/>
  <c r="V656" i="3"/>
  <c r="A657" i="3"/>
  <c r="B657" i="3" s="1"/>
  <c r="I656" i="3" l="1"/>
  <c r="W656" i="3" s="1"/>
  <c r="J656" i="3"/>
  <c r="M656" i="3"/>
  <c r="N656" i="3" s="1"/>
  <c r="AC657" i="3"/>
  <c r="P657" i="3"/>
  <c r="Q657" i="3" s="1"/>
  <c r="R657" i="3" s="1"/>
  <c r="S657" i="3" s="1"/>
  <c r="AA657" i="3"/>
  <c r="Z657" i="3"/>
  <c r="L656" i="3" l="1"/>
  <c r="T657" i="3"/>
  <c r="AH657" i="3" l="1"/>
  <c r="U656" i="3"/>
  <c r="E657" i="3" s="1"/>
  <c r="H657" i="3" s="1"/>
  <c r="AG657" i="3"/>
  <c r="Y655" i="3"/>
  <c r="D657" i="3" l="1"/>
  <c r="G657" i="3" s="1"/>
  <c r="K657" i="3"/>
  <c r="AE657" i="3" s="1"/>
  <c r="F657" i="3" l="1"/>
  <c r="I657" i="3"/>
  <c r="J657" i="3"/>
  <c r="AD657" i="3" s="1"/>
  <c r="M657" i="3"/>
  <c r="N657" i="3" s="1"/>
  <c r="V657" i="3"/>
  <c r="A658" i="3"/>
  <c r="B658" i="3" s="1"/>
  <c r="W657" i="3" l="1"/>
  <c r="L657" i="3"/>
  <c r="AC658" i="3"/>
  <c r="Z658" i="3"/>
  <c r="AA658" i="3"/>
  <c r="P658" i="3"/>
  <c r="Q658" i="3" s="1"/>
  <c r="R658" i="3" s="1"/>
  <c r="S658" i="3" s="1"/>
  <c r="U657" i="3" l="1"/>
  <c r="Y656" i="3"/>
  <c r="T658" i="3"/>
  <c r="AG658" i="3" s="1"/>
  <c r="E658" i="3" l="1"/>
  <c r="H658" i="3" s="1"/>
  <c r="D658" i="3"/>
  <c r="AH658" i="3"/>
  <c r="K658" i="3" l="1"/>
  <c r="AE658" i="3" s="1"/>
  <c r="F658" i="3"/>
  <c r="G658" i="3"/>
  <c r="I658" i="3" l="1"/>
  <c r="J658" i="3"/>
  <c r="AD658" i="3" s="1"/>
  <c r="M658" i="3"/>
  <c r="N658" i="3" s="1"/>
  <c r="V658" i="3"/>
  <c r="A659" i="3"/>
  <c r="B659" i="3" s="1"/>
  <c r="W658" i="3" l="1"/>
  <c r="L658" i="3"/>
  <c r="AA659" i="3"/>
  <c r="P659" i="3"/>
  <c r="Q659" i="3" s="1"/>
  <c r="R659" i="3" s="1"/>
  <c r="S659" i="3" s="1"/>
  <c r="Z659" i="3"/>
  <c r="AD659" i="3"/>
  <c r="AC659" i="3"/>
  <c r="U658" i="3" l="1"/>
  <c r="Y657" i="3"/>
  <c r="T659" i="3"/>
  <c r="AH659" i="3" s="1"/>
  <c r="E659" i="3" l="1"/>
  <c r="H659" i="3" s="1"/>
  <c r="K659" i="3" s="1"/>
  <c r="AE659" i="3" s="1"/>
  <c r="AG659" i="3"/>
  <c r="D659" i="3"/>
  <c r="G659" i="3" s="1"/>
  <c r="F659" i="3" l="1"/>
  <c r="I659" i="3"/>
  <c r="J659" i="3"/>
  <c r="M659" i="3"/>
  <c r="N659" i="3" s="1"/>
  <c r="V659" i="3"/>
  <c r="A660" i="3"/>
  <c r="B660" i="3" s="1"/>
  <c r="W659" i="3" l="1"/>
  <c r="L659" i="3"/>
  <c r="AA660" i="3"/>
  <c r="P660" i="3"/>
  <c r="Q660" i="3" s="1"/>
  <c r="R660" i="3" s="1"/>
  <c r="S660" i="3" s="1"/>
  <c r="AC660" i="3"/>
  <c r="AD660" i="3"/>
  <c r="Z660" i="3"/>
  <c r="T660" i="3" l="1"/>
  <c r="AH660" i="3" s="1"/>
  <c r="U659" i="3"/>
  <c r="Y658" i="3"/>
  <c r="AG660" i="3" l="1"/>
  <c r="D660" i="3"/>
  <c r="E660" i="3"/>
  <c r="H660" i="3" s="1"/>
  <c r="K660" i="3" l="1"/>
  <c r="AE660" i="3" s="1"/>
  <c r="F660" i="3"/>
  <c r="G660" i="3"/>
  <c r="I660" i="3" l="1"/>
  <c r="J660" i="3"/>
  <c r="M660" i="3"/>
  <c r="N660" i="3" s="1"/>
  <c r="V660" i="3"/>
  <c r="A661" i="3"/>
  <c r="B661" i="3" s="1"/>
  <c r="L660" i="3" l="1"/>
  <c r="W660" i="3"/>
  <c r="Z661" i="3"/>
  <c r="P661" i="3"/>
  <c r="Q661" i="3" s="1"/>
  <c r="R661" i="3" s="1"/>
  <c r="S661" i="3" s="1"/>
  <c r="AA661" i="3"/>
  <c r="AD661" i="3"/>
  <c r="AC661" i="3"/>
  <c r="T661" i="3" l="1"/>
  <c r="U660" i="3"/>
  <c r="Y659" i="3"/>
  <c r="E661" i="3" l="1"/>
  <c r="H661" i="3" s="1"/>
  <c r="K661" i="3" s="1"/>
  <c r="AE661" i="3" s="1"/>
  <c r="D661" i="3"/>
  <c r="AH661" i="3"/>
  <c r="AG661" i="3"/>
  <c r="V661" i="3" l="1"/>
  <c r="A662" i="3"/>
  <c r="B662" i="3" s="1"/>
  <c r="F661" i="3"/>
  <c r="G661" i="3"/>
  <c r="I661" i="3" l="1"/>
  <c r="W661" i="3" s="1"/>
  <c r="J661" i="3"/>
  <c r="M661" i="3"/>
  <c r="N661" i="3" s="1"/>
  <c r="P662" i="3"/>
  <c r="Q662" i="3" s="1"/>
  <c r="R662" i="3" s="1"/>
  <c r="S662" i="3" s="1"/>
  <c r="Z662" i="3"/>
  <c r="AD662" i="3"/>
  <c r="AA662" i="3"/>
  <c r="AC662" i="3"/>
  <c r="T662" i="3" l="1"/>
  <c r="L661" i="3"/>
  <c r="AH662" i="3" l="1"/>
  <c r="AG662" i="3"/>
  <c r="U661" i="3"/>
  <c r="E662" i="3" s="1"/>
  <c r="H662" i="3" s="1"/>
  <c r="Y660" i="3"/>
  <c r="D662" i="3" l="1"/>
  <c r="F662" i="3" s="1"/>
  <c r="K662" i="3"/>
  <c r="AE662" i="3" s="1"/>
  <c r="G662" i="3" l="1"/>
  <c r="I662" i="3" s="1"/>
  <c r="V662" i="3"/>
  <c r="A663" i="3"/>
  <c r="B663" i="3" s="1"/>
  <c r="J662" i="3" l="1"/>
  <c r="L662" i="3" s="1"/>
  <c r="M662" i="3"/>
  <c r="N662" i="3" s="1"/>
  <c r="W662" i="3"/>
  <c r="AA663" i="3"/>
  <c r="Z663" i="3"/>
  <c r="P663" i="3"/>
  <c r="Q663" i="3" s="1"/>
  <c r="R663" i="3" s="1"/>
  <c r="S663" i="3" s="1"/>
  <c r="AC663" i="3"/>
  <c r="AD663" i="3"/>
  <c r="U662" i="3" l="1"/>
  <c r="Y661" i="3"/>
  <c r="T663" i="3"/>
  <c r="E663" i="3" l="1"/>
  <c r="H663" i="3" s="1"/>
  <c r="K663" i="3" s="1"/>
  <c r="AE663" i="3" s="1"/>
  <c r="AG663" i="3"/>
  <c r="AH663" i="3"/>
  <c r="D663" i="3"/>
  <c r="F663" i="3" l="1"/>
  <c r="G663" i="3"/>
  <c r="V663" i="3"/>
  <c r="A664" i="3"/>
  <c r="B664" i="3" s="1"/>
  <c r="P664" i="3" l="1"/>
  <c r="Q664" i="3" s="1"/>
  <c r="R664" i="3" s="1"/>
  <c r="S664" i="3" s="1"/>
  <c r="AA664" i="3"/>
  <c r="AC664" i="3"/>
  <c r="Z664" i="3"/>
  <c r="I663" i="3"/>
  <c r="W663" i="3" s="1"/>
  <c r="J663" i="3"/>
  <c r="M663" i="3"/>
  <c r="N663" i="3" s="1"/>
  <c r="T664" i="3" l="1"/>
  <c r="L663" i="3"/>
  <c r="AH664" i="3" l="1"/>
  <c r="U663" i="3"/>
  <c r="E664" i="3" s="1"/>
  <c r="H664" i="3" s="1"/>
  <c r="AG664" i="3"/>
  <c r="Y662" i="3"/>
  <c r="D664" i="3" l="1"/>
  <c r="G664" i="3" s="1"/>
  <c r="K664" i="3"/>
  <c r="AE664" i="3" s="1"/>
  <c r="F664" i="3" l="1"/>
  <c r="I664" i="3"/>
  <c r="J664" i="3"/>
  <c r="AD664" i="3" s="1"/>
  <c r="M664" i="3"/>
  <c r="N664" i="3" s="1"/>
  <c r="V664" i="3"/>
  <c r="A665" i="3"/>
  <c r="B665" i="3" s="1"/>
  <c r="W664" i="3" l="1"/>
  <c r="L664" i="3"/>
  <c r="AC665" i="3"/>
  <c r="P665" i="3"/>
  <c r="Q665" i="3" s="1"/>
  <c r="R665" i="3" s="1"/>
  <c r="S665" i="3" s="1"/>
  <c r="AA665" i="3"/>
  <c r="Z665" i="3"/>
  <c r="AD665" i="3"/>
  <c r="U664" i="3" l="1"/>
  <c r="Y663" i="3"/>
  <c r="T665" i="3"/>
  <c r="D665" i="3" l="1"/>
  <c r="G665" i="3" s="1"/>
  <c r="AG665" i="3"/>
  <c r="E665" i="3"/>
  <c r="H665" i="3" s="1"/>
  <c r="AH665" i="3"/>
  <c r="F665" i="3" l="1"/>
  <c r="I665" i="3"/>
  <c r="J665" i="3"/>
  <c r="M665" i="3"/>
  <c r="N665" i="3" s="1"/>
  <c r="K665" i="3"/>
  <c r="AE665" i="3" s="1"/>
  <c r="L665" i="3" l="1"/>
  <c r="V665" i="3"/>
  <c r="W665" i="3" s="1"/>
  <c r="A666" i="3"/>
  <c r="B666" i="3" s="1"/>
  <c r="U665" i="3" l="1"/>
  <c r="Y664" i="3"/>
  <c r="AA666" i="3"/>
  <c r="AD666" i="3"/>
  <c r="P666" i="3"/>
  <c r="Q666" i="3" s="1"/>
  <c r="R666" i="3" s="1"/>
  <c r="S666" i="3" s="1"/>
  <c r="Z666" i="3"/>
  <c r="AC666" i="3"/>
  <c r="T666" i="3" l="1"/>
  <c r="D666" i="3" s="1"/>
  <c r="AG666" i="3" l="1"/>
  <c r="E666" i="3"/>
  <c r="H666" i="3" s="1"/>
  <c r="K666" i="3" s="1"/>
  <c r="AE666" i="3" s="1"/>
  <c r="AH666" i="3"/>
  <c r="G666" i="3"/>
  <c r="F666" i="3" l="1"/>
  <c r="I666" i="3"/>
  <c r="J666" i="3"/>
  <c r="M666" i="3"/>
  <c r="N666" i="3" s="1"/>
  <c r="V666" i="3"/>
  <c r="A667" i="3"/>
  <c r="B667" i="3" s="1"/>
  <c r="L666" i="3" l="1"/>
  <c r="W666" i="3"/>
  <c r="AC667" i="3"/>
  <c r="Z667" i="3"/>
  <c r="P667" i="3"/>
  <c r="Q667" i="3" s="1"/>
  <c r="R667" i="3" s="1"/>
  <c r="S667" i="3" s="1"/>
  <c r="AA667" i="3"/>
  <c r="U666" i="3" l="1"/>
  <c r="Y665" i="3"/>
  <c r="T667" i="3"/>
  <c r="AG667" i="3" s="1"/>
  <c r="D667" i="3" l="1"/>
  <c r="E667" i="3"/>
  <c r="H667" i="3" s="1"/>
  <c r="AH667" i="3"/>
  <c r="F667" i="3" l="1"/>
  <c r="G667" i="3"/>
  <c r="K667" i="3"/>
  <c r="AE667" i="3" s="1"/>
  <c r="I667" i="3" l="1"/>
  <c r="J667" i="3"/>
  <c r="AD667" i="3" s="1"/>
  <c r="M667" i="3"/>
  <c r="N667" i="3" s="1"/>
  <c r="V667" i="3"/>
  <c r="A668" i="3"/>
  <c r="B668" i="3" s="1"/>
  <c r="W667" i="3" l="1"/>
  <c r="L667" i="3"/>
  <c r="Z668" i="3"/>
  <c r="P668" i="3"/>
  <c r="Q668" i="3" s="1"/>
  <c r="R668" i="3" s="1"/>
  <c r="S668" i="3" s="1"/>
  <c r="AC668" i="3"/>
  <c r="AA668" i="3"/>
  <c r="T668" i="3" l="1"/>
  <c r="AH668" i="3" s="1"/>
  <c r="U667" i="3"/>
  <c r="Y666" i="3"/>
  <c r="D668" i="3" l="1"/>
  <c r="G668" i="3" s="1"/>
  <c r="AG668" i="3"/>
  <c r="E668" i="3"/>
  <c r="H668" i="3" s="1"/>
  <c r="F668" i="3" l="1"/>
  <c r="I668" i="3"/>
  <c r="J668" i="3"/>
  <c r="AD668" i="3" s="1"/>
  <c r="M668" i="3"/>
  <c r="N668" i="3" s="1"/>
  <c r="K668" i="3"/>
  <c r="AE668" i="3" s="1"/>
  <c r="L668" i="3" l="1"/>
  <c r="V668" i="3"/>
  <c r="W668" i="3" s="1"/>
  <c r="A669" i="3"/>
  <c r="B669" i="3" s="1"/>
  <c r="AA669" i="3" l="1"/>
  <c r="P669" i="3"/>
  <c r="Q669" i="3" s="1"/>
  <c r="R669" i="3" s="1"/>
  <c r="S669" i="3" s="1"/>
  <c r="AD669" i="3"/>
  <c r="AC669" i="3"/>
  <c r="Z669" i="3"/>
  <c r="U668" i="3"/>
  <c r="Y667" i="3"/>
  <c r="T669" i="3" l="1"/>
  <c r="AH669" i="3" l="1"/>
  <c r="AG669" i="3"/>
  <c r="D669" i="3"/>
  <c r="E669" i="3"/>
  <c r="H669" i="3" s="1"/>
  <c r="F669" i="3" l="1"/>
  <c r="G669" i="3"/>
  <c r="K669" i="3"/>
  <c r="AE669" i="3" s="1"/>
  <c r="V669" i="3" l="1"/>
  <c r="A670" i="3"/>
  <c r="B670" i="3" s="1"/>
  <c r="I669" i="3"/>
  <c r="J669" i="3"/>
  <c r="M669" i="3"/>
  <c r="N669" i="3" s="1"/>
  <c r="L669" i="3" l="1"/>
  <c r="W669" i="3"/>
  <c r="AD670" i="3"/>
  <c r="P670" i="3"/>
  <c r="Q670" i="3" s="1"/>
  <c r="R670" i="3" s="1"/>
  <c r="S670" i="3" s="1"/>
  <c r="AA670" i="3"/>
  <c r="Z670" i="3"/>
  <c r="AC670" i="3"/>
  <c r="T670" i="3" l="1"/>
  <c r="U669" i="3"/>
  <c r="Y668" i="3"/>
  <c r="E670" i="3" l="1"/>
  <c r="H670" i="3" s="1"/>
  <c r="K670" i="3" s="1"/>
  <c r="AE670" i="3" s="1"/>
  <c r="AH670" i="3"/>
  <c r="AG670" i="3"/>
  <c r="D670" i="3"/>
  <c r="V670" i="3" l="1"/>
  <c r="A671" i="3"/>
  <c r="B671" i="3" s="1"/>
  <c r="F670" i="3"/>
  <c r="G670" i="3"/>
  <c r="I670" i="3" l="1"/>
  <c r="W670" i="3" s="1"/>
  <c r="J670" i="3"/>
  <c r="M670" i="3"/>
  <c r="N670" i="3" s="1"/>
  <c r="AC671" i="3"/>
  <c r="Z671" i="3"/>
  <c r="AD671" i="3"/>
  <c r="AA671" i="3"/>
  <c r="P671" i="3"/>
  <c r="Q671" i="3" s="1"/>
  <c r="R671" i="3" s="1"/>
  <c r="S671" i="3" s="1"/>
  <c r="T671" i="3" l="1"/>
  <c r="L670" i="3"/>
  <c r="U670" i="3" l="1"/>
  <c r="E671" i="3" s="1"/>
  <c r="H671" i="3" s="1"/>
  <c r="AG671" i="3"/>
  <c r="AH671" i="3"/>
  <c r="Y669" i="3"/>
  <c r="D671" i="3" l="1"/>
  <c r="G671" i="3" s="1"/>
  <c r="K671" i="3"/>
  <c r="AE671" i="3" s="1"/>
  <c r="F671" i="3" l="1"/>
  <c r="V671" i="3"/>
  <c r="A672" i="3"/>
  <c r="B672" i="3" s="1"/>
  <c r="I671" i="3"/>
  <c r="J671" i="3"/>
  <c r="M671" i="3"/>
  <c r="N671" i="3" s="1"/>
  <c r="W671" i="3" l="1"/>
  <c r="L671" i="3"/>
  <c r="AD672" i="3"/>
  <c r="P672" i="3"/>
  <c r="Q672" i="3" s="1"/>
  <c r="R672" i="3" s="1"/>
  <c r="S672" i="3" s="1"/>
  <c r="AC672" i="3"/>
  <c r="Z672" i="3"/>
  <c r="AA672" i="3"/>
  <c r="T672" i="3" l="1"/>
  <c r="AG672" i="3" s="1"/>
  <c r="U671" i="3"/>
  <c r="Y670" i="3"/>
  <c r="E672" i="3" l="1"/>
  <c r="H672" i="3" s="1"/>
  <c r="K672" i="3" s="1"/>
  <c r="AE672" i="3" s="1"/>
  <c r="D672" i="3"/>
  <c r="AH672" i="3"/>
  <c r="F672" i="3" l="1"/>
  <c r="G672" i="3"/>
  <c r="V672" i="3"/>
  <c r="A673" i="3"/>
  <c r="B673" i="3" s="1"/>
  <c r="AC673" i="3" l="1"/>
  <c r="AA673" i="3"/>
  <c r="P673" i="3"/>
  <c r="Q673" i="3" s="1"/>
  <c r="R673" i="3" s="1"/>
  <c r="S673" i="3" s="1"/>
  <c r="AD673" i="3"/>
  <c r="Z673" i="3"/>
  <c r="I672" i="3"/>
  <c r="W672" i="3" s="1"/>
  <c r="J672" i="3"/>
  <c r="M672" i="3"/>
  <c r="N672" i="3" s="1"/>
  <c r="L672" i="3" l="1"/>
  <c r="T673" i="3"/>
  <c r="AH673" i="3" l="1"/>
  <c r="AG673" i="3"/>
  <c r="U672" i="3"/>
  <c r="E673" i="3" s="1"/>
  <c r="H673" i="3" s="1"/>
  <c r="Y671" i="3"/>
  <c r="K673" i="3" l="1"/>
  <c r="AE673" i="3" s="1"/>
  <c r="D673" i="3"/>
  <c r="V673" i="3" l="1"/>
  <c r="A674" i="3"/>
  <c r="B674" i="3" s="1"/>
  <c r="F673" i="3"/>
  <c r="G673" i="3"/>
  <c r="I673" i="3" l="1"/>
  <c r="W673" i="3" s="1"/>
  <c r="J673" i="3"/>
  <c r="M673" i="3"/>
  <c r="N673" i="3" s="1"/>
  <c r="P674" i="3"/>
  <c r="Q674" i="3" s="1"/>
  <c r="R674" i="3" s="1"/>
  <c r="S674" i="3" s="1"/>
  <c r="AA674" i="3"/>
  <c r="Z674" i="3"/>
  <c r="AC674" i="3"/>
  <c r="T674" i="3" l="1"/>
  <c r="L673" i="3"/>
  <c r="AH674" i="3" l="1"/>
  <c r="U673" i="3"/>
  <c r="E674" i="3" s="1"/>
  <c r="H674" i="3" s="1"/>
  <c r="AG674" i="3"/>
  <c r="Y672" i="3"/>
  <c r="D674" i="3" l="1"/>
  <c r="G674" i="3" s="1"/>
  <c r="K674" i="3"/>
  <c r="AE674" i="3" s="1"/>
  <c r="F674" i="3" l="1"/>
  <c r="I674" i="3"/>
  <c r="J674" i="3"/>
  <c r="AD674" i="3" s="1"/>
  <c r="M674" i="3"/>
  <c r="N674" i="3" s="1"/>
  <c r="V674" i="3"/>
  <c r="A675" i="3"/>
  <c r="B675" i="3" s="1"/>
  <c r="W674" i="3" l="1"/>
  <c r="L674" i="3"/>
  <c r="P675" i="3"/>
  <c r="Q675" i="3" s="1"/>
  <c r="R675" i="3" s="1"/>
  <c r="S675" i="3" s="1"/>
  <c r="AA675" i="3"/>
  <c r="AC675" i="3"/>
  <c r="Z675" i="3"/>
  <c r="U674" i="3" l="1"/>
  <c r="Y673" i="3"/>
  <c r="T675" i="3"/>
  <c r="AH675" i="3" s="1"/>
  <c r="AG675" i="3" l="1"/>
  <c r="D675" i="3"/>
  <c r="E675" i="3"/>
  <c r="H675" i="3" s="1"/>
  <c r="F675" i="3" l="1"/>
  <c r="G675" i="3"/>
  <c r="K675" i="3"/>
  <c r="AE675" i="3" s="1"/>
  <c r="I675" i="3" l="1"/>
  <c r="J675" i="3"/>
  <c r="AD675" i="3" s="1"/>
  <c r="M675" i="3"/>
  <c r="N675" i="3" s="1"/>
  <c r="V675" i="3"/>
  <c r="A676" i="3"/>
  <c r="B676" i="3" s="1"/>
  <c r="W675" i="3" l="1"/>
  <c r="L675" i="3"/>
  <c r="AC676" i="3"/>
  <c r="P676" i="3"/>
  <c r="Q676" i="3" s="1"/>
  <c r="R676" i="3" s="1"/>
  <c r="S676" i="3" s="1"/>
  <c r="Z676" i="3"/>
  <c r="AA676" i="3"/>
  <c r="T676" i="3" l="1"/>
  <c r="U675" i="3"/>
  <c r="Y674" i="3"/>
  <c r="E676" i="3" l="1"/>
  <c r="H676" i="3" s="1"/>
  <c r="K676" i="3" s="1"/>
  <c r="AE676" i="3" s="1"/>
  <c r="AH676" i="3"/>
  <c r="D676" i="3"/>
  <c r="G676" i="3" s="1"/>
  <c r="AG676" i="3"/>
  <c r="F676" i="3" l="1"/>
  <c r="I676" i="3"/>
  <c r="J676" i="3"/>
  <c r="AD676" i="3" s="1"/>
  <c r="M676" i="3"/>
  <c r="N676" i="3" s="1"/>
  <c r="V676" i="3"/>
  <c r="A677" i="3"/>
  <c r="B677" i="3" s="1"/>
  <c r="W676" i="3" l="1"/>
  <c r="L676" i="3"/>
  <c r="AA677" i="3"/>
  <c r="AC677" i="3"/>
  <c r="Z677" i="3"/>
  <c r="P677" i="3"/>
  <c r="Q677" i="3" s="1"/>
  <c r="R677" i="3" s="1"/>
  <c r="S677" i="3" s="1"/>
  <c r="U676" i="3" l="1"/>
  <c r="Y675" i="3"/>
  <c r="T677" i="3"/>
  <c r="AG677" i="3" s="1"/>
  <c r="D677" i="3" l="1"/>
  <c r="G677" i="3" s="1"/>
  <c r="AH677" i="3"/>
  <c r="E677" i="3"/>
  <c r="H677" i="3" s="1"/>
  <c r="F677" i="3" l="1"/>
  <c r="I677" i="3"/>
  <c r="J677" i="3"/>
  <c r="AD677" i="3" s="1"/>
  <c r="M677" i="3"/>
  <c r="N677" i="3" s="1"/>
  <c r="K677" i="3"/>
  <c r="AE677" i="3" s="1"/>
  <c r="V677" i="3" l="1"/>
  <c r="W677" i="3" s="1"/>
  <c r="A678" i="3"/>
  <c r="B678" i="3" s="1"/>
  <c r="L677" i="3"/>
  <c r="U677" i="3" l="1"/>
  <c r="Y676" i="3"/>
  <c r="P678" i="3"/>
  <c r="Q678" i="3" s="1"/>
  <c r="R678" i="3" s="1"/>
  <c r="S678" i="3" s="1"/>
  <c r="Z678" i="3"/>
  <c r="AC678" i="3"/>
  <c r="AA678" i="3"/>
  <c r="T678" i="3" l="1"/>
  <c r="AH678" i="3" s="1"/>
  <c r="E678" i="3" l="1"/>
  <c r="H678" i="3" s="1"/>
  <c r="K678" i="3" s="1"/>
  <c r="AE678" i="3" s="1"/>
  <c r="D678" i="3"/>
  <c r="AG678" i="3"/>
  <c r="F678" i="3" l="1"/>
  <c r="G678" i="3"/>
  <c r="J678" i="3" s="1"/>
  <c r="AD678" i="3" s="1"/>
  <c r="V678" i="3"/>
  <c r="A679" i="3"/>
  <c r="B679" i="3" s="1"/>
  <c r="M678" i="3" l="1"/>
  <c r="N678" i="3" s="1"/>
  <c r="I678" i="3"/>
  <c r="W678" i="3" s="1"/>
  <c r="L678" i="3"/>
  <c r="P679" i="3"/>
  <c r="Q679" i="3" s="1"/>
  <c r="R679" i="3" s="1"/>
  <c r="S679" i="3" s="1"/>
  <c r="AA679" i="3"/>
  <c r="Z679" i="3"/>
  <c r="AC679" i="3"/>
  <c r="T679" i="3" l="1"/>
  <c r="U678" i="3"/>
  <c r="Y677" i="3"/>
  <c r="E679" i="3" l="1"/>
  <c r="H679" i="3" s="1"/>
  <c r="K679" i="3" s="1"/>
  <c r="AE679" i="3" s="1"/>
  <c r="AH679" i="3"/>
  <c r="AG679" i="3"/>
  <c r="D679" i="3"/>
  <c r="F679" i="3" l="1"/>
  <c r="G679" i="3"/>
  <c r="V679" i="3"/>
  <c r="A680" i="3"/>
  <c r="B680" i="3" s="1"/>
  <c r="AC680" i="3" l="1"/>
  <c r="P680" i="3"/>
  <c r="Q680" i="3" s="1"/>
  <c r="R680" i="3" s="1"/>
  <c r="S680" i="3" s="1"/>
  <c r="AA680" i="3"/>
  <c r="Z680" i="3"/>
  <c r="I679" i="3"/>
  <c r="W679" i="3" s="1"/>
  <c r="J679" i="3"/>
  <c r="AD679" i="3" s="1"/>
  <c r="M679" i="3"/>
  <c r="N679" i="3" s="1"/>
  <c r="L679" i="3" l="1"/>
  <c r="T680" i="3"/>
  <c r="AH680" i="3" l="1"/>
  <c r="U679" i="3"/>
  <c r="E680" i="3" s="1"/>
  <c r="H680" i="3" s="1"/>
  <c r="AG680" i="3"/>
  <c r="Y678" i="3"/>
  <c r="D680" i="3" l="1"/>
  <c r="G680" i="3" s="1"/>
  <c r="K680" i="3"/>
  <c r="AE680" i="3" s="1"/>
  <c r="F680" i="3" l="1"/>
  <c r="I680" i="3"/>
  <c r="J680" i="3"/>
  <c r="AD680" i="3" s="1"/>
  <c r="M680" i="3"/>
  <c r="N680" i="3" s="1"/>
  <c r="V680" i="3"/>
  <c r="A681" i="3"/>
  <c r="B681" i="3" s="1"/>
  <c r="W680" i="3" l="1"/>
  <c r="L680" i="3"/>
  <c r="AA681" i="3"/>
  <c r="P681" i="3"/>
  <c r="Q681" i="3" s="1"/>
  <c r="R681" i="3" s="1"/>
  <c r="S681" i="3" s="1"/>
  <c r="Z681" i="3"/>
  <c r="AC681" i="3"/>
  <c r="U680" i="3" l="1"/>
  <c r="Y679" i="3"/>
  <c r="T681" i="3"/>
  <c r="E681" i="3" l="1"/>
  <c r="H681" i="3" s="1"/>
  <c r="K681" i="3" s="1"/>
  <c r="AE681" i="3" s="1"/>
  <c r="AG681" i="3"/>
  <c r="AH681" i="3"/>
  <c r="D681" i="3"/>
  <c r="F681" i="3" l="1"/>
  <c r="G681" i="3"/>
  <c r="V681" i="3"/>
  <c r="A682" i="3"/>
  <c r="B682" i="3" s="1"/>
  <c r="Z682" i="3" l="1"/>
  <c r="P682" i="3"/>
  <c r="Q682" i="3" s="1"/>
  <c r="R682" i="3" s="1"/>
  <c r="S682" i="3" s="1"/>
  <c r="AC682" i="3"/>
  <c r="AA682" i="3"/>
  <c r="I681" i="3"/>
  <c r="W681" i="3" s="1"/>
  <c r="J681" i="3"/>
  <c r="AD681" i="3" s="1"/>
  <c r="M681" i="3"/>
  <c r="N681" i="3" s="1"/>
  <c r="L681" i="3" l="1"/>
  <c r="T682" i="3"/>
  <c r="U681" i="3" l="1"/>
  <c r="E682" i="3" s="1"/>
  <c r="H682" i="3" s="1"/>
  <c r="AG682" i="3"/>
  <c r="AH682" i="3"/>
  <c r="Y680" i="3"/>
  <c r="D682" i="3" l="1"/>
  <c r="G682" i="3" s="1"/>
  <c r="K682" i="3"/>
  <c r="AE682" i="3" s="1"/>
  <c r="F682" i="3" l="1"/>
  <c r="V682" i="3"/>
  <c r="A683" i="3"/>
  <c r="B683" i="3" s="1"/>
  <c r="I682" i="3"/>
  <c r="J682" i="3"/>
  <c r="AD682" i="3" s="1"/>
  <c r="M682" i="3"/>
  <c r="N682" i="3" s="1"/>
  <c r="W682" i="3" l="1"/>
  <c r="L682" i="3"/>
  <c r="P683" i="3"/>
  <c r="Q683" i="3" s="1"/>
  <c r="R683" i="3" s="1"/>
  <c r="S683" i="3" s="1"/>
  <c r="AC683" i="3"/>
  <c r="AA683" i="3"/>
  <c r="Z683" i="3"/>
  <c r="U682" i="3" l="1"/>
  <c r="Y681" i="3"/>
  <c r="T683" i="3"/>
  <c r="E683" i="3" l="1"/>
  <c r="H683" i="3" s="1"/>
  <c r="K683" i="3" s="1"/>
  <c r="AE683" i="3" s="1"/>
  <c r="AH683" i="3"/>
  <c r="AG683" i="3"/>
  <c r="D683" i="3"/>
  <c r="F683" i="3" l="1"/>
  <c r="G683" i="3"/>
  <c r="V683" i="3"/>
  <c r="A684" i="3"/>
  <c r="B684" i="3" s="1"/>
  <c r="Z684" i="3" l="1"/>
  <c r="AA684" i="3"/>
  <c r="AC684" i="3"/>
  <c r="P684" i="3"/>
  <c r="Q684" i="3" s="1"/>
  <c r="R684" i="3" s="1"/>
  <c r="S684" i="3" s="1"/>
  <c r="I683" i="3"/>
  <c r="W683" i="3" s="1"/>
  <c r="J683" i="3"/>
  <c r="AD683" i="3" s="1"/>
  <c r="M683" i="3"/>
  <c r="N683" i="3" s="1"/>
  <c r="T684" i="3" l="1"/>
  <c r="L683" i="3"/>
  <c r="AH684" i="3" l="1"/>
  <c r="AG684" i="3"/>
  <c r="U683" i="3"/>
  <c r="D684" i="3" s="1"/>
  <c r="Y682" i="3"/>
  <c r="E684" i="3" l="1"/>
  <c r="H684" i="3" s="1"/>
  <c r="K684" i="3" s="1"/>
  <c r="AE684" i="3" s="1"/>
  <c r="G684" i="3"/>
  <c r="F684" i="3" l="1"/>
  <c r="V684" i="3"/>
  <c r="A685" i="3"/>
  <c r="B685" i="3" s="1"/>
  <c r="I684" i="3"/>
  <c r="J684" i="3"/>
  <c r="AD684" i="3" s="1"/>
  <c r="M684" i="3"/>
  <c r="N684" i="3" s="1"/>
  <c r="W684" i="3" l="1"/>
  <c r="L684" i="3"/>
  <c r="P685" i="3"/>
  <c r="Q685" i="3" s="1"/>
  <c r="R685" i="3" s="1"/>
  <c r="S685" i="3" s="1"/>
  <c r="Z685" i="3"/>
  <c r="AC685" i="3"/>
  <c r="AD685" i="3"/>
  <c r="AA685" i="3"/>
  <c r="U684" i="3" l="1"/>
  <c r="Y683" i="3"/>
  <c r="T685" i="3"/>
  <c r="AG685" i="3" s="1"/>
  <c r="D685" i="3" l="1"/>
  <c r="G685" i="3" s="1"/>
  <c r="E685" i="3"/>
  <c r="H685" i="3" s="1"/>
  <c r="AH685" i="3"/>
  <c r="F685" i="3" l="1"/>
  <c r="I685" i="3"/>
  <c r="J685" i="3"/>
  <c r="M685" i="3"/>
  <c r="N685" i="3" s="1"/>
  <c r="K685" i="3"/>
  <c r="AE685" i="3" s="1"/>
  <c r="V685" i="3" l="1"/>
  <c r="W685" i="3" s="1"/>
  <c r="A686" i="3"/>
  <c r="B686" i="3" s="1"/>
  <c r="L685" i="3"/>
  <c r="U685" i="3" l="1"/>
  <c r="Y684" i="3"/>
  <c r="AA686" i="3"/>
  <c r="AC686" i="3"/>
  <c r="AD686" i="3"/>
  <c r="P686" i="3"/>
  <c r="Q686" i="3" s="1"/>
  <c r="R686" i="3" s="1"/>
  <c r="S686" i="3" s="1"/>
  <c r="Z686" i="3"/>
  <c r="T686" i="3" l="1"/>
  <c r="D686" i="3" s="1"/>
  <c r="E686" i="3" l="1"/>
  <c r="H686" i="3" s="1"/>
  <c r="K686" i="3" s="1"/>
  <c r="AE686" i="3" s="1"/>
  <c r="AG686" i="3"/>
  <c r="AH686" i="3"/>
  <c r="G686" i="3"/>
  <c r="F686" i="3" l="1"/>
  <c r="V686" i="3"/>
  <c r="A687" i="3"/>
  <c r="B687" i="3" s="1"/>
  <c r="I686" i="3"/>
  <c r="J686" i="3"/>
  <c r="M686" i="3"/>
  <c r="N686" i="3" s="1"/>
  <c r="L686" i="3" l="1"/>
  <c r="W686" i="3"/>
  <c r="Z687" i="3"/>
  <c r="P687" i="3"/>
  <c r="Q687" i="3" s="1"/>
  <c r="R687" i="3" s="1"/>
  <c r="S687" i="3" s="1"/>
  <c r="AA687" i="3"/>
  <c r="AC687" i="3"/>
  <c r="U686" i="3" l="1"/>
  <c r="Y685" i="3"/>
  <c r="T687" i="3"/>
  <c r="AG687" i="3" s="1"/>
  <c r="AH687" i="3" l="1"/>
  <c r="D687" i="3"/>
  <c r="G687" i="3" s="1"/>
  <c r="E687" i="3"/>
  <c r="H687" i="3" s="1"/>
  <c r="K687" i="3" s="1"/>
  <c r="AE687" i="3" s="1"/>
  <c r="F687" i="3" l="1"/>
  <c r="I687" i="3"/>
  <c r="J687" i="3"/>
  <c r="AD687" i="3" s="1"/>
  <c r="M687" i="3"/>
  <c r="N687" i="3" s="1"/>
  <c r="V687" i="3"/>
  <c r="A688" i="3"/>
  <c r="B688" i="3" s="1"/>
  <c r="W687" i="3" l="1"/>
  <c r="L687" i="3"/>
  <c r="AC688" i="3"/>
  <c r="AA688" i="3"/>
  <c r="P688" i="3"/>
  <c r="Q688" i="3" s="1"/>
  <c r="R688" i="3" s="1"/>
  <c r="S688" i="3" s="1"/>
  <c r="Z688" i="3"/>
  <c r="U687" i="3" l="1"/>
  <c r="Y686" i="3"/>
  <c r="T688" i="3"/>
  <c r="AG688" i="3" s="1"/>
  <c r="E688" i="3" l="1"/>
  <c r="H688" i="3" s="1"/>
  <c r="K688" i="3" s="1"/>
  <c r="AE688" i="3" s="1"/>
  <c r="AH688" i="3"/>
  <c r="D688" i="3"/>
  <c r="F688" i="3" l="1"/>
  <c r="G688" i="3"/>
  <c r="V688" i="3"/>
  <c r="A689" i="3"/>
  <c r="B689" i="3" s="1"/>
  <c r="AA689" i="3" l="1"/>
  <c r="P689" i="3"/>
  <c r="Q689" i="3" s="1"/>
  <c r="R689" i="3" s="1"/>
  <c r="S689" i="3" s="1"/>
  <c r="Z689" i="3"/>
  <c r="AD689" i="3"/>
  <c r="AC689" i="3"/>
  <c r="I688" i="3"/>
  <c r="W688" i="3" s="1"/>
  <c r="J688" i="3"/>
  <c r="AD688" i="3" s="1"/>
  <c r="M688" i="3"/>
  <c r="N688" i="3" s="1"/>
  <c r="T689" i="3" l="1"/>
  <c r="L688" i="3"/>
  <c r="U688" i="3" l="1"/>
  <c r="D689" i="3" s="1"/>
  <c r="AG689" i="3"/>
  <c r="AH689" i="3"/>
  <c r="Y687" i="3"/>
  <c r="E689" i="3" l="1"/>
  <c r="H689" i="3" s="1"/>
  <c r="K689" i="3" s="1"/>
  <c r="AE689" i="3" s="1"/>
  <c r="G689" i="3"/>
  <c r="F689" i="3" l="1"/>
  <c r="I689" i="3"/>
  <c r="J689" i="3"/>
  <c r="M689" i="3"/>
  <c r="N689" i="3" s="1"/>
  <c r="V689" i="3"/>
  <c r="A690" i="3"/>
  <c r="B690" i="3" s="1"/>
  <c r="W689" i="3" l="1"/>
  <c r="L689" i="3"/>
  <c r="AA690" i="3"/>
  <c r="AC690" i="3"/>
  <c r="P690" i="3"/>
  <c r="Q690" i="3" s="1"/>
  <c r="R690" i="3" s="1"/>
  <c r="S690" i="3" s="1"/>
  <c r="AD690" i="3"/>
  <c r="Z690" i="3"/>
  <c r="U689" i="3" l="1"/>
  <c r="Y688" i="3"/>
  <c r="T690" i="3"/>
  <c r="AH690" i="3" s="1"/>
  <c r="D690" i="3" l="1"/>
  <c r="G690" i="3" s="1"/>
  <c r="E690" i="3"/>
  <c r="H690" i="3" s="1"/>
  <c r="K690" i="3" s="1"/>
  <c r="AE690" i="3" s="1"/>
  <c r="AG690" i="3"/>
  <c r="F690" i="3" l="1"/>
  <c r="I690" i="3"/>
  <c r="J690" i="3"/>
  <c r="M690" i="3"/>
  <c r="N690" i="3" s="1"/>
  <c r="V690" i="3"/>
  <c r="A691" i="3"/>
  <c r="B691" i="3" s="1"/>
  <c r="W690" i="3" l="1"/>
  <c r="L690" i="3"/>
  <c r="AA691" i="3"/>
  <c r="Z691" i="3"/>
  <c r="P691" i="3"/>
  <c r="Q691" i="3" s="1"/>
  <c r="R691" i="3" s="1"/>
  <c r="S691" i="3" s="1"/>
  <c r="AD691" i="3"/>
  <c r="AC691" i="3"/>
  <c r="T691" i="3" l="1"/>
  <c r="U690" i="3"/>
  <c r="Y689" i="3"/>
  <c r="D691" i="3" l="1"/>
  <c r="G691" i="3" s="1"/>
  <c r="AH691" i="3"/>
  <c r="E691" i="3"/>
  <c r="H691" i="3" s="1"/>
  <c r="AG691" i="3"/>
  <c r="F691" i="3" l="1"/>
  <c r="I691" i="3"/>
  <c r="J691" i="3"/>
  <c r="M691" i="3"/>
  <c r="N691" i="3" s="1"/>
  <c r="K691" i="3"/>
  <c r="AE691" i="3" s="1"/>
  <c r="V691" i="3" l="1"/>
  <c r="W691" i="3" s="1"/>
  <c r="A692" i="3"/>
  <c r="B692" i="3" s="1"/>
  <c r="L691" i="3"/>
  <c r="U691" i="3" l="1"/>
  <c r="Y690" i="3"/>
  <c r="AC692" i="3"/>
  <c r="AD692" i="3"/>
  <c r="AA692" i="3"/>
  <c r="Z692" i="3"/>
  <c r="P692" i="3"/>
  <c r="Q692" i="3" s="1"/>
  <c r="R692" i="3" s="1"/>
  <c r="S692" i="3" s="1"/>
  <c r="T692" i="3" l="1"/>
  <c r="E692" i="3" s="1"/>
  <c r="H692" i="3" s="1"/>
  <c r="D692" i="3" l="1"/>
  <c r="G692" i="3" s="1"/>
  <c r="AH692" i="3"/>
  <c r="K692" i="3"/>
  <c r="AE692" i="3" s="1"/>
  <c r="AG692" i="3"/>
  <c r="F692" i="3" l="1"/>
  <c r="I692" i="3"/>
  <c r="J692" i="3"/>
  <c r="M692" i="3"/>
  <c r="N692" i="3" s="1"/>
  <c r="V692" i="3"/>
  <c r="A693" i="3"/>
  <c r="B693" i="3" s="1"/>
  <c r="W692" i="3" l="1"/>
  <c r="L692" i="3"/>
  <c r="AC693" i="3"/>
  <c r="AA693" i="3"/>
  <c r="AD693" i="3"/>
  <c r="P693" i="3"/>
  <c r="Q693" i="3" s="1"/>
  <c r="R693" i="3" s="1"/>
  <c r="S693" i="3" s="1"/>
  <c r="Z693" i="3"/>
  <c r="U692" i="3" l="1"/>
  <c r="Y691" i="3"/>
  <c r="T693" i="3"/>
  <c r="AG693" i="3" s="1"/>
  <c r="D693" i="3" l="1"/>
  <c r="G693" i="3" s="1"/>
  <c r="E693" i="3"/>
  <c r="H693" i="3" s="1"/>
  <c r="K693" i="3" s="1"/>
  <c r="AE693" i="3" s="1"/>
  <c r="AH693" i="3"/>
  <c r="F693" i="3" l="1"/>
  <c r="V693" i="3"/>
  <c r="A694" i="3"/>
  <c r="B694" i="3" s="1"/>
  <c r="I693" i="3"/>
  <c r="J693" i="3"/>
  <c r="M693" i="3"/>
  <c r="N693" i="3" s="1"/>
  <c r="W693" i="3" l="1"/>
  <c r="L693" i="3"/>
  <c r="AA694" i="3"/>
  <c r="AC694" i="3"/>
  <c r="P694" i="3"/>
  <c r="Q694" i="3" s="1"/>
  <c r="R694" i="3" s="1"/>
  <c r="S694" i="3" s="1"/>
  <c r="Z694" i="3"/>
  <c r="U693" i="3" l="1"/>
  <c r="Y692" i="3"/>
  <c r="T694" i="3"/>
  <c r="AG694" i="3" s="1"/>
  <c r="E694" i="3" l="1"/>
  <c r="H694" i="3" s="1"/>
  <c r="K694" i="3" s="1"/>
  <c r="AE694" i="3" s="1"/>
  <c r="AH694" i="3"/>
  <c r="D694" i="3"/>
  <c r="G694" i="3" s="1"/>
  <c r="F694" i="3" l="1"/>
  <c r="I694" i="3"/>
  <c r="J694" i="3"/>
  <c r="AD694" i="3" s="1"/>
  <c r="M694" i="3"/>
  <c r="N694" i="3" s="1"/>
  <c r="V694" i="3"/>
  <c r="A695" i="3"/>
  <c r="B695" i="3" s="1"/>
  <c r="W694" i="3" l="1"/>
  <c r="L694" i="3"/>
  <c r="Z695" i="3"/>
  <c r="P695" i="3"/>
  <c r="Q695" i="3" s="1"/>
  <c r="R695" i="3" s="1"/>
  <c r="S695" i="3" s="1"/>
  <c r="AC695" i="3"/>
  <c r="AA695" i="3"/>
  <c r="U694" i="3" l="1"/>
  <c r="Y693" i="3"/>
  <c r="T695" i="3"/>
  <c r="E695" i="3" l="1"/>
  <c r="H695" i="3" s="1"/>
  <c r="K695" i="3" s="1"/>
  <c r="AE695" i="3" s="1"/>
  <c r="D695" i="3"/>
  <c r="AG695" i="3"/>
  <c r="AH695" i="3"/>
  <c r="V695" i="3" l="1"/>
  <c r="A696" i="3"/>
  <c r="B696" i="3" s="1"/>
  <c r="F695" i="3"/>
  <c r="G695" i="3"/>
  <c r="I695" i="3" l="1"/>
  <c r="W695" i="3" s="1"/>
  <c r="J695" i="3"/>
  <c r="AD695" i="3" s="1"/>
  <c r="M695" i="3"/>
  <c r="N695" i="3" s="1"/>
  <c r="AA696" i="3"/>
  <c r="Z696" i="3"/>
  <c r="P696" i="3"/>
  <c r="Q696" i="3" s="1"/>
  <c r="R696" i="3" s="1"/>
  <c r="S696" i="3" s="1"/>
  <c r="AC696" i="3"/>
  <c r="T696" i="3" l="1"/>
  <c r="L695" i="3"/>
  <c r="AH696" i="3" l="1"/>
  <c r="U695" i="3"/>
  <c r="D696" i="3" s="1"/>
  <c r="AG696" i="3"/>
  <c r="Y694" i="3"/>
  <c r="E696" i="3" l="1"/>
  <c r="H696" i="3" s="1"/>
  <c r="K696" i="3" s="1"/>
  <c r="AE696" i="3" s="1"/>
  <c r="G696" i="3"/>
  <c r="F696" i="3" l="1"/>
  <c r="V696" i="3"/>
  <c r="A697" i="3"/>
  <c r="B697" i="3" s="1"/>
  <c r="I696" i="3"/>
  <c r="J696" i="3"/>
  <c r="AD696" i="3" s="1"/>
  <c r="M696" i="3"/>
  <c r="N696" i="3" s="1"/>
  <c r="W696" i="3" l="1"/>
  <c r="P697" i="3"/>
  <c r="Q697" i="3" s="1"/>
  <c r="R697" i="3" s="1"/>
  <c r="S697" i="3" s="1"/>
  <c r="Z697" i="3"/>
  <c r="AA697" i="3"/>
  <c r="AC697" i="3"/>
  <c r="L696" i="3"/>
  <c r="U696" i="3" l="1"/>
  <c r="Y695" i="3"/>
  <c r="T697" i="3"/>
  <c r="E697" i="3" l="1"/>
  <c r="H697" i="3" s="1"/>
  <c r="K697" i="3" s="1"/>
  <c r="AE697" i="3" s="1"/>
  <c r="D697" i="3"/>
  <c r="AH697" i="3"/>
  <c r="AG697" i="3"/>
  <c r="F697" i="3" l="1"/>
  <c r="G697" i="3"/>
  <c r="M697" i="3" s="1"/>
  <c r="N697" i="3" s="1"/>
  <c r="V697" i="3"/>
  <c r="A698" i="3"/>
  <c r="B698" i="3" s="1"/>
  <c r="I697" i="3" l="1"/>
  <c r="W697" i="3" s="1"/>
  <c r="J697" i="3"/>
  <c r="AA698" i="3"/>
  <c r="Z698" i="3"/>
  <c r="AC698" i="3"/>
  <c r="P698" i="3"/>
  <c r="Q698" i="3" s="1"/>
  <c r="R698" i="3" s="1"/>
  <c r="S698" i="3" s="1"/>
  <c r="L697" i="3" l="1"/>
  <c r="U697" i="3" s="1"/>
  <c r="AD697" i="3"/>
  <c r="T698" i="3"/>
  <c r="Y696" i="3" l="1"/>
  <c r="AG698" i="3"/>
  <c r="E698" i="3"/>
  <c r="H698" i="3" s="1"/>
  <c r="K698" i="3" s="1"/>
  <c r="AE698" i="3" s="1"/>
  <c r="AH698" i="3"/>
  <c r="D698" i="3"/>
  <c r="F698" i="3" l="1"/>
  <c r="G698" i="3"/>
  <c r="J698" i="3" s="1"/>
  <c r="AD698" i="3" s="1"/>
  <c r="V698" i="3"/>
  <c r="A699" i="3"/>
  <c r="B699" i="3" s="1"/>
  <c r="M698" i="3" l="1"/>
  <c r="N698" i="3" s="1"/>
  <c r="I698" i="3"/>
  <c r="W698" i="3" s="1"/>
  <c r="L698" i="3"/>
  <c r="Z699" i="3"/>
  <c r="P699" i="3"/>
  <c r="Q699" i="3" s="1"/>
  <c r="R699" i="3" s="1"/>
  <c r="S699" i="3" s="1"/>
  <c r="AA699" i="3"/>
  <c r="AC699" i="3"/>
  <c r="T699" i="3" l="1"/>
  <c r="U698" i="3"/>
  <c r="Y697" i="3"/>
  <c r="D699" i="3" l="1"/>
  <c r="G699" i="3" s="1"/>
  <c r="AG699" i="3"/>
  <c r="AH699" i="3"/>
  <c r="E699" i="3"/>
  <c r="H699" i="3" s="1"/>
  <c r="K699" i="3" l="1"/>
  <c r="AE699" i="3" s="1"/>
  <c r="I699" i="3"/>
  <c r="J699" i="3"/>
  <c r="AD699" i="3" s="1"/>
  <c r="M699" i="3"/>
  <c r="N699" i="3" s="1"/>
  <c r="F699" i="3"/>
  <c r="L699" i="3" l="1"/>
  <c r="V699" i="3"/>
  <c r="W699" i="3" s="1"/>
  <c r="A700" i="3"/>
  <c r="B700" i="3" s="1"/>
  <c r="U699" i="3" l="1"/>
  <c r="Y698" i="3"/>
  <c r="Z700" i="3"/>
  <c r="P700" i="3"/>
  <c r="Q700" i="3" s="1"/>
  <c r="R700" i="3" s="1"/>
  <c r="S700" i="3" s="1"/>
  <c r="AC700" i="3"/>
  <c r="AA700" i="3"/>
  <c r="T700" i="3" l="1"/>
  <c r="D700" i="3" s="1"/>
  <c r="AH700" i="3" l="1"/>
  <c r="AG700" i="3"/>
  <c r="E700" i="3"/>
  <c r="H700" i="3" s="1"/>
  <c r="K700" i="3" s="1"/>
  <c r="AE700" i="3" s="1"/>
  <c r="G700" i="3"/>
  <c r="F700" i="3" l="1"/>
  <c r="I700" i="3"/>
  <c r="J700" i="3"/>
  <c r="AD700" i="3" s="1"/>
  <c r="M700" i="3"/>
  <c r="N700" i="3" s="1"/>
  <c r="V700" i="3"/>
  <c r="A701" i="3"/>
  <c r="B701" i="3" s="1"/>
  <c r="W700" i="3" l="1"/>
  <c r="L700" i="3"/>
  <c r="AC701" i="3"/>
  <c r="AA701" i="3"/>
  <c r="Z701" i="3"/>
  <c r="P701" i="3"/>
  <c r="Q701" i="3" s="1"/>
  <c r="R701" i="3" s="1"/>
  <c r="S701" i="3" s="1"/>
  <c r="U700" i="3" l="1"/>
  <c r="Y699" i="3"/>
  <c r="T701" i="3"/>
  <c r="AG701" i="3" s="1"/>
  <c r="AH701" i="3" l="1"/>
  <c r="E701" i="3"/>
  <c r="H701" i="3" s="1"/>
  <c r="D701" i="3"/>
  <c r="F701" i="3" l="1"/>
  <c r="G701" i="3"/>
  <c r="K701" i="3"/>
  <c r="AE701" i="3" s="1"/>
  <c r="I701" i="3" l="1"/>
  <c r="J701" i="3"/>
  <c r="AD701" i="3" s="1"/>
  <c r="M701" i="3"/>
  <c r="N701" i="3" s="1"/>
  <c r="V701" i="3"/>
  <c r="A702" i="3"/>
  <c r="B702" i="3" s="1"/>
  <c r="W701" i="3" l="1"/>
  <c r="L701" i="3"/>
  <c r="AC702" i="3"/>
  <c r="P702" i="3"/>
  <c r="Q702" i="3" s="1"/>
  <c r="R702" i="3" s="1"/>
  <c r="S702" i="3" s="1"/>
  <c r="Z702" i="3"/>
  <c r="AA702" i="3"/>
  <c r="U701" i="3" l="1"/>
  <c r="Y700" i="3"/>
  <c r="T702" i="3"/>
  <c r="AH702" i="3" s="1"/>
  <c r="D702" i="3" l="1"/>
  <c r="G702" i="3" s="1"/>
  <c r="E702" i="3"/>
  <c r="H702" i="3" s="1"/>
  <c r="K702" i="3" s="1"/>
  <c r="AE702" i="3" s="1"/>
  <c r="AG702" i="3"/>
  <c r="F702" i="3" l="1"/>
  <c r="V702" i="3"/>
  <c r="A703" i="3"/>
  <c r="B703" i="3" s="1"/>
  <c r="I702" i="3"/>
  <c r="J702" i="3"/>
  <c r="AD702" i="3" s="1"/>
  <c r="M702" i="3"/>
  <c r="N702" i="3" s="1"/>
  <c r="W702" i="3" l="1"/>
  <c r="L702" i="3"/>
  <c r="AC703" i="3"/>
  <c r="P703" i="3"/>
  <c r="Q703" i="3" s="1"/>
  <c r="R703" i="3" s="1"/>
  <c r="S703" i="3" s="1"/>
  <c r="AA703" i="3"/>
  <c r="Z703" i="3"/>
  <c r="T703" i="3" l="1"/>
  <c r="AH703" i="3" s="1"/>
  <c r="U702" i="3"/>
  <c r="Y701" i="3"/>
  <c r="E703" i="3" l="1"/>
  <c r="H703" i="3" s="1"/>
  <c r="K703" i="3" s="1"/>
  <c r="AE703" i="3" s="1"/>
  <c r="AG703" i="3"/>
  <c r="D703" i="3"/>
  <c r="F703" i="3" l="1"/>
  <c r="G703" i="3"/>
  <c r="V703" i="3"/>
  <c r="A704" i="3"/>
  <c r="B704" i="3" s="1"/>
  <c r="P704" i="3" l="1"/>
  <c r="Q704" i="3" s="1"/>
  <c r="R704" i="3" s="1"/>
  <c r="S704" i="3" s="1"/>
  <c r="AC704" i="3"/>
  <c r="Z704" i="3"/>
  <c r="AA704" i="3"/>
  <c r="I703" i="3"/>
  <c r="W703" i="3" s="1"/>
  <c r="J703" i="3"/>
  <c r="AD703" i="3" s="1"/>
  <c r="M703" i="3"/>
  <c r="N703" i="3" s="1"/>
  <c r="T704" i="3" l="1"/>
  <c r="L703" i="3"/>
  <c r="U703" i="3" l="1"/>
  <c r="D704" i="3" s="1"/>
  <c r="AG704" i="3"/>
  <c r="AH704" i="3"/>
  <c r="Y702" i="3"/>
  <c r="G704" i="3" l="1"/>
  <c r="E704" i="3"/>
  <c r="H704" i="3" s="1"/>
  <c r="F704" i="3" l="1"/>
  <c r="I704" i="3"/>
  <c r="J704" i="3"/>
  <c r="AD704" i="3" s="1"/>
  <c r="M704" i="3"/>
  <c r="N704" i="3" s="1"/>
  <c r="K704" i="3"/>
  <c r="AE704" i="3" s="1"/>
  <c r="V704" i="3" l="1"/>
  <c r="W704" i="3" s="1"/>
  <c r="A705" i="3"/>
  <c r="B705" i="3" s="1"/>
  <c r="L704" i="3"/>
  <c r="U704" i="3" l="1"/>
  <c r="Y703" i="3"/>
  <c r="Z705" i="3"/>
  <c r="P705" i="3"/>
  <c r="Q705" i="3" s="1"/>
  <c r="R705" i="3" s="1"/>
  <c r="S705" i="3" s="1"/>
  <c r="AC705" i="3"/>
  <c r="AA705" i="3"/>
  <c r="AD705" i="3"/>
  <c r="T705" i="3" l="1"/>
  <c r="AH705" i="3" s="1"/>
  <c r="AG705" i="3" l="1"/>
  <c r="D705" i="3"/>
  <c r="E705" i="3"/>
  <c r="H705" i="3" s="1"/>
  <c r="F705" i="3" l="1"/>
  <c r="G705" i="3"/>
  <c r="K705" i="3"/>
  <c r="AE705" i="3" s="1"/>
  <c r="I705" i="3" l="1"/>
  <c r="J705" i="3"/>
  <c r="M705" i="3"/>
  <c r="N705" i="3" s="1"/>
  <c r="V705" i="3"/>
  <c r="A706" i="3"/>
  <c r="B706" i="3" s="1"/>
  <c r="W705" i="3" l="1"/>
  <c r="L705" i="3"/>
  <c r="P706" i="3"/>
  <c r="Q706" i="3" s="1"/>
  <c r="R706" i="3" s="1"/>
  <c r="S706" i="3" s="1"/>
  <c r="AA706" i="3"/>
  <c r="AC706" i="3"/>
  <c r="Z706" i="3"/>
  <c r="AD706" i="3"/>
  <c r="U705" i="3" l="1"/>
  <c r="Y704" i="3"/>
  <c r="T706" i="3"/>
  <c r="AH706" i="3" s="1"/>
  <c r="E706" i="3" l="1"/>
  <c r="H706" i="3" s="1"/>
  <c r="D706" i="3"/>
  <c r="AG706" i="3"/>
  <c r="K706" i="3" l="1"/>
  <c r="AE706" i="3" s="1"/>
  <c r="F706" i="3"/>
  <c r="G706" i="3"/>
  <c r="I706" i="3" l="1"/>
  <c r="J706" i="3"/>
  <c r="M706" i="3"/>
  <c r="N706" i="3" s="1"/>
  <c r="V706" i="3"/>
  <c r="A707" i="3"/>
  <c r="B707" i="3" s="1"/>
  <c r="W706" i="3" l="1"/>
  <c r="P707" i="3"/>
  <c r="Q707" i="3" s="1"/>
  <c r="R707" i="3" s="1"/>
  <c r="S707" i="3" s="1"/>
  <c r="Z707" i="3"/>
  <c r="AC707" i="3"/>
  <c r="AA707" i="3"/>
  <c r="L706" i="3"/>
  <c r="T707" i="3" l="1"/>
  <c r="AG707" i="3" s="1"/>
  <c r="U706" i="3"/>
  <c r="Y705" i="3"/>
  <c r="E707" i="3" l="1"/>
  <c r="H707" i="3" s="1"/>
  <c r="K707" i="3" s="1"/>
  <c r="AE707" i="3" s="1"/>
  <c r="D707" i="3"/>
  <c r="AH707" i="3"/>
  <c r="V707" i="3" l="1"/>
  <c r="A708" i="3"/>
  <c r="B708" i="3" s="1"/>
  <c r="F707" i="3"/>
  <c r="G707" i="3"/>
  <c r="I707" i="3" l="1"/>
  <c r="W707" i="3" s="1"/>
  <c r="J707" i="3"/>
  <c r="AD707" i="3" s="1"/>
  <c r="M707" i="3"/>
  <c r="N707" i="3" s="1"/>
  <c r="P708" i="3"/>
  <c r="Q708" i="3" s="1"/>
  <c r="R708" i="3" s="1"/>
  <c r="S708" i="3" s="1"/>
  <c r="AC708" i="3"/>
  <c r="Z708" i="3"/>
  <c r="AA708" i="3"/>
  <c r="T708" i="3" l="1"/>
  <c r="L707" i="3"/>
  <c r="U707" i="3" l="1"/>
  <c r="D708" i="3" s="1"/>
  <c r="AG708" i="3"/>
  <c r="AH708" i="3"/>
  <c r="Y706" i="3"/>
  <c r="E708" i="3" l="1"/>
  <c r="H708" i="3" s="1"/>
  <c r="K708" i="3" s="1"/>
  <c r="AE708" i="3" s="1"/>
  <c r="G708" i="3"/>
  <c r="F708" i="3" l="1"/>
  <c r="I708" i="3"/>
  <c r="J708" i="3"/>
  <c r="AD708" i="3" s="1"/>
  <c r="M708" i="3"/>
  <c r="N708" i="3" s="1"/>
  <c r="V708" i="3"/>
  <c r="A709" i="3"/>
  <c r="B709" i="3" s="1"/>
  <c r="W708" i="3" l="1"/>
  <c r="L708" i="3"/>
  <c r="Z709" i="3"/>
  <c r="AA709" i="3"/>
  <c r="AD709" i="3"/>
  <c r="P709" i="3"/>
  <c r="Q709" i="3" s="1"/>
  <c r="R709" i="3" s="1"/>
  <c r="S709" i="3" s="1"/>
  <c r="AC709" i="3"/>
  <c r="U708" i="3" l="1"/>
  <c r="Y707" i="3"/>
  <c r="T709" i="3"/>
  <c r="AG709" i="3" s="1"/>
  <c r="AH709" i="3" l="1"/>
  <c r="E709" i="3"/>
  <c r="H709" i="3" s="1"/>
  <c r="D709" i="3"/>
  <c r="F709" i="3" l="1"/>
  <c r="G709" i="3"/>
  <c r="K709" i="3"/>
  <c r="AE709" i="3" s="1"/>
  <c r="V709" i="3" l="1"/>
  <c r="A710" i="3"/>
  <c r="B710" i="3" s="1"/>
  <c r="I709" i="3"/>
  <c r="J709" i="3"/>
  <c r="M709" i="3"/>
  <c r="N709" i="3" s="1"/>
  <c r="W709" i="3" l="1"/>
  <c r="L709" i="3"/>
  <c r="AD710" i="3"/>
  <c r="AC710" i="3"/>
  <c r="Z710" i="3"/>
  <c r="AA710" i="3"/>
  <c r="P710" i="3"/>
  <c r="Q710" i="3" s="1"/>
  <c r="R710" i="3" s="1"/>
  <c r="S710" i="3" s="1"/>
  <c r="U709" i="3" l="1"/>
  <c r="Y708" i="3"/>
  <c r="T710" i="3"/>
  <c r="AH710" i="3" s="1"/>
  <c r="D710" i="3" l="1"/>
  <c r="E710" i="3"/>
  <c r="H710" i="3" s="1"/>
  <c r="AG710" i="3"/>
  <c r="F710" i="3" l="1"/>
  <c r="G710" i="3"/>
  <c r="K710" i="3"/>
  <c r="AE710" i="3" s="1"/>
  <c r="I710" i="3" l="1"/>
  <c r="J710" i="3"/>
  <c r="M710" i="3"/>
  <c r="N710" i="3" s="1"/>
  <c r="V710" i="3"/>
  <c r="A711" i="3"/>
  <c r="B711" i="3" s="1"/>
  <c r="W710" i="3" l="1"/>
  <c r="L710" i="3"/>
  <c r="AA711" i="3"/>
  <c r="AC711" i="3"/>
  <c r="Z711" i="3"/>
  <c r="AD711" i="3"/>
  <c r="P711" i="3"/>
  <c r="Q711" i="3" s="1"/>
  <c r="R711" i="3" s="1"/>
  <c r="S711" i="3" s="1"/>
  <c r="T711" i="3" l="1"/>
  <c r="U710" i="3"/>
  <c r="Y709" i="3"/>
  <c r="D711" i="3" l="1"/>
  <c r="G711" i="3" s="1"/>
  <c r="E711" i="3"/>
  <c r="H711" i="3" s="1"/>
  <c r="AH711" i="3"/>
  <c r="AG711" i="3"/>
  <c r="F711" i="3" l="1"/>
  <c r="K711" i="3"/>
  <c r="AE711" i="3" s="1"/>
  <c r="I711" i="3"/>
  <c r="J711" i="3"/>
  <c r="M711" i="3"/>
  <c r="N711" i="3" s="1"/>
  <c r="L711" i="3" l="1"/>
  <c r="V711" i="3"/>
  <c r="W711" i="3" s="1"/>
  <c r="A712" i="3"/>
  <c r="B712" i="3" s="1"/>
  <c r="AC712" i="3" l="1"/>
  <c r="AD712" i="3"/>
  <c r="P712" i="3"/>
  <c r="Q712" i="3" s="1"/>
  <c r="R712" i="3" s="1"/>
  <c r="S712" i="3" s="1"/>
  <c r="AA712" i="3"/>
  <c r="Z712" i="3"/>
  <c r="U711" i="3"/>
  <c r="Y710" i="3"/>
  <c r="T712" i="3" l="1"/>
  <c r="AG712" i="3" l="1"/>
  <c r="D712" i="3"/>
  <c r="E712" i="3"/>
  <c r="H712" i="3" s="1"/>
  <c r="AH712" i="3"/>
  <c r="K712" i="3" l="1"/>
  <c r="AE712" i="3" s="1"/>
  <c r="F712" i="3"/>
  <c r="G712" i="3"/>
  <c r="V712" i="3" l="1"/>
  <c r="A713" i="3"/>
  <c r="B713" i="3" s="1"/>
  <c r="I712" i="3"/>
  <c r="J712" i="3"/>
  <c r="M712" i="3"/>
  <c r="N712" i="3" s="1"/>
  <c r="W712" i="3" l="1"/>
  <c r="L712" i="3"/>
  <c r="Z713" i="3"/>
  <c r="P713" i="3"/>
  <c r="Q713" i="3" s="1"/>
  <c r="R713" i="3" s="1"/>
  <c r="S713" i="3" s="1"/>
  <c r="AC713" i="3"/>
  <c r="AD713" i="3"/>
  <c r="AA713" i="3"/>
  <c r="T713" i="3" l="1"/>
  <c r="AH713" i="3" s="1"/>
  <c r="U712" i="3"/>
  <c r="Y711" i="3"/>
  <c r="D713" i="3" l="1"/>
  <c r="AG713" i="3"/>
  <c r="E713" i="3"/>
  <c r="H713" i="3" s="1"/>
  <c r="F713" i="3" l="1"/>
  <c r="G713" i="3"/>
  <c r="M713" i="3" s="1"/>
  <c r="N713" i="3" s="1"/>
  <c r="K713" i="3"/>
  <c r="AE713" i="3" s="1"/>
  <c r="I713" i="3" l="1"/>
  <c r="J713" i="3"/>
  <c r="L713" i="3" s="1"/>
  <c r="V713" i="3"/>
  <c r="A714" i="3"/>
  <c r="B714" i="3" s="1"/>
  <c r="W713" i="3" l="1"/>
  <c r="U713" i="3"/>
  <c r="Y712" i="3"/>
  <c r="AA714" i="3"/>
  <c r="P714" i="3"/>
  <c r="Q714" i="3" s="1"/>
  <c r="R714" i="3" s="1"/>
  <c r="S714" i="3" s="1"/>
  <c r="Z714" i="3"/>
  <c r="AC714" i="3"/>
  <c r="T714" i="3" l="1"/>
  <c r="AH714" i="3" s="1"/>
  <c r="D714" i="3" l="1"/>
  <c r="G714" i="3" s="1"/>
  <c r="E714" i="3"/>
  <c r="H714" i="3" s="1"/>
  <c r="K714" i="3" s="1"/>
  <c r="AE714" i="3" s="1"/>
  <c r="AG714" i="3"/>
  <c r="F714" i="3" l="1"/>
  <c r="V714" i="3"/>
  <c r="A715" i="3"/>
  <c r="B715" i="3" s="1"/>
  <c r="I714" i="3"/>
  <c r="J714" i="3"/>
  <c r="AD714" i="3" s="1"/>
  <c r="M714" i="3"/>
  <c r="N714" i="3" s="1"/>
  <c r="L714" i="3" l="1"/>
  <c r="W714" i="3"/>
  <c r="AC715" i="3"/>
  <c r="P715" i="3"/>
  <c r="Q715" i="3" s="1"/>
  <c r="R715" i="3" s="1"/>
  <c r="S715" i="3" s="1"/>
  <c r="Z715" i="3"/>
  <c r="AA715" i="3"/>
  <c r="AD715" i="3"/>
  <c r="U714" i="3" l="1"/>
  <c r="Y713" i="3"/>
  <c r="T715" i="3"/>
  <c r="AG715" i="3" s="1"/>
  <c r="AH715" i="3" l="1"/>
  <c r="D715" i="3"/>
  <c r="G715" i="3" s="1"/>
  <c r="E715" i="3"/>
  <c r="H715" i="3" s="1"/>
  <c r="F715" i="3" l="1"/>
  <c r="I715" i="3"/>
  <c r="J715" i="3"/>
  <c r="M715" i="3"/>
  <c r="N715" i="3" s="1"/>
  <c r="K715" i="3"/>
  <c r="AE715" i="3" s="1"/>
  <c r="V715" i="3" l="1"/>
  <c r="W715" i="3" s="1"/>
  <c r="A716" i="3"/>
  <c r="B716" i="3" s="1"/>
  <c r="L715" i="3"/>
  <c r="U715" i="3" l="1"/>
  <c r="Y714" i="3"/>
  <c r="AC716" i="3"/>
  <c r="Z716" i="3"/>
  <c r="P716" i="3"/>
  <c r="Q716" i="3" s="1"/>
  <c r="R716" i="3" s="1"/>
  <c r="S716" i="3" s="1"/>
  <c r="AA716" i="3"/>
  <c r="AD716" i="3"/>
  <c r="T716" i="3" l="1"/>
  <c r="D716" i="3" s="1"/>
  <c r="E716" i="3" l="1"/>
  <c r="H716" i="3" s="1"/>
  <c r="K716" i="3" s="1"/>
  <c r="AE716" i="3" s="1"/>
  <c r="AH716" i="3"/>
  <c r="AG716" i="3"/>
  <c r="G716" i="3"/>
  <c r="F716" i="3" l="1"/>
  <c r="I716" i="3"/>
  <c r="J716" i="3"/>
  <c r="M716" i="3"/>
  <c r="N716" i="3" s="1"/>
  <c r="V716" i="3"/>
  <c r="A717" i="3"/>
  <c r="B717" i="3" s="1"/>
  <c r="W716" i="3" l="1"/>
  <c r="L716" i="3"/>
  <c r="AC717" i="3"/>
  <c r="P717" i="3"/>
  <c r="Q717" i="3" s="1"/>
  <c r="R717" i="3" s="1"/>
  <c r="S717" i="3" s="1"/>
  <c r="Z717" i="3"/>
  <c r="AA717" i="3"/>
  <c r="U716" i="3" l="1"/>
  <c r="Y715" i="3"/>
  <c r="T717" i="3"/>
  <c r="AG717" i="3" s="1"/>
  <c r="E717" i="3" l="1"/>
  <c r="H717" i="3" s="1"/>
  <c r="K717" i="3" s="1"/>
  <c r="AE717" i="3" s="1"/>
  <c r="AH717" i="3"/>
  <c r="D717" i="3"/>
  <c r="V717" i="3" l="1"/>
  <c r="A718" i="3"/>
  <c r="B718" i="3" s="1"/>
  <c r="F717" i="3"/>
  <c r="G717" i="3"/>
  <c r="I717" i="3" l="1"/>
  <c r="W717" i="3" s="1"/>
  <c r="J717" i="3"/>
  <c r="AD717" i="3" s="1"/>
  <c r="M717" i="3"/>
  <c r="N717" i="3" s="1"/>
  <c r="P718" i="3"/>
  <c r="Q718" i="3" s="1"/>
  <c r="R718" i="3" s="1"/>
  <c r="S718" i="3" s="1"/>
  <c r="AC718" i="3"/>
  <c r="Z718" i="3"/>
  <c r="AA718" i="3"/>
  <c r="L717" i="3" l="1"/>
  <c r="T718" i="3"/>
  <c r="U717" i="3" l="1"/>
  <c r="E718" i="3" s="1"/>
  <c r="H718" i="3" s="1"/>
  <c r="AH718" i="3"/>
  <c r="AG718" i="3"/>
  <c r="Y716" i="3"/>
  <c r="K718" i="3" l="1"/>
  <c r="AE718" i="3" s="1"/>
  <c r="D718" i="3"/>
  <c r="V718" i="3" l="1"/>
  <c r="A719" i="3"/>
  <c r="B719" i="3" s="1"/>
  <c r="F718" i="3"/>
  <c r="G718" i="3"/>
  <c r="I718" i="3" l="1"/>
  <c r="W718" i="3" s="1"/>
  <c r="J718" i="3"/>
  <c r="AD718" i="3" s="1"/>
  <c r="M718" i="3"/>
  <c r="N718" i="3" s="1"/>
  <c r="Z719" i="3"/>
  <c r="P719" i="3"/>
  <c r="Q719" i="3" s="1"/>
  <c r="R719" i="3" s="1"/>
  <c r="S719" i="3" s="1"/>
  <c r="AA719" i="3"/>
  <c r="AC719" i="3"/>
  <c r="T719" i="3" l="1"/>
  <c r="L718" i="3"/>
  <c r="AG719" i="3" l="1"/>
  <c r="AH719" i="3"/>
  <c r="U718" i="3"/>
  <c r="E719" i="3" s="1"/>
  <c r="H719" i="3" s="1"/>
  <c r="Y717" i="3"/>
  <c r="D719" i="3" l="1"/>
  <c r="G719" i="3" s="1"/>
  <c r="K719" i="3"/>
  <c r="AE719" i="3" s="1"/>
  <c r="F719" i="3" l="1"/>
  <c r="I719" i="3"/>
  <c r="J719" i="3"/>
  <c r="AD719" i="3" s="1"/>
  <c r="M719" i="3"/>
  <c r="N719" i="3" s="1"/>
  <c r="V719" i="3"/>
  <c r="A720" i="3"/>
  <c r="B720" i="3" s="1"/>
  <c r="W719" i="3" l="1"/>
  <c r="L719" i="3"/>
  <c r="P720" i="3"/>
  <c r="Q720" i="3" s="1"/>
  <c r="R720" i="3" s="1"/>
  <c r="S720" i="3" s="1"/>
  <c r="AA720" i="3"/>
  <c r="AC720" i="3"/>
  <c r="Z720" i="3"/>
  <c r="U719" i="3" l="1"/>
  <c r="Y718" i="3"/>
  <c r="T720" i="3"/>
  <c r="AG720" i="3" s="1"/>
  <c r="E720" i="3" l="1"/>
  <c r="H720" i="3" s="1"/>
  <c r="K720" i="3" s="1"/>
  <c r="AE720" i="3" s="1"/>
  <c r="D720" i="3"/>
  <c r="AH720" i="3"/>
  <c r="V720" i="3" l="1"/>
  <c r="A721" i="3"/>
  <c r="B721" i="3" s="1"/>
  <c r="F720" i="3"/>
  <c r="G720" i="3"/>
  <c r="I720" i="3" l="1"/>
  <c r="W720" i="3" s="1"/>
  <c r="J720" i="3"/>
  <c r="AD720" i="3" s="1"/>
  <c r="M720" i="3"/>
  <c r="N720" i="3" s="1"/>
  <c r="AA721" i="3"/>
  <c r="Z721" i="3"/>
  <c r="AC721" i="3"/>
  <c r="P721" i="3"/>
  <c r="Q721" i="3" s="1"/>
  <c r="R721" i="3" s="1"/>
  <c r="S721" i="3" s="1"/>
  <c r="T721" i="3" l="1"/>
  <c r="L720" i="3"/>
  <c r="AG721" i="3" l="1"/>
  <c r="U720" i="3"/>
  <c r="D721" i="3" s="1"/>
  <c r="AH721" i="3"/>
  <c r="Y719" i="3"/>
  <c r="G721" i="3" l="1"/>
  <c r="E721" i="3"/>
  <c r="H721" i="3" s="1"/>
  <c r="F721" i="3" l="1"/>
  <c r="I721" i="3"/>
  <c r="J721" i="3"/>
  <c r="AD721" i="3" s="1"/>
  <c r="M721" i="3"/>
  <c r="N721" i="3" s="1"/>
  <c r="K721" i="3"/>
  <c r="AE721" i="3" s="1"/>
  <c r="V721" i="3" l="1"/>
  <c r="W721" i="3" s="1"/>
  <c r="A722" i="3"/>
  <c r="B722" i="3" s="1"/>
  <c r="L721" i="3"/>
  <c r="U721" i="3" l="1"/>
  <c r="Y720" i="3"/>
  <c r="AA722" i="3"/>
  <c r="AC722" i="3"/>
  <c r="P722" i="3"/>
  <c r="Q722" i="3" s="1"/>
  <c r="R722" i="3" s="1"/>
  <c r="S722" i="3" s="1"/>
  <c r="Z722" i="3"/>
  <c r="T722" i="3" l="1"/>
  <c r="AH722" i="3" s="1"/>
  <c r="E722" i="3" l="1"/>
  <c r="H722" i="3" s="1"/>
  <c r="K722" i="3" s="1"/>
  <c r="AE722" i="3" s="1"/>
  <c r="D722" i="3"/>
  <c r="AG722" i="3"/>
  <c r="V722" i="3" l="1"/>
  <c r="A723" i="3"/>
  <c r="B723" i="3" s="1"/>
  <c r="F722" i="3"/>
  <c r="G722" i="3"/>
  <c r="I722" i="3" l="1"/>
  <c r="W722" i="3" s="1"/>
  <c r="J722" i="3"/>
  <c r="AD722" i="3" s="1"/>
  <c r="M722" i="3"/>
  <c r="N722" i="3" s="1"/>
  <c r="Z723" i="3"/>
  <c r="AA723" i="3"/>
  <c r="AC723" i="3"/>
  <c r="P723" i="3"/>
  <c r="Q723" i="3" s="1"/>
  <c r="R723" i="3" s="1"/>
  <c r="S723" i="3" s="1"/>
  <c r="T723" i="3" l="1"/>
  <c r="L722" i="3"/>
  <c r="U722" i="3" l="1"/>
  <c r="E723" i="3" s="1"/>
  <c r="H723" i="3" s="1"/>
  <c r="AG723" i="3"/>
  <c r="AH723" i="3"/>
  <c r="Y721" i="3"/>
  <c r="D723" i="3" l="1"/>
  <c r="G723" i="3" s="1"/>
  <c r="K723" i="3"/>
  <c r="AE723" i="3" s="1"/>
  <c r="F723" i="3" l="1"/>
  <c r="V723" i="3"/>
  <c r="A724" i="3"/>
  <c r="B724" i="3" s="1"/>
  <c r="I723" i="3"/>
  <c r="J723" i="3"/>
  <c r="AD723" i="3" s="1"/>
  <c r="M723" i="3"/>
  <c r="N723" i="3" s="1"/>
  <c r="W723" i="3" l="1"/>
  <c r="L723" i="3"/>
  <c r="AA724" i="3"/>
  <c r="Z724" i="3"/>
  <c r="AC724" i="3"/>
  <c r="P724" i="3"/>
  <c r="Q724" i="3" s="1"/>
  <c r="R724" i="3" s="1"/>
  <c r="S724" i="3" s="1"/>
  <c r="T724" i="3" l="1"/>
  <c r="AH724" i="3" s="1"/>
  <c r="U723" i="3"/>
  <c r="Y722" i="3"/>
  <c r="D724" i="3" l="1"/>
  <c r="E724" i="3"/>
  <c r="H724" i="3" s="1"/>
  <c r="AG724" i="3"/>
  <c r="K724" i="3" l="1"/>
  <c r="AE724" i="3" s="1"/>
  <c r="F724" i="3"/>
  <c r="G724" i="3"/>
  <c r="I724" i="3" l="1"/>
  <c r="J724" i="3"/>
  <c r="AD724" i="3" s="1"/>
  <c r="M724" i="3"/>
  <c r="N724" i="3" s="1"/>
  <c r="V724" i="3"/>
  <c r="A725" i="3"/>
  <c r="B725" i="3" s="1"/>
  <c r="W724" i="3" l="1"/>
  <c r="L724" i="3"/>
  <c r="AC725" i="3"/>
  <c r="P725" i="3"/>
  <c r="Q725" i="3" s="1"/>
  <c r="R725" i="3" s="1"/>
  <c r="S725" i="3" s="1"/>
  <c r="Z725" i="3"/>
  <c r="AA725" i="3"/>
  <c r="U724" i="3" l="1"/>
  <c r="Y723" i="3"/>
  <c r="T725" i="3"/>
  <c r="AG725" i="3" s="1"/>
  <c r="AH725" i="3" l="1"/>
  <c r="D725" i="3"/>
  <c r="G725" i="3" s="1"/>
  <c r="E725" i="3"/>
  <c r="H725" i="3" s="1"/>
  <c r="F725" i="3" l="1"/>
  <c r="I725" i="3"/>
  <c r="J725" i="3"/>
  <c r="AD725" i="3" s="1"/>
  <c r="M725" i="3"/>
  <c r="N725" i="3" s="1"/>
  <c r="K725" i="3"/>
  <c r="AE725" i="3" s="1"/>
  <c r="V725" i="3" l="1"/>
  <c r="W725" i="3" s="1"/>
  <c r="A726" i="3"/>
  <c r="B726" i="3" s="1"/>
  <c r="L725" i="3"/>
  <c r="U725" i="3" l="1"/>
  <c r="Y724" i="3"/>
  <c r="Z726" i="3"/>
  <c r="P726" i="3"/>
  <c r="Q726" i="3" s="1"/>
  <c r="R726" i="3" s="1"/>
  <c r="S726" i="3" s="1"/>
  <c r="AA726" i="3"/>
  <c r="AC726" i="3"/>
  <c r="T726" i="3" l="1"/>
  <c r="AG726" i="3" s="1"/>
  <c r="D726" i="3" l="1"/>
  <c r="G726" i="3" s="1"/>
  <c r="E726" i="3"/>
  <c r="H726" i="3" s="1"/>
  <c r="K726" i="3" s="1"/>
  <c r="AE726" i="3" s="1"/>
  <c r="AH726" i="3"/>
  <c r="F726" i="3" l="1"/>
  <c r="I726" i="3"/>
  <c r="J726" i="3"/>
  <c r="AD726" i="3" s="1"/>
  <c r="M726" i="3"/>
  <c r="N726" i="3" s="1"/>
  <c r="V726" i="3"/>
  <c r="A727" i="3"/>
  <c r="B727" i="3" s="1"/>
  <c r="W726" i="3" l="1"/>
  <c r="L726" i="3"/>
  <c r="P727" i="3"/>
  <c r="Q727" i="3" s="1"/>
  <c r="R727" i="3" s="1"/>
  <c r="S727" i="3" s="1"/>
  <c r="Z727" i="3"/>
  <c r="AA727" i="3"/>
  <c r="AC727" i="3"/>
  <c r="U726" i="3" l="1"/>
  <c r="Y725" i="3"/>
  <c r="T727" i="3"/>
  <c r="AH727" i="3" s="1"/>
  <c r="E727" i="3" l="1"/>
  <c r="H727" i="3" s="1"/>
  <c r="K727" i="3" s="1"/>
  <c r="AE727" i="3" s="1"/>
  <c r="D727" i="3"/>
  <c r="AG727" i="3"/>
  <c r="F727" i="3" l="1"/>
  <c r="G727" i="3"/>
  <c r="M727" i="3" s="1"/>
  <c r="N727" i="3" s="1"/>
  <c r="V727" i="3"/>
  <c r="A728" i="3"/>
  <c r="B728" i="3" s="1"/>
  <c r="I727" i="3" l="1"/>
  <c r="W727" i="3" s="1"/>
  <c r="J727" i="3"/>
  <c r="AA728" i="3"/>
  <c r="P728" i="3"/>
  <c r="Q728" i="3" s="1"/>
  <c r="R728" i="3" s="1"/>
  <c r="S728" i="3" s="1"/>
  <c r="AC728" i="3"/>
  <c r="Z728" i="3"/>
  <c r="L727" i="3" l="1"/>
  <c r="U727" i="3" s="1"/>
  <c r="AD727" i="3"/>
  <c r="T728" i="3"/>
  <c r="Y726" i="3" l="1"/>
  <c r="D728" i="3"/>
  <c r="G728" i="3" s="1"/>
  <c r="AG728" i="3"/>
  <c r="E728" i="3"/>
  <c r="H728" i="3" s="1"/>
  <c r="AH728" i="3"/>
  <c r="F728" i="3" l="1"/>
  <c r="I728" i="3"/>
  <c r="J728" i="3"/>
  <c r="AD728" i="3" s="1"/>
  <c r="M728" i="3"/>
  <c r="N728" i="3" s="1"/>
  <c r="K728" i="3"/>
  <c r="AE728" i="3" s="1"/>
  <c r="V728" i="3" l="1"/>
  <c r="W728" i="3" s="1"/>
  <c r="A729" i="3"/>
  <c r="B729" i="3" s="1"/>
  <c r="L728" i="3"/>
  <c r="U728" i="3" l="1"/>
  <c r="Y727" i="3"/>
  <c r="P729" i="3"/>
  <c r="Q729" i="3" s="1"/>
  <c r="R729" i="3" s="1"/>
  <c r="S729" i="3" s="1"/>
  <c r="AA729" i="3"/>
  <c r="AC729" i="3"/>
  <c r="Z729" i="3"/>
  <c r="T729" i="3" l="1"/>
  <c r="E729" i="3" s="1"/>
  <c r="H729" i="3" s="1"/>
  <c r="AH729" i="3" l="1"/>
  <c r="D729" i="3"/>
  <c r="F729" i="3" s="1"/>
  <c r="AG729" i="3"/>
  <c r="K729" i="3"/>
  <c r="AE729" i="3" s="1"/>
  <c r="G729" i="3" l="1"/>
  <c r="I729" i="3" s="1"/>
  <c r="V729" i="3"/>
  <c r="A730" i="3"/>
  <c r="B730" i="3" s="1"/>
  <c r="W729" i="3" l="1"/>
  <c r="J729" i="3"/>
  <c r="M729" i="3"/>
  <c r="N729" i="3" s="1"/>
  <c r="AA730" i="3"/>
  <c r="Z730" i="3"/>
  <c r="P730" i="3"/>
  <c r="Q730" i="3" s="1"/>
  <c r="R730" i="3" s="1"/>
  <c r="S730" i="3" s="1"/>
  <c r="AC730" i="3"/>
  <c r="L729" i="3" l="1"/>
  <c r="U729" i="3" s="1"/>
  <c r="AD729" i="3"/>
  <c r="T730" i="3"/>
  <c r="Y728" i="3" l="1"/>
  <c r="AG730" i="3"/>
  <c r="D730" i="3"/>
  <c r="E730" i="3"/>
  <c r="H730" i="3" s="1"/>
  <c r="AH730" i="3"/>
  <c r="K730" i="3" l="1"/>
  <c r="AE730" i="3" s="1"/>
  <c r="F730" i="3"/>
  <c r="G730" i="3"/>
  <c r="I730" i="3" l="1"/>
  <c r="J730" i="3"/>
  <c r="AD730" i="3" s="1"/>
  <c r="M730" i="3"/>
  <c r="N730" i="3" s="1"/>
  <c r="V730" i="3"/>
  <c r="A731" i="3"/>
  <c r="B731" i="3" s="1"/>
  <c r="W730" i="3" l="1"/>
  <c r="L730" i="3"/>
  <c r="P731" i="3"/>
  <c r="Q731" i="3" s="1"/>
  <c r="R731" i="3" s="1"/>
  <c r="S731" i="3" s="1"/>
  <c r="Z731" i="3"/>
  <c r="AA731" i="3"/>
  <c r="AC731" i="3"/>
  <c r="U730" i="3" l="1"/>
  <c r="Y729" i="3"/>
  <c r="T731" i="3"/>
  <c r="AG731" i="3" s="1"/>
  <c r="E731" i="3" l="1"/>
  <c r="H731" i="3" s="1"/>
  <c r="K731" i="3" s="1"/>
  <c r="AE731" i="3" s="1"/>
  <c r="AH731" i="3"/>
  <c r="D731" i="3"/>
  <c r="F731" i="3" l="1"/>
  <c r="G731" i="3"/>
  <c r="J731" i="3" s="1"/>
  <c r="AD731" i="3" s="1"/>
  <c r="V731" i="3"/>
  <c r="A732" i="3"/>
  <c r="B732" i="3" s="1"/>
  <c r="M731" i="3" l="1"/>
  <c r="N731" i="3" s="1"/>
  <c r="I731" i="3"/>
  <c r="W731" i="3" s="1"/>
  <c r="L731" i="3"/>
  <c r="AC732" i="3"/>
  <c r="Z732" i="3"/>
  <c r="AA732" i="3"/>
  <c r="P732" i="3"/>
  <c r="Q732" i="3" s="1"/>
  <c r="R732" i="3" s="1"/>
  <c r="S732" i="3" s="1"/>
  <c r="U731" i="3" l="1"/>
  <c r="Y730" i="3"/>
  <c r="T732" i="3"/>
  <c r="E732" i="3" l="1"/>
  <c r="H732" i="3" s="1"/>
  <c r="K732" i="3" s="1"/>
  <c r="AE732" i="3" s="1"/>
  <c r="D732" i="3"/>
  <c r="G732" i="3" s="1"/>
  <c r="AH732" i="3"/>
  <c r="AG732" i="3"/>
  <c r="F732" i="3" l="1"/>
  <c r="I732" i="3"/>
  <c r="J732" i="3"/>
  <c r="AD732" i="3" s="1"/>
  <c r="M732" i="3"/>
  <c r="N732" i="3" s="1"/>
  <c r="V732" i="3"/>
  <c r="A733" i="3"/>
  <c r="B733" i="3" s="1"/>
  <c r="W732" i="3" l="1"/>
  <c r="L732" i="3"/>
  <c r="AC733" i="3"/>
  <c r="P733" i="3"/>
  <c r="Q733" i="3" s="1"/>
  <c r="R733" i="3" s="1"/>
  <c r="S733" i="3" s="1"/>
  <c r="AA733" i="3"/>
  <c r="Z733" i="3"/>
  <c r="T733" i="3" l="1"/>
  <c r="AH733" i="3" s="1"/>
  <c r="U732" i="3"/>
  <c r="Y731" i="3"/>
  <c r="D733" i="3" l="1"/>
  <c r="G733" i="3" s="1"/>
  <c r="E733" i="3"/>
  <c r="H733" i="3" s="1"/>
  <c r="AG733" i="3"/>
  <c r="F733" i="3" l="1"/>
  <c r="I733" i="3"/>
  <c r="J733" i="3"/>
  <c r="AD733" i="3" s="1"/>
  <c r="M733" i="3"/>
  <c r="N733" i="3" s="1"/>
  <c r="K733" i="3"/>
  <c r="AE733" i="3" s="1"/>
  <c r="V733" i="3" l="1"/>
  <c r="W733" i="3" s="1"/>
  <c r="A734" i="3"/>
  <c r="B734" i="3" s="1"/>
  <c r="L733" i="3"/>
  <c r="U733" i="3" l="1"/>
  <c r="Y732" i="3"/>
  <c r="P734" i="3"/>
  <c r="Q734" i="3" s="1"/>
  <c r="R734" i="3" s="1"/>
  <c r="S734" i="3" s="1"/>
  <c r="AC734" i="3"/>
  <c r="AA734" i="3"/>
  <c r="Z734" i="3"/>
  <c r="T734" i="3" l="1"/>
  <c r="AG734" i="3" s="1"/>
  <c r="D734" i="3" l="1"/>
  <c r="E734" i="3"/>
  <c r="H734" i="3" s="1"/>
  <c r="K734" i="3" s="1"/>
  <c r="AE734" i="3" s="1"/>
  <c r="AH734" i="3"/>
  <c r="F734" i="3" l="1"/>
  <c r="G734" i="3"/>
  <c r="M734" i="3" s="1"/>
  <c r="N734" i="3" s="1"/>
  <c r="V734" i="3"/>
  <c r="A735" i="3"/>
  <c r="B735" i="3" s="1"/>
  <c r="I734" i="3" l="1"/>
  <c r="W734" i="3" s="1"/>
  <c r="J734" i="3"/>
  <c r="AA735" i="3"/>
  <c r="Z735" i="3"/>
  <c r="P735" i="3"/>
  <c r="Q735" i="3" s="1"/>
  <c r="R735" i="3" s="1"/>
  <c r="S735" i="3" s="1"/>
  <c r="AC735" i="3"/>
  <c r="L734" i="3" l="1"/>
  <c r="Y733" i="3" s="1"/>
  <c r="AD734" i="3"/>
  <c r="T735" i="3"/>
  <c r="U734" i="3" l="1"/>
  <c r="E735" i="3" s="1"/>
  <c r="H735" i="3" s="1"/>
  <c r="AH735" i="3"/>
  <c r="AG735" i="3"/>
  <c r="D735" i="3" l="1"/>
  <c r="G735" i="3" s="1"/>
  <c r="M735" i="3" s="1"/>
  <c r="N735" i="3" s="1"/>
  <c r="K735" i="3"/>
  <c r="AE735" i="3" s="1"/>
  <c r="F735" i="3" l="1"/>
  <c r="I735" i="3"/>
  <c r="J735" i="3"/>
  <c r="V735" i="3"/>
  <c r="A736" i="3"/>
  <c r="B736" i="3" s="1"/>
  <c r="L735" i="3" l="1"/>
  <c r="U735" i="3" s="1"/>
  <c r="AD735" i="3"/>
  <c r="W735" i="3"/>
  <c r="Z736" i="3"/>
  <c r="P736" i="3"/>
  <c r="Q736" i="3" s="1"/>
  <c r="R736" i="3" s="1"/>
  <c r="S736" i="3" s="1"/>
  <c r="AA736" i="3"/>
  <c r="AC736" i="3"/>
  <c r="Y734" i="3" l="1"/>
  <c r="T736" i="3"/>
  <c r="E736" i="3" s="1"/>
  <c r="H736" i="3" s="1"/>
  <c r="AH736" i="3" l="1"/>
  <c r="D736" i="3"/>
  <c r="F736" i="3" s="1"/>
  <c r="K736" i="3"/>
  <c r="AE736" i="3" s="1"/>
  <c r="AG736" i="3"/>
  <c r="G736" i="3" l="1"/>
  <c r="M736" i="3" s="1"/>
  <c r="N736" i="3" s="1"/>
  <c r="V736" i="3"/>
  <c r="A737" i="3"/>
  <c r="B737" i="3" s="1"/>
  <c r="I736" i="3" l="1"/>
  <c r="W736" i="3" s="1"/>
  <c r="J736" i="3"/>
  <c r="AC737" i="3"/>
  <c r="P737" i="3"/>
  <c r="Q737" i="3" s="1"/>
  <c r="R737" i="3" s="1"/>
  <c r="S737" i="3" s="1"/>
  <c r="Z737" i="3"/>
  <c r="AA737" i="3"/>
  <c r="L736" i="3" l="1"/>
  <c r="U736" i="3" s="1"/>
  <c r="AD736" i="3"/>
  <c r="T737" i="3"/>
  <c r="Y735" i="3" l="1"/>
  <c r="AH737" i="3"/>
  <c r="D737" i="3"/>
  <c r="E737" i="3"/>
  <c r="H737" i="3" s="1"/>
  <c r="AG737" i="3"/>
  <c r="F737" i="3" l="1"/>
  <c r="G737" i="3"/>
  <c r="K737" i="3"/>
  <c r="AE737" i="3" s="1"/>
  <c r="V737" i="3" l="1"/>
  <c r="A738" i="3"/>
  <c r="B738" i="3" s="1"/>
  <c r="I737" i="3"/>
  <c r="J737" i="3"/>
  <c r="AD737" i="3" s="1"/>
  <c r="M737" i="3"/>
  <c r="N737" i="3" s="1"/>
  <c r="W737" i="3" l="1"/>
  <c r="L737" i="3"/>
  <c r="AA738" i="3"/>
  <c r="P738" i="3"/>
  <c r="Q738" i="3" s="1"/>
  <c r="R738" i="3" s="1"/>
  <c r="S738" i="3" s="1"/>
  <c r="AC738" i="3"/>
  <c r="Z738" i="3"/>
  <c r="U737" i="3" l="1"/>
  <c r="Y736" i="3"/>
  <c r="T738" i="3"/>
  <c r="E738" i="3" l="1"/>
  <c r="H738" i="3" s="1"/>
  <c r="K738" i="3" s="1"/>
  <c r="AE738" i="3" s="1"/>
  <c r="D738" i="3"/>
  <c r="AG738" i="3"/>
  <c r="AH738" i="3"/>
  <c r="V738" i="3" l="1"/>
  <c r="A739" i="3"/>
  <c r="B739" i="3" s="1"/>
  <c r="F738" i="3"/>
  <c r="G738" i="3"/>
  <c r="I738" i="3" l="1"/>
  <c r="W738" i="3" s="1"/>
  <c r="J738" i="3"/>
  <c r="AD738" i="3" s="1"/>
  <c r="M738" i="3"/>
  <c r="N738" i="3" s="1"/>
  <c r="P739" i="3"/>
  <c r="Q739" i="3" s="1"/>
  <c r="R739" i="3" s="1"/>
  <c r="S739" i="3" s="1"/>
  <c r="AC739" i="3"/>
  <c r="AA739" i="3"/>
  <c r="AD739" i="3"/>
  <c r="Z739" i="3"/>
  <c r="T739" i="3" l="1"/>
  <c r="L738" i="3"/>
  <c r="AH739" i="3" l="1"/>
  <c r="U738" i="3"/>
  <c r="E739" i="3" s="1"/>
  <c r="H739" i="3" s="1"/>
  <c r="AG739" i="3"/>
  <c r="Y737" i="3"/>
  <c r="D739" i="3" l="1"/>
  <c r="G739" i="3" s="1"/>
  <c r="K739" i="3"/>
  <c r="AE739" i="3" s="1"/>
  <c r="F739" i="3" l="1"/>
  <c r="I739" i="3"/>
  <c r="J739" i="3"/>
  <c r="M739" i="3"/>
  <c r="N739" i="3" s="1"/>
  <c r="V739" i="3"/>
  <c r="A740" i="3"/>
  <c r="B740" i="3" s="1"/>
  <c r="W739" i="3" l="1"/>
  <c r="L739" i="3"/>
  <c r="P740" i="3"/>
  <c r="Q740" i="3" s="1"/>
  <c r="R740" i="3" s="1"/>
  <c r="S740" i="3" s="1"/>
  <c r="Z740" i="3"/>
  <c r="AC740" i="3"/>
  <c r="AD740" i="3"/>
  <c r="AA740" i="3"/>
  <c r="U739" i="3" l="1"/>
  <c r="Y738" i="3"/>
  <c r="T740" i="3"/>
  <c r="E740" i="3" l="1"/>
  <c r="H740" i="3" s="1"/>
  <c r="K740" i="3" s="1"/>
  <c r="AE740" i="3" s="1"/>
  <c r="D740" i="3"/>
  <c r="G740" i="3" s="1"/>
  <c r="AH740" i="3"/>
  <c r="AG740" i="3"/>
  <c r="F740" i="3" l="1"/>
  <c r="I740" i="3"/>
  <c r="J740" i="3"/>
  <c r="M740" i="3"/>
  <c r="N740" i="3" s="1"/>
  <c r="V740" i="3"/>
  <c r="A741" i="3"/>
  <c r="B741" i="3" s="1"/>
  <c r="W740" i="3" l="1"/>
  <c r="L740" i="3"/>
  <c r="AA741" i="3"/>
  <c r="P741" i="3"/>
  <c r="Q741" i="3" s="1"/>
  <c r="R741" i="3" s="1"/>
  <c r="S741" i="3" s="1"/>
  <c r="AD741" i="3"/>
  <c r="Z741" i="3"/>
  <c r="AC741" i="3"/>
  <c r="T741" i="3" l="1"/>
  <c r="AG741" i="3" s="1"/>
  <c r="U740" i="3"/>
  <c r="Y739" i="3"/>
  <c r="E741" i="3" l="1"/>
  <c r="H741" i="3" s="1"/>
  <c r="D741" i="3"/>
  <c r="AH741" i="3"/>
  <c r="K741" i="3" l="1"/>
  <c r="AE741" i="3" s="1"/>
  <c r="F741" i="3"/>
  <c r="G741" i="3"/>
  <c r="V741" i="3" l="1"/>
  <c r="A742" i="3"/>
  <c r="B742" i="3" s="1"/>
  <c r="I741" i="3"/>
  <c r="J741" i="3"/>
  <c r="M741" i="3"/>
  <c r="N741" i="3" s="1"/>
  <c r="L741" i="3" l="1"/>
  <c r="W741" i="3"/>
  <c r="AC742" i="3"/>
  <c r="P742" i="3"/>
  <c r="Q742" i="3" s="1"/>
  <c r="R742" i="3" s="1"/>
  <c r="S742" i="3" s="1"/>
  <c r="AD742" i="3"/>
  <c r="Z742" i="3"/>
  <c r="AA742" i="3"/>
  <c r="U741" i="3" l="1"/>
  <c r="Y740" i="3"/>
  <c r="T742" i="3"/>
  <c r="AG742" i="3" s="1"/>
  <c r="E742" i="3" l="1"/>
  <c r="H742" i="3" s="1"/>
  <c r="K742" i="3" s="1"/>
  <c r="AE742" i="3" s="1"/>
  <c r="AH742" i="3"/>
  <c r="D742" i="3"/>
  <c r="F742" i="3" l="1"/>
  <c r="G742" i="3"/>
  <c r="V742" i="3"/>
  <c r="A743" i="3"/>
  <c r="B743" i="3" s="1"/>
  <c r="I742" i="3" l="1"/>
  <c r="W742" i="3" s="1"/>
  <c r="J742" i="3"/>
  <c r="M742" i="3"/>
  <c r="N742" i="3" s="1"/>
  <c r="Z743" i="3"/>
  <c r="AA743" i="3"/>
  <c r="P743" i="3"/>
  <c r="Q743" i="3" s="1"/>
  <c r="R743" i="3" s="1"/>
  <c r="S743" i="3" s="1"/>
  <c r="AC743" i="3"/>
  <c r="AD743" i="3"/>
  <c r="T743" i="3" l="1"/>
  <c r="L742" i="3"/>
  <c r="U742" i="3" l="1"/>
  <c r="E743" i="3" s="1"/>
  <c r="H743" i="3" s="1"/>
  <c r="AH743" i="3"/>
  <c r="AG743" i="3"/>
  <c r="Y741" i="3"/>
  <c r="D743" i="3" l="1"/>
  <c r="G743" i="3" s="1"/>
  <c r="K743" i="3"/>
  <c r="AE743" i="3" s="1"/>
  <c r="F743" i="3" l="1"/>
  <c r="I743" i="3"/>
  <c r="J743" i="3"/>
  <c r="M743" i="3"/>
  <c r="N743" i="3" s="1"/>
  <c r="V743" i="3"/>
  <c r="A744" i="3"/>
  <c r="B744" i="3" s="1"/>
  <c r="W743" i="3" l="1"/>
  <c r="L743" i="3"/>
  <c r="AA744" i="3"/>
  <c r="P744" i="3"/>
  <c r="Q744" i="3" s="1"/>
  <c r="R744" i="3" s="1"/>
  <c r="S744" i="3" s="1"/>
  <c r="AC744" i="3"/>
  <c r="Z744" i="3"/>
  <c r="U743" i="3" l="1"/>
  <c r="Y742" i="3"/>
  <c r="T744" i="3"/>
  <c r="AG744" i="3" s="1"/>
  <c r="E744" i="3" l="1"/>
  <c r="H744" i="3" s="1"/>
  <c r="K744" i="3" s="1"/>
  <c r="AE744" i="3" s="1"/>
  <c r="D744" i="3"/>
  <c r="AH744" i="3"/>
  <c r="F744" i="3" l="1"/>
  <c r="G744" i="3"/>
  <c r="I744" i="3" s="1"/>
  <c r="V744" i="3"/>
  <c r="A745" i="3"/>
  <c r="B745" i="3" s="1"/>
  <c r="J744" i="3" l="1"/>
  <c r="M744" i="3"/>
  <c r="N744" i="3" s="1"/>
  <c r="W744" i="3"/>
  <c r="P745" i="3"/>
  <c r="Q745" i="3" s="1"/>
  <c r="R745" i="3" s="1"/>
  <c r="S745" i="3" s="1"/>
  <c r="AA745" i="3"/>
  <c r="AC745" i="3"/>
  <c r="Z745" i="3"/>
  <c r="L744" i="3" l="1"/>
  <c r="U744" i="3" s="1"/>
  <c r="AD744" i="3"/>
  <c r="T745" i="3"/>
  <c r="Y743" i="3" l="1"/>
  <c r="AG745" i="3"/>
  <c r="E745" i="3"/>
  <c r="H745" i="3" s="1"/>
  <c r="K745" i="3" s="1"/>
  <c r="AE745" i="3" s="1"/>
  <c r="D745" i="3"/>
  <c r="AH745" i="3"/>
  <c r="F745" i="3" l="1"/>
  <c r="G745" i="3"/>
  <c r="M745" i="3" s="1"/>
  <c r="N745" i="3" s="1"/>
  <c r="V745" i="3"/>
  <c r="A746" i="3"/>
  <c r="B746" i="3" s="1"/>
  <c r="I745" i="3" l="1"/>
  <c r="W745" i="3" s="1"/>
  <c r="J745" i="3"/>
  <c r="Z746" i="3"/>
  <c r="P746" i="3"/>
  <c r="Q746" i="3" s="1"/>
  <c r="R746" i="3" s="1"/>
  <c r="S746" i="3" s="1"/>
  <c r="AA746" i="3"/>
  <c r="AC746" i="3"/>
  <c r="L745" i="3" l="1"/>
  <c r="U745" i="3" s="1"/>
  <c r="AD745" i="3"/>
  <c r="T746" i="3"/>
  <c r="Y744" i="3" l="1"/>
  <c r="D746" i="3"/>
  <c r="G746" i="3" s="1"/>
  <c r="AG746" i="3"/>
  <c r="E746" i="3"/>
  <c r="H746" i="3" s="1"/>
  <c r="AH746" i="3"/>
  <c r="F746" i="3" l="1"/>
  <c r="I746" i="3"/>
  <c r="J746" i="3"/>
  <c r="AD746" i="3" s="1"/>
  <c r="M746" i="3"/>
  <c r="N746" i="3" s="1"/>
  <c r="K746" i="3"/>
  <c r="AE746" i="3" s="1"/>
  <c r="V746" i="3" l="1"/>
  <c r="W746" i="3" s="1"/>
  <c r="A747" i="3"/>
  <c r="B747" i="3" s="1"/>
  <c r="L746" i="3"/>
  <c r="U746" i="3" l="1"/>
  <c r="Y745" i="3"/>
  <c r="AA747" i="3"/>
  <c r="Z747" i="3"/>
  <c r="AC747" i="3"/>
  <c r="P747" i="3"/>
  <c r="Q747" i="3" s="1"/>
  <c r="R747" i="3" s="1"/>
  <c r="S747" i="3" s="1"/>
  <c r="T747" i="3" l="1"/>
  <c r="D747" i="3" s="1"/>
  <c r="AG747" i="3" l="1"/>
  <c r="E747" i="3"/>
  <c r="H747" i="3" s="1"/>
  <c r="K747" i="3" s="1"/>
  <c r="AE747" i="3" s="1"/>
  <c r="AH747" i="3"/>
  <c r="G747" i="3"/>
  <c r="F747" i="3" l="1"/>
  <c r="I747" i="3"/>
  <c r="J747" i="3"/>
  <c r="AD747" i="3" s="1"/>
  <c r="M747" i="3"/>
  <c r="N747" i="3" s="1"/>
  <c r="V747" i="3"/>
  <c r="A748" i="3"/>
  <c r="B748" i="3" s="1"/>
  <c r="W747" i="3" l="1"/>
  <c r="L747" i="3"/>
  <c r="AC748" i="3"/>
  <c r="P748" i="3"/>
  <c r="Q748" i="3" s="1"/>
  <c r="R748" i="3" s="1"/>
  <c r="S748" i="3" s="1"/>
  <c r="Z748" i="3"/>
  <c r="AA748" i="3"/>
  <c r="U747" i="3" l="1"/>
  <c r="Y746" i="3"/>
  <c r="T748" i="3"/>
  <c r="E748" i="3" l="1"/>
  <c r="H748" i="3" s="1"/>
  <c r="K748" i="3" s="1"/>
  <c r="AE748" i="3" s="1"/>
  <c r="D748" i="3"/>
  <c r="AH748" i="3"/>
  <c r="AG748" i="3"/>
  <c r="V748" i="3" l="1"/>
  <c r="A749" i="3"/>
  <c r="B749" i="3" s="1"/>
  <c r="F748" i="3"/>
  <c r="G748" i="3"/>
  <c r="I748" i="3" l="1"/>
  <c r="W748" i="3" s="1"/>
  <c r="J748" i="3"/>
  <c r="AD748" i="3" s="1"/>
  <c r="M748" i="3"/>
  <c r="N748" i="3" s="1"/>
  <c r="AA749" i="3"/>
  <c r="Z749" i="3"/>
  <c r="P749" i="3"/>
  <c r="Q749" i="3" s="1"/>
  <c r="R749" i="3" s="1"/>
  <c r="S749" i="3" s="1"/>
  <c r="AC749" i="3"/>
  <c r="T749" i="3" l="1"/>
  <c r="L748" i="3"/>
  <c r="U748" i="3" l="1"/>
  <c r="E749" i="3" s="1"/>
  <c r="H749" i="3" s="1"/>
  <c r="AG749" i="3"/>
  <c r="AH749" i="3"/>
  <c r="Y747" i="3"/>
  <c r="K749" i="3" l="1"/>
  <c r="AE749" i="3" s="1"/>
  <c r="D749" i="3"/>
  <c r="V749" i="3" l="1"/>
  <c r="A750" i="3"/>
  <c r="B750" i="3" s="1"/>
  <c r="F749" i="3"/>
  <c r="G749" i="3"/>
  <c r="I749" i="3" l="1"/>
  <c r="W749" i="3" s="1"/>
  <c r="J749" i="3"/>
  <c r="AD749" i="3" s="1"/>
  <c r="M749" i="3"/>
  <c r="N749" i="3" s="1"/>
  <c r="AA750" i="3"/>
  <c r="AC750" i="3"/>
  <c r="Z750" i="3"/>
  <c r="P750" i="3"/>
  <c r="Q750" i="3" s="1"/>
  <c r="R750" i="3" s="1"/>
  <c r="S750" i="3" s="1"/>
  <c r="T750" i="3" l="1"/>
  <c r="L749" i="3"/>
  <c r="AH750" i="3" l="1"/>
  <c r="AG750" i="3"/>
  <c r="U749" i="3"/>
  <c r="D750" i="3" s="1"/>
  <c r="Y748" i="3"/>
  <c r="G750" i="3" l="1"/>
  <c r="E750" i="3"/>
  <c r="H750" i="3" s="1"/>
  <c r="F750" i="3" l="1"/>
  <c r="I750" i="3"/>
  <c r="J750" i="3"/>
  <c r="AD750" i="3" s="1"/>
  <c r="M750" i="3"/>
  <c r="N750" i="3" s="1"/>
  <c r="K750" i="3"/>
  <c r="AE750" i="3" s="1"/>
  <c r="V750" i="3" l="1"/>
  <c r="W750" i="3" s="1"/>
  <c r="A751" i="3"/>
  <c r="B751" i="3" s="1"/>
  <c r="L750" i="3"/>
  <c r="U750" i="3" l="1"/>
  <c r="Y749" i="3"/>
  <c r="P751" i="3"/>
  <c r="Q751" i="3" s="1"/>
  <c r="R751" i="3" s="1"/>
  <c r="S751" i="3" s="1"/>
  <c r="Z751" i="3"/>
  <c r="AA751" i="3"/>
  <c r="AC751" i="3"/>
  <c r="T751" i="3" l="1"/>
  <c r="AH751" i="3" s="1"/>
  <c r="E751" i="3" l="1"/>
  <c r="H751" i="3" s="1"/>
  <c r="K751" i="3" s="1"/>
  <c r="AE751" i="3" s="1"/>
  <c r="AG751" i="3"/>
  <c r="D751" i="3"/>
  <c r="F751" i="3" l="1"/>
  <c r="G751" i="3"/>
  <c r="V751" i="3"/>
  <c r="A752" i="3"/>
  <c r="B752" i="3" s="1"/>
  <c r="AA752" i="3" l="1"/>
  <c r="Z752" i="3"/>
  <c r="AC752" i="3"/>
  <c r="P752" i="3"/>
  <c r="Q752" i="3" s="1"/>
  <c r="R752" i="3" s="1"/>
  <c r="S752" i="3" s="1"/>
  <c r="I751" i="3"/>
  <c r="W751" i="3" s="1"/>
  <c r="J751" i="3"/>
  <c r="AD751" i="3" s="1"/>
  <c r="M751" i="3"/>
  <c r="N751" i="3" s="1"/>
  <c r="L751" i="3" l="1"/>
  <c r="T752" i="3"/>
  <c r="U751" i="3" l="1"/>
  <c r="E752" i="3" s="1"/>
  <c r="H752" i="3" s="1"/>
  <c r="AG752" i="3"/>
  <c r="AH752" i="3"/>
  <c r="Y750" i="3"/>
  <c r="K752" i="3" l="1"/>
  <c r="AE752" i="3" s="1"/>
  <c r="D752" i="3"/>
  <c r="V752" i="3" l="1"/>
  <c r="A753" i="3"/>
  <c r="B753" i="3" s="1"/>
  <c r="F752" i="3"/>
  <c r="G752" i="3"/>
  <c r="I752" i="3" l="1"/>
  <c r="W752" i="3" s="1"/>
  <c r="J752" i="3"/>
  <c r="AD752" i="3" s="1"/>
  <c r="M752" i="3"/>
  <c r="N752" i="3" s="1"/>
  <c r="AA753" i="3"/>
  <c r="Z753" i="3"/>
  <c r="P753" i="3"/>
  <c r="Q753" i="3" s="1"/>
  <c r="R753" i="3" s="1"/>
  <c r="S753" i="3" s="1"/>
  <c r="AC753" i="3"/>
  <c r="T753" i="3" l="1"/>
  <c r="L752" i="3"/>
  <c r="AG753" i="3" l="1"/>
  <c r="U752" i="3"/>
  <c r="E753" i="3" s="1"/>
  <c r="H753" i="3" s="1"/>
  <c r="AH753" i="3"/>
  <c r="Y751" i="3"/>
  <c r="K753" i="3" l="1"/>
  <c r="AE753" i="3" s="1"/>
  <c r="D753" i="3"/>
  <c r="V753" i="3" l="1"/>
  <c r="A754" i="3"/>
  <c r="B754" i="3" s="1"/>
  <c r="F753" i="3"/>
  <c r="G753" i="3"/>
  <c r="I753" i="3" l="1"/>
  <c r="W753" i="3" s="1"/>
  <c r="J753" i="3"/>
  <c r="AD753" i="3" s="1"/>
  <c r="M753" i="3"/>
  <c r="N753" i="3" s="1"/>
  <c r="AC754" i="3"/>
  <c r="P754" i="3"/>
  <c r="Q754" i="3" s="1"/>
  <c r="R754" i="3" s="1"/>
  <c r="S754" i="3" s="1"/>
  <c r="Z754" i="3"/>
  <c r="AA754" i="3"/>
  <c r="T754" i="3" l="1"/>
  <c r="L753" i="3"/>
  <c r="AG754" i="3" l="1"/>
  <c r="AH754" i="3"/>
  <c r="U753" i="3"/>
  <c r="E754" i="3" s="1"/>
  <c r="H754" i="3" s="1"/>
  <c r="Y752" i="3"/>
  <c r="D754" i="3" l="1"/>
  <c r="G754" i="3" s="1"/>
  <c r="K754" i="3"/>
  <c r="AE754" i="3" s="1"/>
  <c r="F754" i="3" l="1"/>
  <c r="I754" i="3"/>
  <c r="J754" i="3"/>
  <c r="AD754" i="3" s="1"/>
  <c r="M754" i="3"/>
  <c r="N754" i="3" s="1"/>
  <c r="V754" i="3"/>
  <c r="A755" i="3"/>
  <c r="B755" i="3" s="1"/>
  <c r="W754" i="3" l="1"/>
  <c r="L754" i="3"/>
  <c r="AC755" i="3"/>
  <c r="AA755" i="3"/>
  <c r="P755" i="3"/>
  <c r="Q755" i="3" s="1"/>
  <c r="R755" i="3" s="1"/>
  <c r="S755" i="3" s="1"/>
  <c r="Z755" i="3"/>
  <c r="T755" i="3" l="1"/>
  <c r="U754" i="3"/>
  <c r="Y753" i="3"/>
  <c r="E755" i="3" l="1"/>
  <c r="H755" i="3" s="1"/>
  <c r="K755" i="3" s="1"/>
  <c r="AE755" i="3" s="1"/>
  <c r="AH755" i="3"/>
  <c r="AG755" i="3"/>
  <c r="D755" i="3"/>
  <c r="F755" i="3" l="1"/>
  <c r="G755" i="3"/>
  <c r="V755" i="3"/>
  <c r="A756" i="3"/>
  <c r="B756" i="3" s="1"/>
  <c r="P756" i="3" l="1"/>
  <c r="Q756" i="3" s="1"/>
  <c r="R756" i="3" s="1"/>
  <c r="S756" i="3" s="1"/>
  <c r="Z756" i="3"/>
  <c r="AA756" i="3"/>
  <c r="AC756" i="3"/>
  <c r="I755" i="3"/>
  <c r="W755" i="3" s="1"/>
  <c r="J755" i="3"/>
  <c r="AD755" i="3" s="1"/>
  <c r="M755" i="3"/>
  <c r="N755" i="3" s="1"/>
  <c r="T756" i="3" l="1"/>
  <c r="L755" i="3"/>
  <c r="AG756" i="3" l="1"/>
  <c r="U755" i="3"/>
  <c r="E756" i="3" s="1"/>
  <c r="H756" i="3" s="1"/>
  <c r="AH756" i="3"/>
  <c r="Y754" i="3"/>
  <c r="D756" i="3" l="1"/>
  <c r="F756" i="3" s="1"/>
  <c r="K756" i="3"/>
  <c r="AE756" i="3" s="1"/>
  <c r="G756" i="3" l="1"/>
  <c r="M756" i="3" s="1"/>
  <c r="N756" i="3" s="1"/>
  <c r="V756" i="3"/>
  <c r="A757" i="3"/>
  <c r="B757" i="3" s="1"/>
  <c r="I756" i="3" l="1"/>
  <c r="W756" i="3" s="1"/>
  <c r="J756" i="3"/>
  <c r="AC757" i="3"/>
  <c r="P757" i="3"/>
  <c r="Q757" i="3" s="1"/>
  <c r="R757" i="3" s="1"/>
  <c r="S757" i="3" s="1"/>
  <c r="Z757" i="3"/>
  <c r="AA757" i="3"/>
  <c r="L756" i="3" l="1"/>
  <c r="U756" i="3" s="1"/>
  <c r="AD756" i="3"/>
  <c r="T757" i="3"/>
  <c r="Y755" i="3" l="1"/>
  <c r="E757" i="3"/>
  <c r="H757" i="3" s="1"/>
  <c r="K757" i="3" s="1"/>
  <c r="AE757" i="3" s="1"/>
  <c r="AH757" i="3"/>
  <c r="D757" i="3"/>
  <c r="AG757" i="3"/>
  <c r="V757" i="3" l="1"/>
  <c r="A758" i="3"/>
  <c r="B758" i="3" s="1"/>
  <c r="F757" i="3"/>
  <c r="G757" i="3"/>
  <c r="I757" i="3" l="1"/>
  <c r="W757" i="3" s="1"/>
  <c r="J757" i="3"/>
  <c r="AD757" i="3" s="1"/>
  <c r="M757" i="3"/>
  <c r="N757" i="3" s="1"/>
  <c r="AA758" i="3"/>
  <c r="Z758" i="3"/>
  <c r="AC758" i="3"/>
  <c r="P758" i="3"/>
  <c r="Q758" i="3" s="1"/>
  <c r="R758" i="3" s="1"/>
  <c r="S758" i="3" s="1"/>
  <c r="T758" i="3" l="1"/>
  <c r="L757" i="3"/>
  <c r="AG758" i="3" l="1"/>
  <c r="U757" i="3"/>
  <c r="D758" i="3" s="1"/>
  <c r="AH758" i="3"/>
  <c r="Y756" i="3"/>
  <c r="E758" i="3" l="1"/>
  <c r="H758" i="3" s="1"/>
  <c r="K758" i="3" s="1"/>
  <c r="AE758" i="3" s="1"/>
  <c r="G758" i="3"/>
  <c r="F758" i="3" l="1"/>
  <c r="V758" i="3"/>
  <c r="A759" i="3"/>
  <c r="B759" i="3" s="1"/>
  <c r="I758" i="3"/>
  <c r="J758" i="3"/>
  <c r="AD758" i="3" s="1"/>
  <c r="M758" i="3"/>
  <c r="N758" i="3" s="1"/>
  <c r="L758" i="3" l="1"/>
  <c r="W758" i="3"/>
  <c r="P759" i="3"/>
  <c r="Q759" i="3" s="1"/>
  <c r="R759" i="3" s="1"/>
  <c r="S759" i="3" s="1"/>
  <c r="Z759" i="3"/>
  <c r="AA759" i="3"/>
  <c r="AC759" i="3"/>
  <c r="U758" i="3" l="1"/>
  <c r="Y757" i="3"/>
  <c r="T759" i="3"/>
  <c r="D759" i="3" l="1"/>
  <c r="G759" i="3" s="1"/>
  <c r="AG759" i="3"/>
  <c r="E759" i="3"/>
  <c r="H759" i="3" s="1"/>
  <c r="AH759" i="3"/>
  <c r="F759" i="3" l="1"/>
  <c r="I759" i="3"/>
  <c r="J759" i="3"/>
  <c r="AD759" i="3" s="1"/>
  <c r="M759" i="3"/>
  <c r="N759" i="3" s="1"/>
  <c r="K759" i="3"/>
  <c r="AE759" i="3" s="1"/>
  <c r="V759" i="3" l="1"/>
  <c r="W759" i="3" s="1"/>
  <c r="A760" i="3"/>
  <c r="B760" i="3" s="1"/>
  <c r="L759" i="3"/>
  <c r="U759" i="3" l="1"/>
  <c r="Y758" i="3"/>
  <c r="AA760" i="3"/>
  <c r="AC760" i="3"/>
  <c r="Z760" i="3"/>
  <c r="P760" i="3"/>
  <c r="Q760" i="3" s="1"/>
  <c r="R760" i="3" s="1"/>
  <c r="S760" i="3" s="1"/>
  <c r="T760" i="3" l="1"/>
  <c r="E760" i="3" s="1"/>
  <c r="H760" i="3" s="1"/>
  <c r="AH760" i="3" l="1"/>
  <c r="AG760" i="3"/>
  <c r="D760" i="3"/>
  <c r="G760" i="3" s="1"/>
  <c r="K760" i="3"/>
  <c r="AE760" i="3" s="1"/>
  <c r="F760" i="3" l="1"/>
  <c r="I760" i="3"/>
  <c r="J760" i="3"/>
  <c r="AD760" i="3" s="1"/>
  <c r="M760" i="3"/>
  <c r="N760" i="3" s="1"/>
  <c r="V760" i="3"/>
  <c r="A761" i="3"/>
  <c r="B761" i="3" s="1"/>
  <c r="W760" i="3" l="1"/>
  <c r="L760" i="3"/>
  <c r="P761" i="3"/>
  <c r="Q761" i="3" s="1"/>
  <c r="R761" i="3" s="1"/>
  <c r="S761" i="3" s="1"/>
  <c r="Z761" i="3"/>
  <c r="AA761" i="3"/>
  <c r="AC761" i="3"/>
  <c r="T761" i="3" l="1"/>
  <c r="U760" i="3"/>
  <c r="Y759" i="3"/>
  <c r="D761" i="3" l="1"/>
  <c r="G761" i="3" s="1"/>
  <c r="AG761" i="3"/>
  <c r="AH761" i="3"/>
  <c r="E761" i="3"/>
  <c r="H761" i="3" s="1"/>
  <c r="F761" i="3" l="1"/>
  <c r="I761" i="3"/>
  <c r="J761" i="3"/>
  <c r="AD761" i="3" s="1"/>
  <c r="M761" i="3"/>
  <c r="N761" i="3" s="1"/>
  <c r="K761" i="3"/>
  <c r="AE761" i="3" s="1"/>
  <c r="V761" i="3" l="1"/>
  <c r="W761" i="3" s="1"/>
  <c r="A762" i="3"/>
  <c r="B762" i="3" s="1"/>
  <c r="L761" i="3"/>
  <c r="U761" i="3" l="1"/>
  <c r="Y760" i="3"/>
  <c r="AA762" i="3"/>
  <c r="Z762" i="3"/>
  <c r="AC762" i="3"/>
  <c r="P762" i="3"/>
  <c r="Q762" i="3" s="1"/>
  <c r="R762" i="3" s="1"/>
  <c r="S762" i="3" s="1"/>
  <c r="T762" i="3" l="1"/>
  <c r="D762" i="3" s="1"/>
  <c r="E762" i="3" l="1"/>
  <c r="H762" i="3" s="1"/>
  <c r="K762" i="3" s="1"/>
  <c r="AE762" i="3" s="1"/>
  <c r="AH762" i="3"/>
  <c r="AG762" i="3"/>
  <c r="G762" i="3"/>
  <c r="F762" i="3" l="1"/>
  <c r="I762" i="3"/>
  <c r="J762" i="3"/>
  <c r="AD762" i="3" s="1"/>
  <c r="M762" i="3"/>
  <c r="N762" i="3" s="1"/>
  <c r="V762" i="3"/>
  <c r="A763" i="3"/>
  <c r="B763" i="3" s="1"/>
  <c r="W762" i="3" l="1"/>
  <c r="L762" i="3"/>
  <c r="AC763" i="3"/>
  <c r="Z763" i="3"/>
  <c r="AA763" i="3"/>
  <c r="P763" i="3"/>
  <c r="Q763" i="3" s="1"/>
  <c r="R763" i="3" s="1"/>
  <c r="S763" i="3" s="1"/>
  <c r="U762" i="3" l="1"/>
  <c r="Y761" i="3"/>
  <c r="T763" i="3"/>
  <c r="D763" i="3" l="1"/>
  <c r="G763" i="3" s="1"/>
  <c r="AG763" i="3"/>
  <c r="AH763" i="3"/>
  <c r="E763" i="3"/>
  <c r="H763" i="3" s="1"/>
  <c r="K763" i="3" s="1"/>
  <c r="AE763" i="3" s="1"/>
  <c r="F763" i="3" l="1"/>
  <c r="I763" i="3"/>
  <c r="J763" i="3"/>
  <c r="AD763" i="3" s="1"/>
  <c r="M763" i="3"/>
  <c r="N763" i="3" s="1"/>
  <c r="V763" i="3"/>
  <c r="A764" i="3"/>
  <c r="B764" i="3" s="1"/>
  <c r="W763" i="3" l="1"/>
  <c r="L763" i="3"/>
  <c r="Z764" i="3"/>
  <c r="P764" i="3"/>
  <c r="Q764" i="3" s="1"/>
  <c r="R764" i="3" s="1"/>
  <c r="S764" i="3" s="1"/>
  <c r="AC764" i="3"/>
  <c r="AA764" i="3"/>
  <c r="U763" i="3" l="1"/>
  <c r="Y762" i="3"/>
  <c r="T764" i="3"/>
  <c r="E764" i="3" l="1"/>
  <c r="H764" i="3" s="1"/>
  <c r="K764" i="3" s="1"/>
  <c r="AE764" i="3" s="1"/>
  <c r="AG764" i="3"/>
  <c r="D764" i="3"/>
  <c r="AH764" i="3"/>
  <c r="F764" i="3" l="1"/>
  <c r="G764" i="3"/>
  <c r="V764" i="3"/>
  <c r="A765" i="3"/>
  <c r="B765" i="3" s="1"/>
  <c r="P765" i="3" l="1"/>
  <c r="Q765" i="3" s="1"/>
  <c r="R765" i="3" s="1"/>
  <c r="S765" i="3" s="1"/>
  <c r="Z765" i="3"/>
  <c r="AA765" i="3"/>
  <c r="AC765" i="3"/>
  <c r="I764" i="3"/>
  <c r="W764" i="3" s="1"/>
  <c r="J764" i="3"/>
  <c r="AD764" i="3" s="1"/>
  <c r="M764" i="3"/>
  <c r="N764" i="3" s="1"/>
  <c r="T765" i="3" l="1"/>
  <c r="L764" i="3"/>
  <c r="AG765" i="3" l="1"/>
  <c r="AH765" i="3"/>
  <c r="U764" i="3"/>
  <c r="D765" i="3" s="1"/>
  <c r="Y763" i="3"/>
  <c r="E765" i="3" l="1"/>
  <c r="H765" i="3" s="1"/>
  <c r="K765" i="3" s="1"/>
  <c r="AE765" i="3" s="1"/>
  <c r="G765" i="3"/>
  <c r="F765" i="3" l="1"/>
  <c r="I765" i="3"/>
  <c r="J765" i="3"/>
  <c r="AD765" i="3" s="1"/>
  <c r="M765" i="3"/>
  <c r="N765" i="3" s="1"/>
  <c r="V765" i="3"/>
  <c r="A766" i="3"/>
  <c r="B766" i="3" s="1"/>
  <c r="W765" i="3" l="1"/>
  <c r="L765" i="3"/>
  <c r="P766" i="3"/>
  <c r="Q766" i="3" s="1"/>
  <c r="R766" i="3" s="1"/>
  <c r="S766" i="3" s="1"/>
  <c r="AA766" i="3"/>
  <c r="Z766" i="3"/>
  <c r="AC766" i="3"/>
  <c r="U765" i="3" l="1"/>
  <c r="Y764" i="3"/>
  <c r="T766" i="3"/>
  <c r="E766" i="3" l="1"/>
  <c r="H766" i="3" s="1"/>
  <c r="K766" i="3" s="1"/>
  <c r="AE766" i="3" s="1"/>
  <c r="D766" i="3"/>
  <c r="AG766" i="3"/>
  <c r="AH766" i="3"/>
  <c r="V766" i="3" l="1"/>
  <c r="A767" i="3"/>
  <c r="B767" i="3" s="1"/>
  <c r="F766" i="3"/>
  <c r="G766" i="3"/>
  <c r="I766" i="3" l="1"/>
  <c r="W766" i="3" s="1"/>
  <c r="J766" i="3"/>
  <c r="AD766" i="3" s="1"/>
  <c r="M766" i="3"/>
  <c r="N766" i="3" s="1"/>
  <c r="P767" i="3"/>
  <c r="Q767" i="3" s="1"/>
  <c r="R767" i="3" s="1"/>
  <c r="S767" i="3" s="1"/>
  <c r="AC767" i="3"/>
  <c r="AA767" i="3"/>
  <c r="Z767" i="3"/>
  <c r="T767" i="3" l="1"/>
  <c r="L766" i="3"/>
  <c r="AH767" i="3" l="1"/>
  <c r="AG767" i="3"/>
  <c r="U766" i="3"/>
  <c r="D767" i="3" s="1"/>
  <c r="Y765" i="3"/>
  <c r="E767" i="3" l="1"/>
  <c r="H767" i="3" s="1"/>
  <c r="K767" i="3" s="1"/>
  <c r="AE767" i="3" s="1"/>
  <c r="G767" i="3"/>
  <c r="F767" i="3" l="1"/>
  <c r="I767" i="3"/>
  <c r="J767" i="3"/>
  <c r="AD767" i="3" s="1"/>
  <c r="M767" i="3"/>
  <c r="N767" i="3" s="1"/>
  <c r="V767" i="3"/>
  <c r="A768" i="3"/>
  <c r="B768" i="3" s="1"/>
  <c r="W767" i="3" l="1"/>
  <c r="L767" i="3"/>
  <c r="AC768" i="3"/>
  <c r="AA768" i="3"/>
  <c r="P768" i="3"/>
  <c r="Q768" i="3" s="1"/>
  <c r="R768" i="3" s="1"/>
  <c r="S768" i="3" s="1"/>
  <c r="Z768" i="3"/>
  <c r="T768" i="3" l="1"/>
  <c r="AG768" i="3" s="1"/>
  <c r="U767" i="3"/>
  <c r="Y766" i="3"/>
  <c r="D768" i="3" l="1"/>
  <c r="G768" i="3" s="1"/>
  <c r="AH768" i="3"/>
  <c r="E768" i="3"/>
  <c r="H768" i="3" s="1"/>
  <c r="K768" i="3" l="1"/>
  <c r="AE768" i="3" s="1"/>
  <c r="I768" i="3"/>
  <c r="J768" i="3"/>
  <c r="AD768" i="3" s="1"/>
  <c r="M768" i="3"/>
  <c r="N768" i="3" s="1"/>
  <c r="F768" i="3"/>
  <c r="L768" i="3" l="1"/>
  <c r="V768" i="3"/>
  <c r="W768" i="3" s="1"/>
  <c r="A769" i="3"/>
  <c r="B769" i="3" s="1"/>
  <c r="AC769" i="3" l="1"/>
  <c r="Z769" i="3"/>
  <c r="P769" i="3"/>
  <c r="Q769" i="3" s="1"/>
  <c r="R769" i="3" s="1"/>
  <c r="S769" i="3" s="1"/>
  <c r="AA769" i="3"/>
  <c r="U768" i="3"/>
  <c r="Y767" i="3"/>
  <c r="T769" i="3" l="1"/>
  <c r="AG769" i="3" l="1"/>
  <c r="D769" i="3"/>
  <c r="AH769" i="3"/>
  <c r="E769" i="3"/>
  <c r="H769" i="3" s="1"/>
  <c r="F769" i="3" l="1"/>
  <c r="G769" i="3"/>
  <c r="K769" i="3"/>
  <c r="AE769" i="3" s="1"/>
  <c r="V769" i="3" l="1"/>
  <c r="A770" i="3"/>
  <c r="B770" i="3" s="1"/>
  <c r="I769" i="3"/>
  <c r="J769" i="3"/>
  <c r="AD769" i="3" s="1"/>
  <c r="M769" i="3"/>
  <c r="N769" i="3" s="1"/>
  <c r="W769" i="3" l="1"/>
  <c r="L769" i="3"/>
  <c r="AC770" i="3"/>
  <c r="P770" i="3"/>
  <c r="Q770" i="3" s="1"/>
  <c r="R770" i="3" s="1"/>
  <c r="S770" i="3" s="1"/>
  <c r="Z770" i="3"/>
  <c r="AA770" i="3"/>
  <c r="U769" i="3" l="1"/>
  <c r="Y768" i="3"/>
  <c r="T770" i="3"/>
  <c r="AG770" i="3" s="1"/>
  <c r="E770" i="3" l="1"/>
  <c r="H770" i="3" s="1"/>
  <c r="K770" i="3" s="1"/>
  <c r="AE770" i="3" s="1"/>
  <c r="D770" i="3"/>
  <c r="AH770" i="3"/>
  <c r="F770" i="3" l="1"/>
  <c r="G770" i="3"/>
  <c r="M770" i="3" s="1"/>
  <c r="N770" i="3" s="1"/>
  <c r="V770" i="3"/>
  <c r="A771" i="3"/>
  <c r="B771" i="3" s="1"/>
  <c r="I770" i="3" l="1"/>
  <c r="W770" i="3" s="1"/>
  <c r="J770" i="3"/>
  <c r="AA771" i="3"/>
  <c r="AC771" i="3"/>
  <c r="P771" i="3"/>
  <c r="Q771" i="3" s="1"/>
  <c r="R771" i="3" s="1"/>
  <c r="S771" i="3" s="1"/>
  <c r="Z771" i="3"/>
  <c r="L770" i="3" l="1"/>
  <c r="U770" i="3" s="1"/>
  <c r="AD770" i="3"/>
  <c r="T771" i="3"/>
  <c r="AH771" i="3" l="1"/>
  <c r="Y769" i="3"/>
  <c r="E771" i="3"/>
  <c r="H771" i="3" s="1"/>
  <c r="AG771" i="3"/>
  <c r="D771" i="3"/>
  <c r="K771" i="3" l="1"/>
  <c r="AE771" i="3" s="1"/>
  <c r="F771" i="3"/>
  <c r="G771" i="3"/>
  <c r="V771" i="3" l="1"/>
  <c r="A772" i="3"/>
  <c r="B772" i="3" s="1"/>
  <c r="I771" i="3"/>
  <c r="J771" i="3"/>
  <c r="AD771" i="3" s="1"/>
  <c r="M771" i="3"/>
  <c r="N771" i="3" s="1"/>
  <c r="L771" i="3" l="1"/>
  <c r="W771" i="3"/>
  <c r="AA772" i="3"/>
  <c r="Z772" i="3"/>
  <c r="AC772" i="3"/>
  <c r="P772" i="3"/>
  <c r="Q772" i="3" s="1"/>
  <c r="R772" i="3" s="1"/>
  <c r="S772" i="3" s="1"/>
  <c r="U771" i="3" l="1"/>
  <c r="Y770" i="3"/>
  <c r="T772" i="3"/>
  <c r="E772" i="3" l="1"/>
  <c r="H772" i="3" s="1"/>
  <c r="K772" i="3" s="1"/>
  <c r="AE772" i="3" s="1"/>
  <c r="D772" i="3"/>
  <c r="G772" i="3" s="1"/>
  <c r="AG772" i="3"/>
  <c r="AH772" i="3"/>
  <c r="F772" i="3" l="1"/>
  <c r="V772" i="3"/>
  <c r="A773" i="3"/>
  <c r="B773" i="3" s="1"/>
  <c r="I772" i="3"/>
  <c r="J772" i="3"/>
  <c r="AD772" i="3" s="1"/>
  <c r="M772" i="3"/>
  <c r="N772" i="3" s="1"/>
  <c r="W772" i="3" l="1"/>
  <c r="L772" i="3"/>
  <c r="AA773" i="3"/>
  <c r="P773" i="3"/>
  <c r="Q773" i="3" s="1"/>
  <c r="R773" i="3" s="1"/>
  <c r="S773" i="3" s="1"/>
  <c r="Z773" i="3"/>
  <c r="AC773" i="3"/>
  <c r="U772" i="3" l="1"/>
  <c r="Y771" i="3"/>
  <c r="T773" i="3"/>
  <c r="AG773" i="3" s="1"/>
  <c r="D773" i="3" l="1"/>
  <c r="E773" i="3"/>
  <c r="H773" i="3" s="1"/>
  <c r="K773" i="3" s="1"/>
  <c r="AE773" i="3" s="1"/>
  <c r="AH773" i="3"/>
  <c r="F773" i="3" l="1"/>
  <c r="G773" i="3"/>
  <c r="M773" i="3" s="1"/>
  <c r="N773" i="3" s="1"/>
  <c r="V773" i="3"/>
  <c r="A774" i="3"/>
  <c r="B774" i="3" s="1"/>
  <c r="I773" i="3" l="1"/>
  <c r="W773" i="3" s="1"/>
  <c r="J773" i="3"/>
  <c r="AC774" i="3"/>
  <c r="P774" i="3"/>
  <c r="Q774" i="3" s="1"/>
  <c r="R774" i="3" s="1"/>
  <c r="S774" i="3" s="1"/>
  <c r="AA774" i="3"/>
  <c r="Z774" i="3"/>
  <c r="L773" i="3" l="1"/>
  <c r="Y772" i="3" s="1"/>
  <c r="AD773" i="3"/>
  <c r="T774" i="3"/>
  <c r="AG774" i="3" l="1"/>
  <c r="U773" i="3"/>
  <c r="E774" i="3" s="1"/>
  <c r="H774" i="3" s="1"/>
  <c r="K774" i="3" s="1"/>
  <c r="AE774" i="3" s="1"/>
  <c r="AH774" i="3"/>
  <c r="D774" i="3" l="1"/>
  <c r="F774" i="3" s="1"/>
  <c r="V774" i="3"/>
  <c r="A775" i="3"/>
  <c r="B775" i="3" s="1"/>
  <c r="G774" i="3" l="1"/>
  <c r="M774" i="3" s="1"/>
  <c r="N774" i="3" s="1"/>
  <c r="J774" i="3"/>
  <c r="P775" i="3"/>
  <c r="Q775" i="3" s="1"/>
  <c r="R775" i="3" s="1"/>
  <c r="S775" i="3" s="1"/>
  <c r="Z775" i="3"/>
  <c r="AD775" i="3"/>
  <c r="AA775" i="3"/>
  <c r="AC775" i="3"/>
  <c r="I774" i="3" l="1"/>
  <c r="W774" i="3" s="1"/>
  <c r="L774" i="3"/>
  <c r="Y773" i="3" s="1"/>
  <c r="AD774" i="3"/>
  <c r="T775" i="3"/>
  <c r="U774" i="3" l="1"/>
  <c r="D775" i="3" s="1"/>
  <c r="AG775" i="3"/>
  <c r="AH775" i="3"/>
  <c r="E775" i="3" l="1"/>
  <c r="H775" i="3" s="1"/>
  <c r="K775" i="3" s="1"/>
  <c r="AE775" i="3" s="1"/>
  <c r="G775" i="3"/>
  <c r="M775" i="3" l="1"/>
  <c r="N775" i="3" s="1"/>
  <c r="A776" i="3"/>
  <c r="B776" i="3" s="1"/>
  <c r="AD776" i="3" s="1"/>
  <c r="V775" i="3"/>
  <c r="F775" i="3"/>
  <c r="I775" i="3"/>
  <c r="J775" i="3"/>
  <c r="L775" i="3" s="1"/>
  <c r="W775" i="3" l="1"/>
  <c r="P776" i="3"/>
  <c r="Q776" i="3" s="1"/>
  <c r="R776" i="3" s="1"/>
  <c r="S776" i="3" s="1"/>
  <c r="T776" i="3" s="1"/>
  <c r="AA776" i="3"/>
  <c r="AC776" i="3"/>
  <c r="Z776" i="3"/>
  <c r="U775" i="3"/>
  <c r="Y774" i="3"/>
  <c r="AG776" i="3" l="1"/>
  <c r="AH776" i="3"/>
  <c r="E776" i="3"/>
  <c r="H776" i="3" s="1"/>
  <c r="K776" i="3" s="1"/>
  <c r="AE776" i="3" s="1"/>
  <c r="D776" i="3"/>
  <c r="G776" i="3" s="1"/>
  <c r="F776" i="3" l="1"/>
  <c r="I776" i="3"/>
  <c r="J776" i="3"/>
  <c r="M776" i="3"/>
  <c r="N776" i="3" s="1"/>
  <c r="V776" i="3"/>
  <c r="A777" i="3"/>
  <c r="B777" i="3" s="1"/>
  <c r="W776" i="3" l="1"/>
  <c r="L776" i="3"/>
  <c r="Z777" i="3"/>
  <c r="AA777" i="3"/>
  <c r="P777" i="3"/>
  <c r="Q777" i="3" s="1"/>
  <c r="R777" i="3" s="1"/>
  <c r="S777" i="3" s="1"/>
  <c r="AD777" i="3"/>
  <c r="AC777" i="3"/>
  <c r="U776" i="3" l="1"/>
  <c r="Y775" i="3"/>
  <c r="T777" i="3"/>
  <c r="AH777" i="3" s="1"/>
  <c r="E777" i="3" l="1"/>
  <c r="H777" i="3" s="1"/>
  <c r="D777" i="3"/>
  <c r="AG777" i="3"/>
  <c r="K777" i="3" l="1"/>
  <c r="AE777" i="3" s="1"/>
  <c r="F777" i="3"/>
  <c r="G777" i="3"/>
  <c r="I777" i="3" l="1"/>
  <c r="J777" i="3"/>
  <c r="M777" i="3"/>
  <c r="N777" i="3" s="1"/>
  <c r="V777" i="3"/>
  <c r="A778" i="3"/>
  <c r="B778" i="3" s="1"/>
  <c r="L777" i="3" l="1"/>
  <c r="W777" i="3"/>
  <c r="P778" i="3"/>
  <c r="Q778" i="3" s="1"/>
  <c r="R778" i="3" s="1"/>
  <c r="S778" i="3" s="1"/>
  <c r="Z778" i="3"/>
  <c r="AA778" i="3"/>
  <c r="AC778" i="3"/>
  <c r="U777" i="3" l="1"/>
  <c r="Y776" i="3"/>
  <c r="T778" i="3"/>
  <c r="AH778" i="3" s="1"/>
  <c r="E778" i="3" l="1"/>
  <c r="H778" i="3" s="1"/>
  <c r="K778" i="3" s="1"/>
  <c r="AE778" i="3" s="1"/>
  <c r="AG778" i="3"/>
  <c r="D778" i="3"/>
  <c r="G778" i="3" s="1"/>
  <c r="F778" i="3" l="1"/>
  <c r="I778" i="3"/>
  <c r="J778" i="3"/>
  <c r="AD778" i="3" s="1"/>
  <c r="M778" i="3"/>
  <c r="N778" i="3" s="1"/>
  <c r="V778" i="3"/>
  <c r="A779" i="3"/>
  <c r="B779" i="3" s="1"/>
  <c r="W778" i="3" l="1"/>
  <c r="L778" i="3"/>
  <c r="P779" i="3"/>
  <c r="Q779" i="3" s="1"/>
  <c r="R779" i="3" s="1"/>
  <c r="S779" i="3" s="1"/>
  <c r="AA779" i="3"/>
  <c r="AC779" i="3"/>
  <c r="AD779" i="3"/>
  <c r="Z779" i="3"/>
  <c r="U778" i="3" l="1"/>
  <c r="Y777" i="3"/>
  <c r="T779" i="3"/>
  <c r="E779" i="3" l="1"/>
  <c r="H779" i="3" s="1"/>
  <c r="K779" i="3" s="1"/>
  <c r="AE779" i="3" s="1"/>
  <c r="AG779" i="3"/>
  <c r="AH779" i="3"/>
  <c r="D779" i="3"/>
  <c r="G779" i="3" s="1"/>
  <c r="F779" i="3" l="1"/>
  <c r="I779" i="3"/>
  <c r="J779" i="3"/>
  <c r="M779" i="3"/>
  <c r="N779" i="3" s="1"/>
  <c r="V779" i="3"/>
  <c r="A780" i="3"/>
  <c r="B780" i="3" s="1"/>
  <c r="W779" i="3" l="1"/>
  <c r="L779" i="3"/>
  <c r="P780" i="3"/>
  <c r="Q780" i="3" s="1"/>
  <c r="R780" i="3" s="1"/>
  <c r="S780" i="3" s="1"/>
  <c r="AD780" i="3"/>
  <c r="AA780" i="3"/>
  <c r="Z780" i="3"/>
  <c r="AC780" i="3"/>
  <c r="U779" i="3" l="1"/>
  <c r="Y778" i="3"/>
  <c r="T780" i="3"/>
  <c r="D780" i="3" l="1"/>
  <c r="G780" i="3" s="1"/>
  <c r="AH780" i="3"/>
  <c r="E780" i="3"/>
  <c r="H780" i="3" s="1"/>
  <c r="K780" i="3" s="1"/>
  <c r="AE780" i="3" s="1"/>
  <c r="AG780" i="3"/>
  <c r="F780" i="3" l="1"/>
  <c r="I780" i="3"/>
  <c r="J780" i="3"/>
  <c r="M780" i="3"/>
  <c r="N780" i="3" s="1"/>
  <c r="V780" i="3"/>
  <c r="A781" i="3"/>
  <c r="B781" i="3" s="1"/>
  <c r="W780" i="3" l="1"/>
  <c r="L780" i="3"/>
  <c r="P781" i="3"/>
  <c r="Q781" i="3" s="1"/>
  <c r="R781" i="3" s="1"/>
  <c r="S781" i="3" s="1"/>
  <c r="AD781" i="3"/>
  <c r="Z781" i="3"/>
  <c r="AA781" i="3"/>
  <c r="AC781" i="3"/>
  <c r="T781" i="3" l="1"/>
  <c r="U780" i="3"/>
  <c r="Y779" i="3"/>
  <c r="E781" i="3" l="1"/>
  <c r="H781" i="3" s="1"/>
  <c r="K781" i="3" s="1"/>
  <c r="AE781" i="3" s="1"/>
  <c r="AG781" i="3"/>
  <c r="AH781" i="3"/>
  <c r="D781" i="3"/>
  <c r="F781" i="3" l="1"/>
  <c r="G781" i="3"/>
  <c r="V781" i="3"/>
  <c r="A782" i="3"/>
  <c r="B782" i="3" s="1"/>
  <c r="P782" i="3" l="1"/>
  <c r="Q782" i="3" s="1"/>
  <c r="R782" i="3" s="1"/>
  <c r="S782" i="3" s="1"/>
  <c r="AC782" i="3"/>
  <c r="AD782" i="3"/>
  <c r="AA782" i="3"/>
  <c r="Z782" i="3"/>
  <c r="I781" i="3"/>
  <c r="W781" i="3" s="1"/>
  <c r="J781" i="3"/>
  <c r="M781" i="3"/>
  <c r="N781" i="3" s="1"/>
  <c r="T782" i="3" l="1"/>
  <c r="L781" i="3"/>
  <c r="U781" i="3" l="1"/>
  <c r="D782" i="3" s="1"/>
  <c r="AH782" i="3"/>
  <c r="AG782" i="3"/>
  <c r="Y780" i="3"/>
  <c r="E782" i="3" l="1"/>
  <c r="H782" i="3" s="1"/>
  <c r="K782" i="3" s="1"/>
  <c r="AE782" i="3" s="1"/>
  <c r="G782" i="3"/>
  <c r="F782" i="3" l="1"/>
  <c r="I782" i="3"/>
  <c r="J782" i="3"/>
  <c r="M782" i="3"/>
  <c r="N782" i="3" s="1"/>
  <c r="V782" i="3"/>
  <c r="A783" i="3"/>
  <c r="B783" i="3" s="1"/>
  <c r="W782" i="3" l="1"/>
  <c r="L782" i="3"/>
  <c r="AA783" i="3"/>
  <c r="Z783" i="3"/>
  <c r="P783" i="3"/>
  <c r="Q783" i="3" s="1"/>
  <c r="R783" i="3" s="1"/>
  <c r="S783" i="3" s="1"/>
  <c r="AD783" i="3"/>
  <c r="AC783" i="3"/>
  <c r="U782" i="3" l="1"/>
  <c r="Y781" i="3"/>
  <c r="T783" i="3"/>
  <c r="AH783" i="3" s="1"/>
  <c r="AG783" i="3" l="1"/>
  <c r="D783" i="3"/>
  <c r="G783" i="3" s="1"/>
  <c r="E783" i="3"/>
  <c r="H783" i="3" s="1"/>
  <c r="K783" i="3" s="1"/>
  <c r="AE783" i="3" s="1"/>
  <c r="F783" i="3" l="1"/>
  <c r="I783" i="3"/>
  <c r="J783" i="3"/>
  <c r="M783" i="3"/>
  <c r="N783" i="3" s="1"/>
  <c r="V783" i="3"/>
  <c r="A784" i="3"/>
  <c r="B784" i="3" s="1"/>
  <c r="W783" i="3" l="1"/>
  <c r="L783" i="3"/>
  <c r="AC784" i="3"/>
  <c r="Z784" i="3"/>
  <c r="P784" i="3"/>
  <c r="Q784" i="3" s="1"/>
  <c r="R784" i="3" s="1"/>
  <c r="S784" i="3" s="1"/>
  <c r="AA784" i="3"/>
  <c r="T784" i="3" l="1"/>
  <c r="AG784" i="3" s="1"/>
  <c r="U783" i="3"/>
  <c r="Y782" i="3"/>
  <c r="E784" i="3" l="1"/>
  <c r="H784" i="3" s="1"/>
  <c r="AH784" i="3"/>
  <c r="D784" i="3"/>
  <c r="K784" i="3" l="1"/>
  <c r="AE784" i="3" s="1"/>
  <c r="F784" i="3"/>
  <c r="G784" i="3"/>
  <c r="V784" i="3" l="1"/>
  <c r="A785" i="3"/>
  <c r="B785" i="3" s="1"/>
  <c r="I784" i="3"/>
  <c r="J784" i="3"/>
  <c r="AD784" i="3" s="1"/>
  <c r="M784" i="3"/>
  <c r="N784" i="3" s="1"/>
  <c r="W784" i="3" l="1"/>
  <c r="L784" i="3"/>
  <c r="AA785" i="3"/>
  <c r="P785" i="3"/>
  <c r="Q785" i="3" s="1"/>
  <c r="R785" i="3" s="1"/>
  <c r="S785" i="3" s="1"/>
  <c r="AC785" i="3"/>
  <c r="Z785" i="3"/>
  <c r="U784" i="3" l="1"/>
  <c r="Y783" i="3"/>
  <c r="T785" i="3"/>
  <c r="AH785" i="3" s="1"/>
  <c r="E785" i="3" l="1"/>
  <c r="H785" i="3" s="1"/>
  <c r="AG785" i="3"/>
  <c r="D785" i="3"/>
  <c r="K785" i="3" l="1"/>
  <c r="AE785" i="3" s="1"/>
  <c r="F785" i="3"/>
  <c r="G785" i="3"/>
  <c r="I785" i="3" l="1"/>
  <c r="J785" i="3"/>
  <c r="AD785" i="3" s="1"/>
  <c r="M785" i="3"/>
  <c r="N785" i="3" s="1"/>
  <c r="V785" i="3"/>
  <c r="A786" i="3"/>
  <c r="B786" i="3" s="1"/>
  <c r="W785" i="3" l="1"/>
  <c r="L785" i="3"/>
  <c r="Z786" i="3"/>
  <c r="AA786" i="3"/>
  <c r="P786" i="3"/>
  <c r="Q786" i="3" s="1"/>
  <c r="R786" i="3" s="1"/>
  <c r="S786" i="3" s="1"/>
  <c r="AC786" i="3"/>
  <c r="U785" i="3" l="1"/>
  <c r="Y784" i="3"/>
  <c r="T786" i="3"/>
  <c r="E786" i="3" l="1"/>
  <c r="H786" i="3" s="1"/>
  <c r="K786" i="3" s="1"/>
  <c r="AE786" i="3" s="1"/>
  <c r="AG786" i="3"/>
  <c r="D786" i="3"/>
  <c r="G786" i="3" s="1"/>
  <c r="AH786" i="3"/>
  <c r="F786" i="3" l="1"/>
  <c r="I786" i="3"/>
  <c r="J786" i="3"/>
  <c r="AD786" i="3" s="1"/>
  <c r="M786" i="3"/>
  <c r="N786" i="3" s="1"/>
  <c r="V786" i="3"/>
  <c r="A787" i="3"/>
  <c r="B787" i="3" s="1"/>
  <c r="L786" i="3" l="1"/>
  <c r="W786" i="3"/>
  <c r="AC787" i="3"/>
  <c r="P787" i="3"/>
  <c r="Q787" i="3" s="1"/>
  <c r="R787" i="3" s="1"/>
  <c r="S787" i="3" s="1"/>
  <c r="Z787" i="3"/>
  <c r="AA787" i="3"/>
  <c r="U786" i="3" l="1"/>
  <c r="Y785" i="3"/>
  <c r="T787" i="3"/>
  <c r="D787" i="3" l="1"/>
  <c r="G787" i="3" s="1"/>
  <c r="AH787" i="3"/>
  <c r="E787" i="3"/>
  <c r="H787" i="3" s="1"/>
  <c r="AG787" i="3"/>
  <c r="F787" i="3" l="1"/>
  <c r="I787" i="3"/>
  <c r="J787" i="3"/>
  <c r="AD787" i="3" s="1"/>
  <c r="M787" i="3"/>
  <c r="N787" i="3" s="1"/>
  <c r="K787" i="3"/>
  <c r="AE787" i="3" s="1"/>
  <c r="V787" i="3" l="1"/>
  <c r="W787" i="3" s="1"/>
  <c r="A788" i="3"/>
  <c r="B788" i="3" s="1"/>
  <c r="L787" i="3"/>
  <c r="U787" i="3" l="1"/>
  <c r="Y786" i="3"/>
  <c r="AC788" i="3"/>
  <c r="Z788" i="3"/>
  <c r="AA788" i="3"/>
  <c r="P788" i="3"/>
  <c r="Q788" i="3" s="1"/>
  <c r="R788" i="3" s="1"/>
  <c r="S788" i="3" s="1"/>
  <c r="T788" i="3" l="1"/>
  <c r="E788" i="3" s="1"/>
  <c r="H788" i="3" s="1"/>
  <c r="D788" i="3" l="1"/>
  <c r="F788" i="3" s="1"/>
  <c r="AG788" i="3"/>
  <c r="AH788" i="3"/>
  <c r="K788" i="3"/>
  <c r="AE788" i="3" s="1"/>
  <c r="G788" i="3" l="1"/>
  <c r="I788" i="3" s="1"/>
  <c r="V788" i="3"/>
  <c r="A789" i="3"/>
  <c r="B789" i="3" s="1"/>
  <c r="M788" i="3" l="1"/>
  <c r="N788" i="3" s="1"/>
  <c r="J788" i="3"/>
  <c r="W788" i="3"/>
  <c r="P789" i="3"/>
  <c r="Q789" i="3" s="1"/>
  <c r="R789" i="3" s="1"/>
  <c r="S789" i="3" s="1"/>
  <c r="AC789" i="3"/>
  <c r="AA789" i="3"/>
  <c r="Z789" i="3"/>
  <c r="L788" i="3" l="1"/>
  <c r="U788" i="3" s="1"/>
  <c r="AD788" i="3"/>
  <c r="T789" i="3"/>
  <c r="Y787" i="3" l="1"/>
  <c r="D789" i="3"/>
  <c r="G789" i="3" s="1"/>
  <c r="E789" i="3"/>
  <c r="H789" i="3" s="1"/>
  <c r="AH789" i="3"/>
  <c r="AG789" i="3"/>
  <c r="F789" i="3" l="1"/>
  <c r="I789" i="3"/>
  <c r="J789" i="3"/>
  <c r="AD789" i="3" s="1"/>
  <c r="M789" i="3"/>
  <c r="N789" i="3" s="1"/>
  <c r="K789" i="3"/>
  <c r="AE789" i="3" s="1"/>
  <c r="L789" i="3" l="1"/>
  <c r="V789" i="3"/>
  <c r="W789" i="3" s="1"/>
  <c r="A790" i="3"/>
  <c r="B790" i="3" s="1"/>
  <c r="AA790" i="3" l="1"/>
  <c r="AC790" i="3"/>
  <c r="Z790" i="3"/>
  <c r="P790" i="3"/>
  <c r="Q790" i="3" s="1"/>
  <c r="R790" i="3" s="1"/>
  <c r="S790" i="3" s="1"/>
  <c r="U789" i="3"/>
  <c r="Y788" i="3"/>
  <c r="T790" i="3" l="1"/>
  <c r="D790" i="3" s="1"/>
  <c r="AG790" i="3" l="1"/>
  <c r="G790" i="3"/>
  <c r="AH790" i="3"/>
  <c r="E790" i="3"/>
  <c r="H790" i="3" s="1"/>
  <c r="F790" i="3" l="1"/>
  <c r="I790" i="3"/>
  <c r="J790" i="3"/>
  <c r="AD790" i="3" s="1"/>
  <c r="M790" i="3"/>
  <c r="N790" i="3" s="1"/>
  <c r="K790" i="3"/>
  <c r="AE790" i="3" s="1"/>
  <c r="V790" i="3" l="1"/>
  <c r="W790" i="3" s="1"/>
  <c r="A791" i="3"/>
  <c r="B791" i="3" s="1"/>
  <c r="L790" i="3"/>
  <c r="U790" i="3" l="1"/>
  <c r="Y789" i="3"/>
  <c r="P791" i="3"/>
  <c r="Q791" i="3" s="1"/>
  <c r="R791" i="3" s="1"/>
  <c r="S791" i="3" s="1"/>
  <c r="AA791" i="3"/>
  <c r="AC791" i="3"/>
  <c r="Z791" i="3"/>
  <c r="T791" i="3" l="1"/>
  <c r="AG791" i="3" s="1"/>
  <c r="E791" i="3" l="1"/>
  <c r="H791" i="3" s="1"/>
  <c r="K791" i="3" s="1"/>
  <c r="AE791" i="3" s="1"/>
  <c r="D791" i="3"/>
  <c r="G791" i="3" s="1"/>
  <c r="AH791" i="3"/>
  <c r="F791" i="3" l="1"/>
  <c r="I791" i="3"/>
  <c r="J791" i="3"/>
  <c r="AD791" i="3" s="1"/>
  <c r="M791" i="3"/>
  <c r="N791" i="3" s="1"/>
  <c r="V791" i="3"/>
  <c r="A792" i="3"/>
  <c r="B792" i="3" s="1"/>
  <c r="W791" i="3" l="1"/>
  <c r="L791" i="3"/>
  <c r="P792" i="3"/>
  <c r="Q792" i="3" s="1"/>
  <c r="R792" i="3" s="1"/>
  <c r="S792" i="3" s="1"/>
  <c r="AC792" i="3"/>
  <c r="Z792" i="3"/>
  <c r="AA792" i="3"/>
  <c r="U791" i="3" l="1"/>
  <c r="Y790" i="3"/>
  <c r="T792" i="3"/>
  <c r="AG792" i="3" s="1"/>
  <c r="AH792" i="3" l="1"/>
  <c r="D792" i="3"/>
  <c r="E792" i="3"/>
  <c r="H792" i="3" s="1"/>
  <c r="F792" i="3" l="1"/>
  <c r="G792" i="3"/>
  <c r="K792" i="3"/>
  <c r="AE792" i="3" s="1"/>
  <c r="I792" i="3" l="1"/>
  <c r="J792" i="3"/>
  <c r="AD792" i="3" s="1"/>
  <c r="M792" i="3"/>
  <c r="N792" i="3" s="1"/>
  <c r="V792" i="3"/>
  <c r="A793" i="3"/>
  <c r="B793" i="3" s="1"/>
  <c r="L792" i="3" l="1"/>
  <c r="W792" i="3"/>
  <c r="AC793" i="3"/>
  <c r="Z793" i="3"/>
  <c r="P793" i="3"/>
  <c r="Q793" i="3" s="1"/>
  <c r="R793" i="3" s="1"/>
  <c r="S793" i="3" s="1"/>
  <c r="AA793" i="3"/>
  <c r="T793" i="3" l="1"/>
  <c r="U792" i="3"/>
  <c r="Y791" i="3"/>
  <c r="E793" i="3" l="1"/>
  <c r="H793" i="3" s="1"/>
  <c r="K793" i="3" s="1"/>
  <c r="AE793" i="3" s="1"/>
  <c r="D793" i="3"/>
  <c r="AG793" i="3"/>
  <c r="AH793" i="3"/>
  <c r="F793" i="3" l="1"/>
  <c r="G793" i="3"/>
  <c r="M793" i="3" s="1"/>
  <c r="N793" i="3" s="1"/>
  <c r="V793" i="3"/>
  <c r="A794" i="3"/>
  <c r="B794" i="3" s="1"/>
  <c r="I793" i="3" l="1"/>
  <c r="W793" i="3" s="1"/>
  <c r="J793" i="3"/>
  <c r="Z794" i="3"/>
  <c r="AC794" i="3"/>
  <c r="P794" i="3"/>
  <c r="Q794" i="3" s="1"/>
  <c r="R794" i="3" s="1"/>
  <c r="S794" i="3" s="1"/>
  <c r="AA794" i="3"/>
  <c r="L793" i="3" l="1"/>
  <c r="Y792" i="3" s="1"/>
  <c r="AD793" i="3"/>
  <c r="T794" i="3"/>
  <c r="U793" i="3" l="1"/>
  <c r="D794" i="3" s="1"/>
  <c r="AH794" i="3"/>
  <c r="AG794" i="3"/>
  <c r="E794" i="3" l="1"/>
  <c r="H794" i="3" s="1"/>
  <c r="K794" i="3" s="1"/>
  <c r="AE794" i="3" s="1"/>
  <c r="G794" i="3"/>
  <c r="F794" i="3" l="1"/>
  <c r="I794" i="3"/>
  <c r="J794" i="3"/>
  <c r="AD794" i="3" s="1"/>
  <c r="M794" i="3"/>
  <c r="N794" i="3" s="1"/>
  <c r="V794" i="3"/>
  <c r="A795" i="3"/>
  <c r="B795" i="3" s="1"/>
  <c r="L794" i="3" l="1"/>
  <c r="W794" i="3"/>
  <c r="P795" i="3"/>
  <c r="Q795" i="3" s="1"/>
  <c r="R795" i="3" s="1"/>
  <c r="S795" i="3" s="1"/>
  <c r="AD795" i="3"/>
  <c r="Z795" i="3"/>
  <c r="AA795" i="3"/>
  <c r="AC795" i="3"/>
  <c r="T795" i="3" l="1"/>
  <c r="U794" i="3"/>
  <c r="Y793" i="3"/>
  <c r="D795" i="3" l="1"/>
  <c r="G795" i="3" s="1"/>
  <c r="E795" i="3"/>
  <c r="H795" i="3" s="1"/>
  <c r="K795" i="3" s="1"/>
  <c r="AE795" i="3" s="1"/>
  <c r="AH795" i="3"/>
  <c r="AG795" i="3"/>
  <c r="F795" i="3" l="1"/>
  <c r="I795" i="3"/>
  <c r="J795" i="3"/>
  <c r="M795" i="3"/>
  <c r="N795" i="3" s="1"/>
  <c r="V795" i="3"/>
  <c r="A796" i="3"/>
  <c r="B796" i="3" s="1"/>
  <c r="W795" i="3" l="1"/>
  <c r="L795" i="3"/>
  <c r="Z796" i="3"/>
  <c r="AA796" i="3"/>
  <c r="AD796" i="3"/>
  <c r="AC796" i="3"/>
  <c r="P796" i="3"/>
  <c r="Q796" i="3" s="1"/>
  <c r="R796" i="3" s="1"/>
  <c r="S796" i="3" s="1"/>
  <c r="T796" i="3" l="1"/>
  <c r="U795" i="3"/>
  <c r="Y794" i="3"/>
  <c r="E796" i="3" l="1"/>
  <c r="H796" i="3" s="1"/>
  <c r="K796" i="3" s="1"/>
  <c r="AE796" i="3" s="1"/>
  <c r="AH796" i="3"/>
  <c r="AG796" i="3"/>
  <c r="D796" i="3"/>
  <c r="F796" i="3" l="1"/>
  <c r="G796" i="3"/>
  <c r="V796" i="3"/>
  <c r="A797" i="3"/>
  <c r="B797" i="3" s="1"/>
  <c r="I796" i="3" l="1"/>
  <c r="W796" i="3" s="1"/>
  <c r="J796" i="3"/>
  <c r="M796" i="3"/>
  <c r="N796" i="3" s="1"/>
  <c r="P797" i="3"/>
  <c r="Q797" i="3" s="1"/>
  <c r="R797" i="3" s="1"/>
  <c r="S797" i="3" s="1"/>
  <c r="AA797" i="3"/>
  <c r="AC797" i="3"/>
  <c r="Z797" i="3"/>
  <c r="AD797" i="3"/>
  <c r="T797" i="3" l="1"/>
  <c r="L796" i="3"/>
  <c r="AH797" i="3" l="1"/>
  <c r="AG797" i="3"/>
  <c r="U796" i="3"/>
  <c r="E797" i="3" s="1"/>
  <c r="H797" i="3" s="1"/>
  <c r="Y795" i="3"/>
  <c r="D797" i="3" l="1"/>
  <c r="G797" i="3" s="1"/>
  <c r="K797" i="3"/>
  <c r="AE797" i="3" s="1"/>
  <c r="F797" i="3" l="1"/>
  <c r="I797" i="3"/>
  <c r="J797" i="3"/>
  <c r="M797" i="3"/>
  <c r="N797" i="3" s="1"/>
  <c r="V797" i="3"/>
  <c r="A798" i="3"/>
  <c r="B798" i="3" s="1"/>
  <c r="W797" i="3" l="1"/>
  <c r="L797" i="3"/>
  <c r="Z798" i="3"/>
  <c r="AA798" i="3"/>
  <c r="P798" i="3"/>
  <c r="Q798" i="3" s="1"/>
  <c r="R798" i="3" s="1"/>
  <c r="S798" i="3" s="1"/>
  <c r="AC798" i="3"/>
  <c r="T798" i="3" l="1"/>
  <c r="U797" i="3"/>
  <c r="Y796" i="3"/>
  <c r="E798" i="3" l="1"/>
  <c r="H798" i="3" s="1"/>
  <c r="K798" i="3" s="1"/>
  <c r="AE798" i="3" s="1"/>
  <c r="D798" i="3"/>
  <c r="G798" i="3" s="1"/>
  <c r="AH798" i="3"/>
  <c r="AG798" i="3"/>
  <c r="F798" i="3" l="1"/>
  <c r="I798" i="3"/>
  <c r="J798" i="3"/>
  <c r="AD798" i="3" s="1"/>
  <c r="M798" i="3"/>
  <c r="N798" i="3" s="1"/>
  <c r="V798" i="3"/>
  <c r="A799" i="3"/>
  <c r="B799" i="3" s="1"/>
  <c r="W798" i="3" l="1"/>
  <c r="L798" i="3"/>
  <c r="Z799" i="3"/>
  <c r="P799" i="3"/>
  <c r="Q799" i="3" s="1"/>
  <c r="R799" i="3" s="1"/>
  <c r="S799" i="3" s="1"/>
  <c r="AD799" i="3"/>
  <c r="AC799" i="3"/>
  <c r="AA799" i="3"/>
  <c r="T799" i="3" l="1"/>
  <c r="AH799" i="3" s="1"/>
  <c r="U798" i="3"/>
  <c r="Y797" i="3"/>
  <c r="AG799" i="3" l="1"/>
  <c r="E799" i="3"/>
  <c r="H799" i="3" s="1"/>
  <c r="D799" i="3"/>
  <c r="K799" i="3" l="1"/>
  <c r="AE799" i="3" s="1"/>
  <c r="F799" i="3"/>
  <c r="G799" i="3"/>
  <c r="V799" i="3" l="1"/>
  <c r="A800" i="3"/>
  <c r="B800" i="3" s="1"/>
  <c r="I799" i="3"/>
  <c r="J799" i="3"/>
  <c r="M799" i="3"/>
  <c r="N799" i="3" s="1"/>
  <c r="W799" i="3" l="1"/>
  <c r="L799" i="3"/>
  <c r="AC800" i="3"/>
  <c r="AA800" i="3"/>
  <c r="P800" i="3"/>
  <c r="Q800" i="3" s="1"/>
  <c r="R800" i="3" s="1"/>
  <c r="S800" i="3" s="1"/>
  <c r="AD800" i="3"/>
  <c r="Z800" i="3"/>
  <c r="U799" i="3" l="1"/>
  <c r="Y798" i="3"/>
  <c r="T800" i="3"/>
  <c r="E800" i="3" l="1"/>
  <c r="H800" i="3" s="1"/>
  <c r="K800" i="3" s="1"/>
  <c r="AE800" i="3" s="1"/>
  <c r="D800" i="3"/>
  <c r="AG800" i="3"/>
  <c r="AH800" i="3"/>
  <c r="V800" i="3" l="1"/>
  <c r="A801" i="3"/>
  <c r="B801" i="3" s="1"/>
  <c r="F800" i="3"/>
  <c r="G800" i="3"/>
  <c r="I800" i="3" l="1"/>
  <c r="W800" i="3" s="1"/>
  <c r="J800" i="3"/>
  <c r="M800" i="3"/>
  <c r="N800" i="3" s="1"/>
  <c r="AA801" i="3"/>
  <c r="AD801" i="3"/>
  <c r="Z801" i="3"/>
  <c r="P801" i="3"/>
  <c r="Q801" i="3" s="1"/>
  <c r="R801" i="3" s="1"/>
  <c r="S801" i="3" s="1"/>
  <c r="AC801" i="3"/>
  <c r="L800" i="3" l="1"/>
  <c r="T801" i="3"/>
  <c r="AG801" i="3" l="1"/>
  <c r="AH801" i="3"/>
  <c r="U800" i="3"/>
  <c r="E801" i="3" s="1"/>
  <c r="H801" i="3" s="1"/>
  <c r="Y799" i="3"/>
  <c r="D801" i="3" l="1"/>
  <c r="G801" i="3" s="1"/>
  <c r="K801" i="3"/>
  <c r="AE801" i="3" s="1"/>
  <c r="F801" i="3" l="1"/>
  <c r="I801" i="3"/>
  <c r="J801" i="3"/>
  <c r="M801" i="3"/>
  <c r="N801" i="3" s="1"/>
  <c r="V801" i="3"/>
  <c r="A802" i="3"/>
  <c r="B802" i="3" s="1"/>
  <c r="W801" i="3" l="1"/>
  <c r="L801" i="3"/>
  <c r="Z802" i="3"/>
  <c r="P802" i="3"/>
  <c r="Q802" i="3" s="1"/>
  <c r="R802" i="3" s="1"/>
  <c r="S802" i="3" s="1"/>
  <c r="AA802" i="3"/>
  <c r="AD802" i="3"/>
  <c r="AC802" i="3"/>
  <c r="U801" i="3" l="1"/>
  <c r="Y800" i="3"/>
  <c r="T802" i="3"/>
  <c r="AG802" i="3" s="1"/>
  <c r="E802" i="3" l="1"/>
  <c r="H802" i="3" s="1"/>
  <c r="D802" i="3"/>
  <c r="AH802" i="3"/>
  <c r="K802" i="3" l="1"/>
  <c r="AE802" i="3" s="1"/>
  <c r="F802" i="3"/>
  <c r="G802" i="3"/>
  <c r="I802" i="3" l="1"/>
  <c r="J802" i="3"/>
  <c r="M802" i="3"/>
  <c r="N802" i="3" s="1"/>
  <c r="V802" i="3"/>
  <c r="A803" i="3"/>
  <c r="B803" i="3" s="1"/>
  <c r="L802" i="3" l="1"/>
  <c r="W802" i="3"/>
  <c r="Z803" i="3"/>
  <c r="AD803" i="3"/>
  <c r="AA803" i="3"/>
  <c r="AC803" i="3"/>
  <c r="P803" i="3"/>
  <c r="Q803" i="3" s="1"/>
  <c r="R803" i="3" s="1"/>
  <c r="S803" i="3" s="1"/>
  <c r="U802" i="3" l="1"/>
  <c r="Y801" i="3"/>
  <c r="T803" i="3"/>
  <c r="AG803" i="3" s="1"/>
  <c r="AH803" i="3" l="1"/>
  <c r="D803" i="3"/>
  <c r="E803" i="3"/>
  <c r="H803" i="3" s="1"/>
  <c r="F803" i="3" l="1"/>
  <c r="G803" i="3"/>
  <c r="K803" i="3"/>
  <c r="AE803" i="3" s="1"/>
  <c r="V803" i="3" l="1"/>
  <c r="A804" i="3"/>
  <c r="B804" i="3" s="1"/>
  <c r="I803" i="3"/>
  <c r="J803" i="3"/>
  <c r="M803" i="3"/>
  <c r="N803" i="3" s="1"/>
  <c r="L803" i="3" l="1"/>
  <c r="W803" i="3"/>
  <c r="AC804" i="3"/>
  <c r="P804" i="3"/>
  <c r="Q804" i="3" s="1"/>
  <c r="R804" i="3" s="1"/>
  <c r="S804" i="3" s="1"/>
  <c r="AA804" i="3"/>
  <c r="Z804" i="3"/>
  <c r="U803" i="3" l="1"/>
  <c r="Y802" i="3"/>
  <c r="T804" i="3"/>
  <c r="AH804" i="3" s="1"/>
  <c r="D804" i="3" l="1"/>
  <c r="G804" i="3" s="1"/>
  <c r="AG804" i="3"/>
  <c r="E804" i="3"/>
  <c r="H804" i="3" s="1"/>
  <c r="K804" i="3" s="1"/>
  <c r="AE804" i="3" s="1"/>
  <c r="F804" i="3" l="1"/>
  <c r="I804" i="3"/>
  <c r="J804" i="3"/>
  <c r="AD804" i="3" s="1"/>
  <c r="M804" i="3"/>
  <c r="N804" i="3" s="1"/>
  <c r="V804" i="3"/>
  <c r="A805" i="3"/>
  <c r="B805" i="3" s="1"/>
  <c r="W804" i="3" l="1"/>
  <c r="L804" i="3"/>
  <c r="Z805" i="3"/>
  <c r="P805" i="3"/>
  <c r="Q805" i="3" s="1"/>
  <c r="R805" i="3" s="1"/>
  <c r="S805" i="3" s="1"/>
  <c r="AD805" i="3"/>
  <c r="AC805" i="3"/>
  <c r="AA805" i="3"/>
  <c r="T805" i="3" l="1"/>
  <c r="AH805" i="3" s="1"/>
  <c r="U804" i="3"/>
  <c r="Y803" i="3"/>
  <c r="E805" i="3" l="1"/>
  <c r="H805" i="3" s="1"/>
  <c r="AG805" i="3"/>
  <c r="D805" i="3"/>
  <c r="K805" i="3" l="1"/>
  <c r="AE805" i="3" s="1"/>
  <c r="F805" i="3"/>
  <c r="G805" i="3"/>
  <c r="I805" i="3" l="1"/>
  <c r="J805" i="3"/>
  <c r="M805" i="3"/>
  <c r="N805" i="3" s="1"/>
  <c r="V805" i="3"/>
  <c r="A806" i="3"/>
  <c r="B806" i="3" s="1"/>
  <c r="W805" i="3" l="1"/>
  <c r="L805" i="3"/>
  <c r="Z806" i="3"/>
  <c r="AA806" i="3"/>
  <c r="P806" i="3"/>
  <c r="Q806" i="3" s="1"/>
  <c r="R806" i="3" s="1"/>
  <c r="S806" i="3" s="1"/>
  <c r="AC806" i="3"/>
  <c r="AD806" i="3"/>
  <c r="T806" i="3" l="1"/>
  <c r="U805" i="3"/>
  <c r="Y804" i="3"/>
  <c r="D806" i="3" l="1"/>
  <c r="G806" i="3" s="1"/>
  <c r="AH806" i="3"/>
  <c r="AG806" i="3"/>
  <c r="E806" i="3"/>
  <c r="H806" i="3" s="1"/>
  <c r="K806" i="3" l="1"/>
  <c r="AE806" i="3" s="1"/>
  <c r="I806" i="3"/>
  <c r="J806" i="3"/>
  <c r="M806" i="3"/>
  <c r="N806" i="3" s="1"/>
  <c r="F806" i="3"/>
  <c r="L806" i="3" l="1"/>
  <c r="V806" i="3"/>
  <c r="W806" i="3" s="1"/>
  <c r="A807" i="3"/>
  <c r="B807" i="3" s="1"/>
  <c r="AC807" i="3" l="1"/>
  <c r="P807" i="3"/>
  <c r="Q807" i="3" s="1"/>
  <c r="R807" i="3" s="1"/>
  <c r="S807" i="3" s="1"/>
  <c r="AA807" i="3"/>
  <c r="AD807" i="3"/>
  <c r="Z807" i="3"/>
  <c r="U806" i="3"/>
  <c r="Y805" i="3"/>
  <c r="T807" i="3" l="1"/>
  <c r="AH807" i="3" l="1"/>
  <c r="AG807" i="3"/>
  <c r="E807" i="3"/>
  <c r="H807" i="3" s="1"/>
  <c r="D807" i="3"/>
  <c r="K807" i="3" l="1"/>
  <c r="AE807" i="3" s="1"/>
  <c r="F807" i="3"/>
  <c r="G807" i="3"/>
  <c r="I807" i="3" l="1"/>
  <c r="J807" i="3"/>
  <c r="M807" i="3"/>
  <c r="N807" i="3" s="1"/>
  <c r="V807" i="3"/>
  <c r="A808" i="3"/>
  <c r="B808" i="3" s="1"/>
  <c r="W807" i="3" l="1"/>
  <c r="L807" i="3"/>
  <c r="P808" i="3"/>
  <c r="Q808" i="3" s="1"/>
  <c r="R808" i="3" s="1"/>
  <c r="S808" i="3" s="1"/>
  <c r="AA808" i="3"/>
  <c r="Z808" i="3"/>
  <c r="AC808" i="3"/>
  <c r="U807" i="3" l="1"/>
  <c r="Y806" i="3"/>
  <c r="T808" i="3"/>
  <c r="AH808" i="3" s="1"/>
  <c r="D808" i="3" l="1"/>
  <c r="G808" i="3" s="1"/>
  <c r="E808" i="3"/>
  <c r="H808" i="3" s="1"/>
  <c r="K808" i="3" s="1"/>
  <c r="AE808" i="3" s="1"/>
  <c r="AG808" i="3"/>
  <c r="F808" i="3" l="1"/>
  <c r="I808" i="3"/>
  <c r="J808" i="3"/>
  <c r="AD808" i="3" s="1"/>
  <c r="M808" i="3"/>
  <c r="N808" i="3" s="1"/>
  <c r="V808" i="3"/>
  <c r="A809" i="3"/>
  <c r="B809" i="3" s="1"/>
  <c r="W808" i="3" l="1"/>
  <c r="AC809" i="3"/>
  <c r="Z809" i="3"/>
  <c r="AA809" i="3"/>
  <c r="P809" i="3"/>
  <c r="Q809" i="3" s="1"/>
  <c r="R809" i="3" s="1"/>
  <c r="S809" i="3" s="1"/>
  <c r="AD809" i="3"/>
  <c r="L808" i="3"/>
  <c r="T809" i="3" l="1"/>
  <c r="U808" i="3"/>
  <c r="Y807" i="3"/>
  <c r="E809" i="3" l="1"/>
  <c r="H809" i="3" s="1"/>
  <c r="K809" i="3" s="1"/>
  <c r="AE809" i="3" s="1"/>
  <c r="AG809" i="3"/>
  <c r="D809" i="3"/>
  <c r="AH809" i="3"/>
  <c r="V809" i="3" l="1"/>
  <c r="A810" i="3"/>
  <c r="B810" i="3" s="1"/>
  <c r="F809" i="3"/>
  <c r="G809" i="3"/>
  <c r="I809" i="3" l="1"/>
  <c r="W809" i="3" s="1"/>
  <c r="J809" i="3"/>
  <c r="M809" i="3"/>
  <c r="N809" i="3" s="1"/>
  <c r="AD810" i="3"/>
  <c r="P810" i="3"/>
  <c r="Q810" i="3" s="1"/>
  <c r="R810" i="3" s="1"/>
  <c r="S810" i="3" s="1"/>
  <c r="AA810" i="3"/>
  <c r="AC810" i="3"/>
  <c r="Z810" i="3"/>
  <c r="T810" i="3" l="1"/>
  <c r="L809" i="3"/>
  <c r="AH810" i="3" l="1"/>
  <c r="AG810" i="3"/>
  <c r="U809" i="3"/>
  <c r="E810" i="3" s="1"/>
  <c r="H810" i="3" s="1"/>
  <c r="Y808" i="3"/>
  <c r="D810" i="3" l="1"/>
  <c r="G810" i="3" s="1"/>
  <c r="K810" i="3"/>
  <c r="AE810" i="3" s="1"/>
  <c r="F810" i="3" l="1"/>
  <c r="I810" i="3"/>
  <c r="J810" i="3"/>
  <c r="M810" i="3"/>
  <c r="N810" i="3" s="1"/>
  <c r="V810" i="3"/>
  <c r="A811" i="3"/>
  <c r="B811" i="3" s="1"/>
  <c r="L810" i="3" l="1"/>
  <c r="W810" i="3"/>
  <c r="AA811" i="3"/>
  <c r="P811" i="3"/>
  <c r="Q811" i="3" s="1"/>
  <c r="R811" i="3" s="1"/>
  <c r="S811" i="3" s="1"/>
  <c r="Z811" i="3"/>
  <c r="AD811" i="3"/>
  <c r="AC811" i="3"/>
  <c r="U810" i="3" l="1"/>
  <c r="Y809" i="3"/>
  <c r="T811" i="3"/>
  <c r="E811" i="3" l="1"/>
  <c r="H811" i="3" s="1"/>
  <c r="K811" i="3" s="1"/>
  <c r="AE811" i="3" s="1"/>
  <c r="AH811" i="3"/>
  <c r="AG811" i="3"/>
  <c r="D811" i="3"/>
  <c r="V811" i="3" l="1"/>
  <c r="A812" i="3"/>
  <c r="B812" i="3" s="1"/>
  <c r="F811" i="3"/>
  <c r="G811" i="3"/>
  <c r="I811" i="3" l="1"/>
  <c r="W811" i="3" s="1"/>
  <c r="J811" i="3"/>
  <c r="M811" i="3"/>
  <c r="N811" i="3" s="1"/>
  <c r="Z812" i="3"/>
  <c r="AA812" i="3"/>
  <c r="AD812" i="3"/>
  <c r="P812" i="3"/>
  <c r="Q812" i="3" s="1"/>
  <c r="R812" i="3" s="1"/>
  <c r="S812" i="3" s="1"/>
  <c r="AC812" i="3"/>
  <c r="T812" i="3" l="1"/>
  <c r="L811" i="3"/>
  <c r="AG812" i="3" l="1"/>
  <c r="U811" i="3"/>
  <c r="D812" i="3" s="1"/>
  <c r="AH812" i="3"/>
  <c r="Y810" i="3"/>
  <c r="G812" i="3" l="1"/>
  <c r="E812" i="3"/>
  <c r="H812" i="3" s="1"/>
  <c r="I812" i="3" l="1"/>
  <c r="J812" i="3"/>
  <c r="M812" i="3"/>
  <c r="N812" i="3" s="1"/>
  <c r="F812" i="3"/>
  <c r="K812" i="3"/>
  <c r="AE812" i="3" s="1"/>
  <c r="L812" i="3" l="1"/>
  <c r="V812" i="3"/>
  <c r="W812" i="3" s="1"/>
  <c r="A813" i="3"/>
  <c r="B813" i="3" s="1"/>
  <c r="U812" i="3" l="1"/>
  <c r="Y811" i="3"/>
  <c r="AA813" i="3"/>
  <c r="P813" i="3"/>
  <c r="Q813" i="3" s="1"/>
  <c r="R813" i="3" s="1"/>
  <c r="S813" i="3" s="1"/>
  <c r="Z813" i="3"/>
  <c r="AC813" i="3"/>
  <c r="AD813" i="3"/>
  <c r="T813" i="3" l="1"/>
  <c r="AG813" i="3" s="1"/>
  <c r="AH813" i="3" l="1"/>
  <c r="D813" i="3"/>
  <c r="E813" i="3"/>
  <c r="H813" i="3" s="1"/>
  <c r="F813" i="3" l="1"/>
  <c r="G813" i="3"/>
  <c r="K813" i="3"/>
  <c r="AE813" i="3" s="1"/>
  <c r="I813" i="3" l="1"/>
  <c r="J813" i="3"/>
  <c r="M813" i="3"/>
  <c r="N813" i="3" s="1"/>
  <c r="V813" i="3"/>
  <c r="A814" i="3"/>
  <c r="B814" i="3" s="1"/>
  <c r="W813" i="3" l="1"/>
  <c r="L813" i="3"/>
  <c r="P814" i="3"/>
  <c r="Q814" i="3" s="1"/>
  <c r="R814" i="3" s="1"/>
  <c r="S814" i="3" s="1"/>
  <c r="AA814" i="3"/>
  <c r="Z814" i="3"/>
  <c r="AC814" i="3"/>
  <c r="U813" i="3" l="1"/>
  <c r="Y812" i="3"/>
  <c r="T814" i="3"/>
  <c r="D814" i="3" l="1"/>
  <c r="G814" i="3" s="1"/>
  <c r="E814" i="3"/>
  <c r="H814" i="3" s="1"/>
  <c r="K814" i="3" s="1"/>
  <c r="AE814" i="3" s="1"/>
  <c r="AH814" i="3"/>
  <c r="AG814" i="3"/>
  <c r="F814" i="3" l="1"/>
  <c r="I814" i="3"/>
  <c r="J814" i="3"/>
  <c r="AD814" i="3" s="1"/>
  <c r="M814" i="3"/>
  <c r="N814" i="3" s="1"/>
  <c r="V814" i="3"/>
  <c r="A815" i="3"/>
  <c r="B815" i="3" s="1"/>
  <c r="W814" i="3" l="1"/>
  <c r="L814" i="3"/>
  <c r="AA815" i="3"/>
  <c r="AD815" i="3"/>
  <c r="AC815" i="3"/>
  <c r="Z815" i="3"/>
  <c r="P815" i="3"/>
  <c r="Q815" i="3" s="1"/>
  <c r="R815" i="3" s="1"/>
  <c r="S815" i="3" s="1"/>
  <c r="T815" i="3" l="1"/>
  <c r="AH815" i="3" s="1"/>
  <c r="U814" i="3"/>
  <c r="Y813" i="3"/>
  <c r="AG815" i="3" l="1"/>
  <c r="E815" i="3"/>
  <c r="H815" i="3" s="1"/>
  <c r="D815" i="3"/>
  <c r="K815" i="3" l="1"/>
  <c r="AE815" i="3" s="1"/>
  <c r="F815" i="3"/>
  <c r="G815" i="3"/>
  <c r="V815" i="3" l="1"/>
  <c r="A816" i="3"/>
  <c r="B816" i="3" s="1"/>
  <c r="I815" i="3"/>
  <c r="J815" i="3"/>
  <c r="M815" i="3"/>
  <c r="N815" i="3" s="1"/>
  <c r="W815" i="3" l="1"/>
  <c r="L815" i="3"/>
  <c r="P816" i="3"/>
  <c r="Q816" i="3" s="1"/>
  <c r="R816" i="3" s="1"/>
  <c r="S816" i="3" s="1"/>
  <c r="AC816" i="3"/>
  <c r="AD816" i="3"/>
  <c r="AA816" i="3"/>
  <c r="Z816" i="3"/>
  <c r="T816" i="3" l="1"/>
  <c r="U815" i="3"/>
  <c r="Y814" i="3"/>
  <c r="E816" i="3" l="1"/>
  <c r="H816" i="3" s="1"/>
  <c r="K816" i="3" s="1"/>
  <c r="AE816" i="3" s="1"/>
  <c r="D816" i="3"/>
  <c r="G816" i="3" s="1"/>
  <c r="AG816" i="3"/>
  <c r="AH816" i="3"/>
  <c r="F816" i="3" l="1"/>
  <c r="I816" i="3"/>
  <c r="J816" i="3"/>
  <c r="M816" i="3"/>
  <c r="N816" i="3" s="1"/>
  <c r="V816" i="3"/>
  <c r="A817" i="3"/>
  <c r="B817" i="3" s="1"/>
  <c r="W816" i="3" l="1"/>
  <c r="L816" i="3"/>
  <c r="P817" i="3"/>
  <c r="Q817" i="3" s="1"/>
  <c r="R817" i="3" s="1"/>
  <c r="S817" i="3" s="1"/>
  <c r="AD817" i="3"/>
  <c r="Z817" i="3"/>
  <c r="AA817" i="3"/>
  <c r="AC817" i="3"/>
  <c r="U816" i="3" l="1"/>
  <c r="Y815" i="3"/>
  <c r="T817" i="3"/>
  <c r="AG817" i="3" s="1"/>
  <c r="E817" i="3" l="1"/>
  <c r="H817" i="3" s="1"/>
  <c r="AH817" i="3"/>
  <c r="D817" i="3"/>
  <c r="F817" i="3" l="1"/>
  <c r="G817" i="3"/>
  <c r="K817" i="3"/>
  <c r="AE817" i="3" s="1"/>
  <c r="V817" i="3" l="1"/>
  <c r="A818" i="3"/>
  <c r="B818" i="3" s="1"/>
  <c r="I817" i="3"/>
  <c r="J817" i="3"/>
  <c r="M817" i="3"/>
  <c r="N817" i="3" s="1"/>
  <c r="W817" i="3" l="1"/>
  <c r="L817" i="3"/>
  <c r="Z818" i="3"/>
  <c r="AA818" i="3"/>
  <c r="P818" i="3"/>
  <c r="Q818" i="3" s="1"/>
  <c r="R818" i="3" s="1"/>
  <c r="S818" i="3" s="1"/>
  <c r="AC818" i="3"/>
  <c r="T818" i="3" l="1"/>
  <c r="U817" i="3"/>
  <c r="Y816" i="3"/>
  <c r="E818" i="3" l="1"/>
  <c r="H818" i="3" s="1"/>
  <c r="K818" i="3" s="1"/>
  <c r="AE818" i="3" s="1"/>
  <c r="D818" i="3"/>
  <c r="G818" i="3" s="1"/>
  <c r="AH818" i="3"/>
  <c r="AG818" i="3"/>
  <c r="F818" i="3" l="1"/>
  <c r="V818" i="3"/>
  <c r="A819" i="3"/>
  <c r="B819" i="3" s="1"/>
  <c r="I818" i="3"/>
  <c r="J818" i="3"/>
  <c r="AD818" i="3" s="1"/>
  <c r="M818" i="3"/>
  <c r="N818" i="3" s="1"/>
  <c r="W818" i="3" l="1"/>
  <c r="L818" i="3"/>
  <c r="AD819" i="3"/>
  <c r="AC819" i="3"/>
  <c r="AA819" i="3"/>
  <c r="Z819" i="3"/>
  <c r="P819" i="3"/>
  <c r="Q819" i="3" s="1"/>
  <c r="R819" i="3" s="1"/>
  <c r="S819" i="3" s="1"/>
  <c r="T819" i="3" l="1"/>
  <c r="AG819" i="3" s="1"/>
  <c r="U818" i="3"/>
  <c r="Y817" i="3"/>
  <c r="AH819" i="3" l="1"/>
  <c r="E819" i="3"/>
  <c r="H819" i="3" s="1"/>
  <c r="K819" i="3" s="1"/>
  <c r="AE819" i="3" s="1"/>
  <c r="D819" i="3"/>
  <c r="V819" i="3" l="1"/>
  <c r="A820" i="3"/>
  <c r="B820" i="3" s="1"/>
  <c r="F819" i="3"/>
  <c r="G819" i="3"/>
  <c r="I819" i="3" l="1"/>
  <c r="W819" i="3" s="1"/>
  <c r="J819" i="3"/>
  <c r="M819" i="3"/>
  <c r="N819" i="3" s="1"/>
  <c r="Z820" i="3"/>
  <c r="AD820" i="3"/>
  <c r="AA820" i="3"/>
  <c r="P820" i="3"/>
  <c r="Q820" i="3" s="1"/>
  <c r="R820" i="3" s="1"/>
  <c r="S820" i="3" s="1"/>
  <c r="AC820" i="3"/>
  <c r="T820" i="3" l="1"/>
  <c r="L819" i="3"/>
  <c r="U819" i="3" l="1"/>
  <c r="E820" i="3" s="1"/>
  <c r="H820" i="3" s="1"/>
  <c r="AG820" i="3"/>
  <c r="AH820" i="3"/>
  <c r="Y818" i="3"/>
  <c r="D820" i="3" l="1"/>
  <c r="G820" i="3" s="1"/>
  <c r="K820" i="3"/>
  <c r="AE820" i="3" s="1"/>
  <c r="F820" i="3" l="1"/>
  <c r="I820" i="3"/>
  <c r="J820" i="3"/>
  <c r="M820" i="3"/>
  <c r="N820" i="3" s="1"/>
  <c r="V820" i="3"/>
  <c r="A821" i="3"/>
  <c r="B821" i="3" s="1"/>
  <c r="W820" i="3" l="1"/>
  <c r="L820" i="3"/>
  <c r="P821" i="3"/>
  <c r="Q821" i="3" s="1"/>
  <c r="R821" i="3" s="1"/>
  <c r="S821" i="3" s="1"/>
  <c r="AA821" i="3"/>
  <c r="Z821" i="3"/>
  <c r="AD821" i="3"/>
  <c r="AC821" i="3"/>
  <c r="U820" i="3" l="1"/>
  <c r="Y819" i="3"/>
  <c r="T821" i="3"/>
  <c r="AH821" i="3" s="1"/>
  <c r="AG821" i="3" l="1"/>
  <c r="D821" i="3"/>
  <c r="G821" i="3" s="1"/>
  <c r="E821" i="3"/>
  <c r="H821" i="3" s="1"/>
  <c r="F821" i="3" l="1"/>
  <c r="K821" i="3"/>
  <c r="AE821" i="3" s="1"/>
  <c r="I821" i="3"/>
  <c r="J821" i="3"/>
  <c r="M821" i="3"/>
  <c r="N821" i="3" s="1"/>
  <c r="L821" i="3" l="1"/>
  <c r="V821" i="3"/>
  <c r="W821" i="3" s="1"/>
  <c r="A822" i="3"/>
  <c r="B822" i="3" s="1"/>
  <c r="P822" i="3" l="1"/>
  <c r="Q822" i="3" s="1"/>
  <c r="R822" i="3" s="1"/>
  <c r="S822" i="3" s="1"/>
  <c r="AA822" i="3"/>
  <c r="Z822" i="3"/>
  <c r="AC822" i="3"/>
  <c r="AD822" i="3"/>
  <c r="U821" i="3"/>
  <c r="Y820" i="3"/>
  <c r="T822" i="3" l="1"/>
  <c r="AH822" i="3" s="1"/>
  <c r="D822" i="3" l="1"/>
  <c r="E822" i="3"/>
  <c r="H822" i="3" s="1"/>
  <c r="AG822" i="3"/>
  <c r="K822" i="3" l="1"/>
  <c r="AE822" i="3" s="1"/>
  <c r="F822" i="3"/>
  <c r="G822" i="3"/>
  <c r="I822" i="3" l="1"/>
  <c r="J822" i="3"/>
  <c r="M822" i="3"/>
  <c r="N822" i="3" s="1"/>
  <c r="V822" i="3"/>
  <c r="A823" i="3"/>
  <c r="B823" i="3" s="1"/>
  <c r="W822" i="3" l="1"/>
  <c r="L822" i="3"/>
  <c r="AC823" i="3"/>
  <c r="Z823" i="3"/>
  <c r="P823" i="3"/>
  <c r="Q823" i="3" s="1"/>
  <c r="R823" i="3" s="1"/>
  <c r="S823" i="3" s="1"/>
  <c r="AD823" i="3"/>
  <c r="AA823" i="3"/>
  <c r="U822" i="3" l="1"/>
  <c r="Y821" i="3"/>
  <c r="T823" i="3"/>
  <c r="D823" i="3" l="1"/>
  <c r="G823" i="3" s="1"/>
  <c r="E823" i="3"/>
  <c r="H823" i="3" s="1"/>
  <c r="AG823" i="3"/>
  <c r="AH823" i="3"/>
  <c r="F823" i="3" l="1"/>
  <c r="I823" i="3"/>
  <c r="J823" i="3"/>
  <c r="M823" i="3"/>
  <c r="N823" i="3" s="1"/>
  <c r="K823" i="3"/>
  <c r="AE823" i="3" s="1"/>
  <c r="V823" i="3" l="1"/>
  <c r="W823" i="3" s="1"/>
  <c r="A824" i="3"/>
  <c r="B824" i="3" s="1"/>
  <c r="L823" i="3"/>
  <c r="U823" i="3" l="1"/>
  <c r="Y822" i="3"/>
  <c r="Z824" i="3"/>
  <c r="P824" i="3"/>
  <c r="Q824" i="3" s="1"/>
  <c r="R824" i="3" s="1"/>
  <c r="S824" i="3" s="1"/>
  <c r="AC824" i="3"/>
  <c r="AA824" i="3"/>
  <c r="T824" i="3" l="1"/>
  <c r="D824" i="3" s="1"/>
  <c r="AH824" i="3" l="1"/>
  <c r="E824" i="3"/>
  <c r="H824" i="3" s="1"/>
  <c r="K824" i="3" s="1"/>
  <c r="AE824" i="3" s="1"/>
  <c r="AG824" i="3"/>
  <c r="G824" i="3"/>
  <c r="F824" i="3" l="1"/>
  <c r="V824" i="3"/>
  <c r="A825" i="3"/>
  <c r="B825" i="3" s="1"/>
  <c r="I824" i="3"/>
  <c r="J824" i="3"/>
  <c r="AD824" i="3" s="1"/>
  <c r="M824" i="3"/>
  <c r="N824" i="3" s="1"/>
  <c r="L824" i="3" l="1"/>
  <c r="W824" i="3"/>
  <c r="Z825" i="3"/>
  <c r="AC825" i="3"/>
  <c r="P825" i="3"/>
  <c r="Q825" i="3" s="1"/>
  <c r="R825" i="3" s="1"/>
  <c r="S825" i="3" s="1"/>
  <c r="AA825" i="3"/>
  <c r="AD825" i="3"/>
  <c r="T825" i="3" l="1"/>
  <c r="AG825" i="3" s="1"/>
  <c r="U824" i="3"/>
  <c r="Y823" i="3"/>
  <c r="D825" i="3" l="1"/>
  <c r="E825" i="3"/>
  <c r="H825" i="3" s="1"/>
  <c r="AH825" i="3"/>
  <c r="F825" i="3" l="1"/>
  <c r="G825" i="3"/>
  <c r="K825" i="3"/>
  <c r="AE825" i="3" s="1"/>
  <c r="I825" i="3" l="1"/>
  <c r="J825" i="3"/>
  <c r="M825" i="3"/>
  <c r="N825" i="3" s="1"/>
  <c r="V825" i="3"/>
  <c r="A826" i="3"/>
  <c r="B826" i="3" s="1"/>
  <c r="W825" i="3" l="1"/>
  <c r="L825" i="3"/>
  <c r="P826" i="3"/>
  <c r="Q826" i="3" s="1"/>
  <c r="R826" i="3" s="1"/>
  <c r="S826" i="3" s="1"/>
  <c r="Z826" i="3"/>
  <c r="AA826" i="3"/>
  <c r="AD826" i="3"/>
  <c r="AC826" i="3"/>
  <c r="U825" i="3" l="1"/>
  <c r="Y824" i="3"/>
  <c r="T826" i="3"/>
  <c r="AG826" i="3" s="1"/>
  <c r="E826" i="3" l="1"/>
  <c r="H826" i="3" s="1"/>
  <c r="K826" i="3" s="1"/>
  <c r="AE826" i="3" s="1"/>
  <c r="AH826" i="3"/>
  <c r="D826" i="3"/>
  <c r="G826" i="3" s="1"/>
  <c r="F826" i="3" l="1"/>
  <c r="I826" i="3"/>
  <c r="J826" i="3"/>
  <c r="M826" i="3"/>
  <c r="N826" i="3" s="1"/>
  <c r="V826" i="3"/>
  <c r="A827" i="3"/>
  <c r="B827" i="3" s="1"/>
  <c r="W826" i="3" l="1"/>
  <c r="L826" i="3"/>
  <c r="Z827" i="3"/>
  <c r="AA827" i="3"/>
  <c r="AD827" i="3"/>
  <c r="P827" i="3"/>
  <c r="Q827" i="3" s="1"/>
  <c r="R827" i="3" s="1"/>
  <c r="S827" i="3" s="1"/>
  <c r="AC827" i="3"/>
  <c r="U826" i="3" l="1"/>
  <c r="Y825" i="3"/>
  <c r="T827" i="3"/>
  <c r="AH827" i="3" s="1"/>
  <c r="D827" i="3" l="1"/>
  <c r="G827" i="3" s="1"/>
  <c r="E827" i="3"/>
  <c r="H827" i="3" s="1"/>
  <c r="K827" i="3" s="1"/>
  <c r="AE827" i="3" s="1"/>
  <c r="AG827" i="3"/>
  <c r="F827" i="3" l="1"/>
  <c r="V827" i="3"/>
  <c r="A828" i="3"/>
  <c r="B828" i="3" s="1"/>
  <c r="I827" i="3"/>
  <c r="J827" i="3"/>
  <c r="M827" i="3"/>
  <c r="N827" i="3" s="1"/>
  <c r="W827" i="3" l="1"/>
  <c r="L827" i="3"/>
  <c r="P828" i="3"/>
  <c r="Q828" i="3" s="1"/>
  <c r="R828" i="3" s="1"/>
  <c r="S828" i="3" s="1"/>
  <c r="AC828" i="3"/>
  <c r="AA828" i="3"/>
  <c r="Z828" i="3"/>
  <c r="U827" i="3" l="1"/>
  <c r="Y826" i="3"/>
  <c r="T828" i="3"/>
  <c r="D828" i="3" l="1"/>
  <c r="G828" i="3" s="1"/>
  <c r="AG828" i="3"/>
  <c r="AH828" i="3"/>
  <c r="E828" i="3"/>
  <c r="H828" i="3" s="1"/>
  <c r="F828" i="3" l="1"/>
  <c r="I828" i="3"/>
  <c r="J828" i="3"/>
  <c r="AD828" i="3" s="1"/>
  <c r="M828" i="3"/>
  <c r="N828" i="3" s="1"/>
  <c r="K828" i="3"/>
  <c r="AE828" i="3" s="1"/>
  <c r="V828" i="3" l="1"/>
  <c r="W828" i="3" s="1"/>
  <c r="A829" i="3"/>
  <c r="B829" i="3" s="1"/>
  <c r="L828" i="3"/>
  <c r="U828" i="3" l="1"/>
  <c r="Y827" i="3"/>
  <c r="AC829" i="3"/>
  <c r="Z829" i="3"/>
  <c r="AA829" i="3"/>
  <c r="P829" i="3"/>
  <c r="Q829" i="3" s="1"/>
  <c r="R829" i="3" s="1"/>
  <c r="S829" i="3" s="1"/>
  <c r="AD829" i="3"/>
  <c r="T829" i="3" l="1"/>
  <c r="E829" i="3" s="1"/>
  <c r="H829" i="3" s="1"/>
  <c r="AH829" i="3" l="1"/>
  <c r="D829" i="3"/>
  <c r="G829" i="3" s="1"/>
  <c r="AG829" i="3"/>
  <c r="K829" i="3"/>
  <c r="AE829" i="3" s="1"/>
  <c r="F829" i="3" l="1"/>
  <c r="I829" i="3"/>
  <c r="J829" i="3"/>
  <c r="M829" i="3"/>
  <c r="N829" i="3" s="1"/>
  <c r="V829" i="3"/>
  <c r="A830" i="3"/>
  <c r="B830" i="3" s="1"/>
  <c r="W829" i="3" l="1"/>
  <c r="L829" i="3"/>
  <c r="AA830" i="3"/>
  <c r="Z830" i="3"/>
  <c r="AC830" i="3"/>
  <c r="AD830" i="3"/>
  <c r="P830" i="3"/>
  <c r="Q830" i="3" s="1"/>
  <c r="R830" i="3" s="1"/>
  <c r="S830" i="3" s="1"/>
  <c r="U829" i="3" l="1"/>
  <c r="Y828" i="3"/>
  <c r="T830" i="3"/>
  <c r="D830" i="3" l="1"/>
  <c r="G830" i="3" s="1"/>
  <c r="E830" i="3"/>
  <c r="H830" i="3" s="1"/>
  <c r="AG830" i="3"/>
  <c r="AH830" i="3"/>
  <c r="F830" i="3" l="1"/>
  <c r="I830" i="3"/>
  <c r="J830" i="3"/>
  <c r="M830" i="3"/>
  <c r="N830" i="3" s="1"/>
  <c r="K830" i="3"/>
  <c r="AE830" i="3" s="1"/>
  <c r="V830" i="3" l="1"/>
  <c r="W830" i="3" s="1"/>
  <c r="A831" i="3"/>
  <c r="B831" i="3" s="1"/>
  <c r="L830" i="3"/>
  <c r="U830" i="3" l="1"/>
  <c r="Y829" i="3"/>
  <c r="Z831" i="3"/>
  <c r="P831" i="3"/>
  <c r="Q831" i="3" s="1"/>
  <c r="R831" i="3" s="1"/>
  <c r="S831" i="3" s="1"/>
  <c r="AA831" i="3"/>
  <c r="AD831" i="3"/>
  <c r="AC831" i="3"/>
  <c r="T831" i="3" l="1"/>
  <c r="AH831" i="3" s="1"/>
  <c r="E831" i="3" l="1"/>
  <c r="H831" i="3" s="1"/>
  <c r="K831" i="3" s="1"/>
  <c r="AE831" i="3" s="1"/>
  <c r="D831" i="3"/>
  <c r="G831" i="3" s="1"/>
  <c r="AG831" i="3"/>
  <c r="F831" i="3" l="1"/>
  <c r="I831" i="3"/>
  <c r="J831" i="3"/>
  <c r="M831" i="3"/>
  <c r="N831" i="3" s="1"/>
  <c r="V831" i="3"/>
  <c r="A832" i="3"/>
  <c r="B832" i="3" s="1"/>
  <c r="W831" i="3" l="1"/>
  <c r="L831" i="3"/>
  <c r="P832" i="3"/>
  <c r="Q832" i="3" s="1"/>
  <c r="R832" i="3" s="1"/>
  <c r="S832" i="3" s="1"/>
  <c r="AC832" i="3"/>
  <c r="AD832" i="3"/>
  <c r="Z832" i="3"/>
  <c r="AA832" i="3"/>
  <c r="U831" i="3" l="1"/>
  <c r="Y830" i="3"/>
  <c r="T832" i="3"/>
  <c r="AH832" i="3" s="1"/>
  <c r="D832" i="3" l="1"/>
  <c r="G832" i="3" s="1"/>
  <c r="AG832" i="3"/>
  <c r="E832" i="3"/>
  <c r="H832" i="3" s="1"/>
  <c r="K832" i="3" l="1"/>
  <c r="AE832" i="3" s="1"/>
  <c r="I832" i="3"/>
  <c r="J832" i="3"/>
  <c r="M832" i="3"/>
  <c r="N832" i="3" s="1"/>
  <c r="F832" i="3"/>
  <c r="L832" i="3" l="1"/>
  <c r="V832" i="3"/>
  <c r="W832" i="3" s="1"/>
  <c r="A833" i="3"/>
  <c r="B833" i="3" s="1"/>
  <c r="U832" i="3" l="1"/>
  <c r="Y831" i="3"/>
  <c r="Z833" i="3"/>
  <c r="AC833" i="3"/>
  <c r="P833" i="3"/>
  <c r="Q833" i="3" s="1"/>
  <c r="R833" i="3" s="1"/>
  <c r="S833" i="3" s="1"/>
  <c r="AD833" i="3"/>
  <c r="AA833" i="3"/>
  <c r="T833" i="3" l="1"/>
  <c r="AH833" i="3" s="1"/>
  <c r="E833" i="3" l="1"/>
  <c r="H833" i="3" s="1"/>
  <c r="K833" i="3" s="1"/>
  <c r="AE833" i="3" s="1"/>
  <c r="AG833" i="3"/>
  <c r="D833" i="3"/>
  <c r="G833" i="3" s="1"/>
  <c r="F833" i="3" l="1"/>
  <c r="I833" i="3"/>
  <c r="J833" i="3"/>
  <c r="M833" i="3"/>
  <c r="N833" i="3" s="1"/>
  <c r="V833" i="3"/>
  <c r="A834" i="3"/>
  <c r="B834" i="3" s="1"/>
  <c r="L833" i="3" l="1"/>
  <c r="W833" i="3"/>
  <c r="AC834" i="3"/>
  <c r="P834" i="3"/>
  <c r="Q834" i="3" s="1"/>
  <c r="R834" i="3" s="1"/>
  <c r="S834" i="3" s="1"/>
  <c r="AA834" i="3"/>
  <c r="Z834" i="3"/>
  <c r="U833" i="3" l="1"/>
  <c r="Y832" i="3"/>
  <c r="T834" i="3"/>
  <c r="D834" i="3" l="1"/>
  <c r="G834" i="3" s="1"/>
  <c r="E834" i="3"/>
  <c r="H834" i="3" s="1"/>
  <c r="K834" i="3" s="1"/>
  <c r="AE834" i="3" s="1"/>
  <c r="AH834" i="3"/>
  <c r="AG834" i="3"/>
  <c r="F834" i="3" l="1"/>
  <c r="V834" i="3"/>
  <c r="A835" i="3"/>
  <c r="B835" i="3" s="1"/>
  <c r="I834" i="3"/>
  <c r="J834" i="3"/>
  <c r="AD834" i="3" s="1"/>
  <c r="M834" i="3"/>
  <c r="N834" i="3" s="1"/>
  <c r="W834" i="3" l="1"/>
  <c r="L834" i="3"/>
  <c r="Z835" i="3"/>
  <c r="P835" i="3"/>
  <c r="Q835" i="3" s="1"/>
  <c r="R835" i="3" s="1"/>
  <c r="S835" i="3" s="1"/>
  <c r="AD835" i="3"/>
  <c r="AC835" i="3"/>
  <c r="AA835" i="3"/>
  <c r="T835" i="3" l="1"/>
  <c r="U834" i="3"/>
  <c r="Y833" i="3"/>
  <c r="E835" i="3" l="1"/>
  <c r="H835" i="3" s="1"/>
  <c r="K835" i="3" s="1"/>
  <c r="AE835" i="3" s="1"/>
  <c r="AH835" i="3"/>
  <c r="AG835" i="3"/>
  <c r="D835" i="3"/>
  <c r="F835" i="3" l="1"/>
  <c r="G835" i="3"/>
  <c r="V835" i="3"/>
  <c r="A836" i="3"/>
  <c r="B836" i="3" s="1"/>
  <c r="I835" i="3" l="1"/>
  <c r="W835" i="3" s="1"/>
  <c r="J835" i="3"/>
  <c r="M835" i="3"/>
  <c r="N835" i="3" s="1"/>
  <c r="Z836" i="3"/>
  <c r="AA836" i="3"/>
  <c r="AC836" i="3"/>
  <c r="P836" i="3"/>
  <c r="Q836" i="3" s="1"/>
  <c r="R836" i="3" s="1"/>
  <c r="S836" i="3" s="1"/>
  <c r="AD836" i="3"/>
  <c r="T836" i="3" l="1"/>
  <c r="L835" i="3"/>
  <c r="AG836" i="3" l="1"/>
  <c r="U835" i="3"/>
  <c r="D836" i="3" s="1"/>
  <c r="AH836" i="3"/>
  <c r="Y834" i="3"/>
  <c r="E836" i="3" l="1"/>
  <c r="H836" i="3" s="1"/>
  <c r="K836" i="3" s="1"/>
  <c r="AE836" i="3" s="1"/>
  <c r="G836" i="3"/>
  <c r="F836" i="3" l="1"/>
  <c r="V836" i="3"/>
  <c r="A837" i="3"/>
  <c r="B837" i="3" s="1"/>
  <c r="I836" i="3"/>
  <c r="J836" i="3"/>
  <c r="M836" i="3"/>
  <c r="N836" i="3" s="1"/>
  <c r="L836" i="3" l="1"/>
  <c r="W836" i="3"/>
  <c r="P837" i="3"/>
  <c r="Q837" i="3" s="1"/>
  <c r="R837" i="3" s="1"/>
  <c r="S837" i="3" s="1"/>
  <c r="AD837" i="3"/>
  <c r="AA837" i="3"/>
  <c r="AC837" i="3"/>
  <c r="Z837" i="3"/>
  <c r="U836" i="3" l="1"/>
  <c r="Y835" i="3"/>
  <c r="T837" i="3"/>
  <c r="AH837" i="3" s="1"/>
  <c r="E837" i="3" l="1"/>
  <c r="H837" i="3" s="1"/>
  <c r="K837" i="3" s="1"/>
  <c r="AE837" i="3" s="1"/>
  <c r="D837" i="3"/>
  <c r="G837" i="3" s="1"/>
  <c r="AG837" i="3"/>
  <c r="F837" i="3" l="1"/>
  <c r="I837" i="3"/>
  <c r="J837" i="3"/>
  <c r="M837" i="3"/>
  <c r="N837" i="3" s="1"/>
  <c r="V837" i="3"/>
  <c r="A838" i="3"/>
  <c r="B838" i="3" s="1"/>
  <c r="W837" i="3" l="1"/>
  <c r="L837" i="3"/>
  <c r="P838" i="3"/>
  <c r="Q838" i="3" s="1"/>
  <c r="R838" i="3" s="1"/>
  <c r="S838" i="3" s="1"/>
  <c r="AA838" i="3"/>
  <c r="AC838" i="3"/>
  <c r="Z838" i="3"/>
  <c r="U837" i="3" l="1"/>
  <c r="Y836" i="3"/>
  <c r="T838" i="3"/>
  <c r="AH838" i="3" s="1"/>
  <c r="E838" i="3" l="1"/>
  <c r="H838" i="3" s="1"/>
  <c r="D838" i="3"/>
  <c r="AG838" i="3"/>
  <c r="K838" i="3" l="1"/>
  <c r="AE838" i="3" s="1"/>
  <c r="F838" i="3"/>
  <c r="G838" i="3"/>
  <c r="V838" i="3" l="1"/>
  <c r="A839" i="3"/>
  <c r="B839" i="3" s="1"/>
  <c r="I838" i="3"/>
  <c r="J838" i="3"/>
  <c r="AD838" i="3" s="1"/>
  <c r="M838" i="3"/>
  <c r="N838" i="3" s="1"/>
  <c r="W838" i="3" l="1"/>
  <c r="L838" i="3"/>
  <c r="AC839" i="3"/>
  <c r="Z839" i="3"/>
  <c r="AA839" i="3"/>
  <c r="P839" i="3"/>
  <c r="Q839" i="3" s="1"/>
  <c r="R839" i="3" s="1"/>
  <c r="S839" i="3" s="1"/>
  <c r="AD839" i="3"/>
  <c r="U838" i="3" l="1"/>
  <c r="Y837" i="3"/>
  <c r="T839" i="3"/>
  <c r="AG839" i="3" s="1"/>
  <c r="D839" i="3" l="1"/>
  <c r="E839" i="3"/>
  <c r="H839" i="3" s="1"/>
  <c r="AH839" i="3"/>
  <c r="F839" i="3" l="1"/>
  <c r="G839" i="3"/>
  <c r="K839" i="3"/>
  <c r="AE839" i="3" s="1"/>
  <c r="V839" i="3" l="1"/>
  <c r="A840" i="3"/>
  <c r="B840" i="3" s="1"/>
  <c r="I839" i="3"/>
  <c r="J839" i="3"/>
  <c r="M839" i="3"/>
  <c r="N839" i="3" s="1"/>
  <c r="W839" i="3" l="1"/>
  <c r="L839" i="3"/>
  <c r="AC840" i="3"/>
  <c r="P840" i="3"/>
  <c r="Q840" i="3" s="1"/>
  <c r="R840" i="3" s="1"/>
  <c r="S840" i="3" s="1"/>
  <c r="AA840" i="3"/>
  <c r="Z840" i="3"/>
  <c r="AD840" i="3"/>
  <c r="T840" i="3" l="1"/>
  <c r="U839" i="3"/>
  <c r="Y838" i="3"/>
  <c r="D840" i="3" l="1"/>
  <c r="G840" i="3" s="1"/>
  <c r="AG840" i="3"/>
  <c r="E840" i="3"/>
  <c r="H840" i="3" s="1"/>
  <c r="AH840" i="3"/>
  <c r="K840" i="3" l="1"/>
  <c r="AE840" i="3" s="1"/>
  <c r="I840" i="3"/>
  <c r="J840" i="3"/>
  <c r="M840" i="3"/>
  <c r="N840" i="3" s="1"/>
  <c r="F840" i="3"/>
  <c r="L840" i="3" l="1"/>
  <c r="V840" i="3"/>
  <c r="W840" i="3" s="1"/>
  <c r="A841" i="3"/>
  <c r="B841" i="3" s="1"/>
  <c r="U840" i="3" l="1"/>
  <c r="Y839" i="3"/>
  <c r="AA841" i="3"/>
  <c r="Z841" i="3"/>
  <c r="AD841" i="3"/>
  <c r="AC841" i="3"/>
  <c r="P841" i="3"/>
  <c r="Q841" i="3" s="1"/>
  <c r="R841" i="3" s="1"/>
  <c r="S841" i="3" s="1"/>
  <c r="T841" i="3" l="1"/>
  <c r="AH841" i="3" s="1"/>
  <c r="E841" i="3" l="1"/>
  <c r="H841" i="3" s="1"/>
  <c r="K841" i="3" s="1"/>
  <c r="AE841" i="3" s="1"/>
  <c r="AG841" i="3"/>
  <c r="D841" i="3"/>
  <c r="G841" i="3" s="1"/>
  <c r="F841" i="3" l="1"/>
  <c r="I841" i="3"/>
  <c r="J841" i="3"/>
  <c r="M841" i="3"/>
  <c r="N841" i="3" s="1"/>
  <c r="V841" i="3"/>
  <c r="A842" i="3"/>
  <c r="B842" i="3" s="1"/>
  <c r="W841" i="3" l="1"/>
  <c r="L841" i="3"/>
  <c r="P842" i="3"/>
  <c r="Q842" i="3" s="1"/>
  <c r="R842" i="3" s="1"/>
  <c r="S842" i="3" s="1"/>
  <c r="AD842" i="3"/>
  <c r="Z842" i="3"/>
  <c r="AC842" i="3"/>
  <c r="AA842" i="3"/>
  <c r="U841" i="3" l="1"/>
  <c r="Y840" i="3"/>
  <c r="T842" i="3"/>
  <c r="AG842" i="3" s="1"/>
  <c r="D842" i="3" l="1"/>
  <c r="G842" i="3" s="1"/>
  <c r="E842" i="3"/>
  <c r="H842" i="3" s="1"/>
  <c r="K842" i="3" s="1"/>
  <c r="AE842" i="3" s="1"/>
  <c r="AH842" i="3"/>
  <c r="F842" i="3" l="1"/>
  <c r="V842" i="3"/>
  <c r="A843" i="3"/>
  <c r="B843" i="3" s="1"/>
  <c r="I842" i="3"/>
  <c r="J842" i="3"/>
  <c r="M842" i="3"/>
  <c r="N842" i="3" s="1"/>
  <c r="W842" i="3" l="1"/>
  <c r="L842" i="3"/>
  <c r="AC843" i="3"/>
  <c r="AD843" i="3"/>
  <c r="AA843" i="3"/>
  <c r="Z843" i="3"/>
  <c r="P843" i="3"/>
  <c r="Q843" i="3" s="1"/>
  <c r="R843" i="3" s="1"/>
  <c r="S843" i="3" s="1"/>
  <c r="U842" i="3" l="1"/>
  <c r="Y841" i="3"/>
  <c r="T843" i="3"/>
  <c r="AG843" i="3" s="1"/>
  <c r="D843" i="3" l="1"/>
  <c r="E843" i="3"/>
  <c r="H843" i="3" s="1"/>
  <c r="AH843" i="3"/>
  <c r="F843" i="3" l="1"/>
  <c r="G843" i="3"/>
  <c r="K843" i="3"/>
  <c r="AE843" i="3" s="1"/>
  <c r="V843" i="3" l="1"/>
  <c r="A844" i="3"/>
  <c r="B844" i="3" s="1"/>
  <c r="I843" i="3"/>
  <c r="J843" i="3"/>
  <c r="M843" i="3"/>
  <c r="N843" i="3" s="1"/>
  <c r="W843" i="3" l="1"/>
  <c r="L843" i="3"/>
  <c r="AC844" i="3"/>
  <c r="P844" i="3"/>
  <c r="Q844" i="3" s="1"/>
  <c r="R844" i="3" s="1"/>
  <c r="S844" i="3" s="1"/>
  <c r="Z844" i="3"/>
  <c r="AA844" i="3"/>
  <c r="U843" i="3" l="1"/>
  <c r="Y842" i="3"/>
  <c r="T844" i="3"/>
  <c r="AH844" i="3" s="1"/>
  <c r="AG844" i="3" l="1"/>
  <c r="E844" i="3"/>
  <c r="H844" i="3" s="1"/>
  <c r="K844" i="3" s="1"/>
  <c r="AE844" i="3" s="1"/>
  <c r="D844" i="3"/>
  <c r="V844" i="3" l="1"/>
  <c r="A845" i="3"/>
  <c r="B845" i="3" s="1"/>
  <c r="F844" i="3"/>
  <c r="G844" i="3"/>
  <c r="I844" i="3" l="1"/>
  <c r="W844" i="3" s="1"/>
  <c r="J844" i="3"/>
  <c r="AD844" i="3" s="1"/>
  <c r="M844" i="3"/>
  <c r="N844" i="3" s="1"/>
  <c r="AD845" i="3"/>
  <c r="AC845" i="3"/>
  <c r="P845" i="3"/>
  <c r="Q845" i="3" s="1"/>
  <c r="R845" i="3" s="1"/>
  <c r="S845" i="3" s="1"/>
  <c r="Z845" i="3"/>
  <c r="AA845" i="3"/>
  <c r="T845" i="3" l="1"/>
  <c r="L844" i="3"/>
  <c r="AH845" i="3" l="1"/>
  <c r="U844" i="3"/>
  <c r="D845" i="3" s="1"/>
  <c r="AG845" i="3"/>
  <c r="Y843" i="3"/>
  <c r="E845" i="3" l="1"/>
  <c r="H845" i="3" s="1"/>
  <c r="K845" i="3" s="1"/>
  <c r="AE845" i="3" s="1"/>
  <c r="G845" i="3"/>
  <c r="F845" i="3" l="1"/>
  <c r="I845" i="3"/>
  <c r="J845" i="3"/>
  <c r="M845" i="3"/>
  <c r="N845" i="3" s="1"/>
  <c r="V845" i="3"/>
  <c r="A846" i="3"/>
  <c r="B846" i="3" s="1"/>
  <c r="W845" i="3" l="1"/>
  <c r="L845" i="3"/>
  <c r="P846" i="3"/>
  <c r="Q846" i="3" s="1"/>
  <c r="R846" i="3" s="1"/>
  <c r="S846" i="3" s="1"/>
  <c r="AD846" i="3"/>
  <c r="AC846" i="3"/>
  <c r="Z846" i="3"/>
  <c r="AA846" i="3"/>
  <c r="U845" i="3" l="1"/>
  <c r="Y844" i="3"/>
  <c r="T846" i="3"/>
  <c r="AH846" i="3" s="1"/>
  <c r="D846" i="3" l="1"/>
  <c r="G846" i="3" s="1"/>
  <c r="E846" i="3"/>
  <c r="H846" i="3" s="1"/>
  <c r="K846" i="3" s="1"/>
  <c r="AE846" i="3" s="1"/>
  <c r="AG846" i="3"/>
  <c r="F846" i="3" l="1"/>
  <c r="I846" i="3"/>
  <c r="J846" i="3"/>
  <c r="M846" i="3"/>
  <c r="N846" i="3" s="1"/>
  <c r="V846" i="3"/>
  <c r="A847" i="3"/>
  <c r="B847" i="3" s="1"/>
  <c r="W846" i="3" l="1"/>
  <c r="L846" i="3"/>
  <c r="AC847" i="3"/>
  <c r="P847" i="3"/>
  <c r="Q847" i="3" s="1"/>
  <c r="R847" i="3" s="1"/>
  <c r="S847" i="3" s="1"/>
  <c r="AD847" i="3"/>
  <c r="AA847" i="3"/>
  <c r="Z847" i="3"/>
  <c r="U846" i="3" l="1"/>
  <c r="Y845" i="3"/>
  <c r="T847" i="3"/>
  <c r="D847" i="3" l="1"/>
  <c r="G847" i="3" s="1"/>
  <c r="E847" i="3"/>
  <c r="H847" i="3" s="1"/>
  <c r="K847" i="3" s="1"/>
  <c r="AE847" i="3" s="1"/>
  <c r="AH847" i="3"/>
  <c r="AG847" i="3"/>
  <c r="F847" i="3" l="1"/>
  <c r="I847" i="3"/>
  <c r="J847" i="3"/>
  <c r="M847" i="3"/>
  <c r="N847" i="3" s="1"/>
  <c r="V847" i="3"/>
  <c r="A848" i="3"/>
  <c r="B848" i="3" s="1"/>
  <c r="W847" i="3" l="1"/>
  <c r="L847" i="3"/>
  <c r="AA848" i="3"/>
  <c r="P848" i="3"/>
  <c r="Q848" i="3" s="1"/>
  <c r="R848" i="3" s="1"/>
  <c r="S848" i="3" s="1"/>
  <c r="Z848" i="3"/>
  <c r="AC848" i="3"/>
  <c r="U847" i="3" l="1"/>
  <c r="Y846" i="3"/>
  <c r="T848" i="3"/>
  <c r="AG848" i="3" s="1"/>
  <c r="D848" i="3" l="1"/>
  <c r="AH848" i="3"/>
  <c r="E848" i="3"/>
  <c r="H848" i="3" s="1"/>
  <c r="F848" i="3" l="1"/>
  <c r="G848" i="3"/>
  <c r="K848" i="3"/>
  <c r="AE848" i="3" s="1"/>
  <c r="V848" i="3" l="1"/>
  <c r="A849" i="3"/>
  <c r="B849" i="3" s="1"/>
  <c r="I848" i="3"/>
  <c r="J848" i="3"/>
  <c r="AD848" i="3" s="1"/>
  <c r="M848" i="3"/>
  <c r="N848" i="3" s="1"/>
  <c r="W848" i="3" l="1"/>
  <c r="L848" i="3"/>
  <c r="P849" i="3"/>
  <c r="Q849" i="3" s="1"/>
  <c r="R849" i="3" s="1"/>
  <c r="S849" i="3" s="1"/>
  <c r="AC849" i="3"/>
  <c r="Z849" i="3"/>
  <c r="AD849" i="3"/>
  <c r="AA849" i="3"/>
  <c r="U848" i="3" l="1"/>
  <c r="Y847" i="3"/>
  <c r="T849" i="3"/>
  <c r="AG849" i="3" s="1"/>
  <c r="E849" i="3" l="1"/>
  <c r="H849" i="3" s="1"/>
  <c r="K849" i="3" s="1"/>
  <c r="AE849" i="3" s="1"/>
  <c r="D849" i="3"/>
  <c r="G849" i="3" s="1"/>
  <c r="AH849" i="3"/>
  <c r="F849" i="3" l="1"/>
  <c r="V849" i="3"/>
  <c r="A850" i="3"/>
  <c r="B850" i="3" s="1"/>
  <c r="I849" i="3"/>
  <c r="J849" i="3"/>
  <c r="M849" i="3"/>
  <c r="N849" i="3" s="1"/>
  <c r="W849" i="3" l="1"/>
  <c r="L849" i="3"/>
  <c r="AA850" i="3"/>
  <c r="AC850" i="3"/>
  <c r="P850" i="3"/>
  <c r="Q850" i="3" s="1"/>
  <c r="R850" i="3" s="1"/>
  <c r="S850" i="3" s="1"/>
  <c r="AD850" i="3"/>
  <c r="Z850" i="3"/>
  <c r="T850" i="3" l="1"/>
  <c r="AG850" i="3" s="1"/>
  <c r="U849" i="3"/>
  <c r="Y848" i="3"/>
  <c r="E850" i="3" l="1"/>
  <c r="H850" i="3" s="1"/>
  <c r="D850" i="3"/>
  <c r="AH850" i="3"/>
  <c r="K850" i="3" l="1"/>
  <c r="AE850" i="3" s="1"/>
  <c r="F850" i="3"/>
  <c r="G850" i="3"/>
  <c r="I850" i="3" l="1"/>
  <c r="J850" i="3"/>
  <c r="M850" i="3"/>
  <c r="N850" i="3" s="1"/>
  <c r="V850" i="3"/>
  <c r="A851" i="3"/>
  <c r="B851" i="3" s="1"/>
  <c r="W850" i="3" l="1"/>
  <c r="L850" i="3"/>
  <c r="P851" i="3"/>
  <c r="Q851" i="3" s="1"/>
  <c r="R851" i="3" s="1"/>
  <c r="S851" i="3" s="1"/>
  <c r="AA851" i="3"/>
  <c r="AC851" i="3"/>
  <c r="AD851" i="3"/>
  <c r="Z851" i="3"/>
  <c r="U850" i="3" l="1"/>
  <c r="Y849" i="3"/>
  <c r="T851" i="3"/>
  <c r="AH851" i="3" s="1"/>
  <c r="E851" i="3" l="1"/>
  <c r="H851" i="3" s="1"/>
  <c r="K851" i="3" s="1"/>
  <c r="AE851" i="3" s="1"/>
  <c r="AG851" i="3"/>
  <c r="D851" i="3"/>
  <c r="F851" i="3" l="1"/>
  <c r="G851" i="3"/>
  <c r="M851" i="3" s="1"/>
  <c r="N851" i="3" s="1"/>
  <c r="V851" i="3"/>
  <c r="A852" i="3"/>
  <c r="B852" i="3" s="1"/>
  <c r="I851" i="3" l="1"/>
  <c r="W851" i="3" s="1"/>
  <c r="J851" i="3"/>
  <c r="L851" i="3" s="1"/>
  <c r="AC852" i="3"/>
  <c r="AA852" i="3"/>
  <c r="AD852" i="3"/>
  <c r="P852" i="3"/>
  <c r="Q852" i="3" s="1"/>
  <c r="R852" i="3" s="1"/>
  <c r="S852" i="3" s="1"/>
  <c r="Z852" i="3"/>
  <c r="T852" i="3" l="1"/>
  <c r="U851" i="3"/>
  <c r="Y850" i="3"/>
  <c r="D852" i="3" l="1"/>
  <c r="G852" i="3" s="1"/>
  <c r="AH852" i="3"/>
  <c r="E852" i="3"/>
  <c r="H852" i="3" s="1"/>
  <c r="AG852" i="3"/>
  <c r="F852" i="3" l="1"/>
  <c r="I852" i="3"/>
  <c r="J852" i="3"/>
  <c r="M852" i="3"/>
  <c r="N852" i="3" s="1"/>
  <c r="K852" i="3"/>
  <c r="AE852" i="3" s="1"/>
  <c r="L852" i="3" l="1"/>
  <c r="V852" i="3"/>
  <c r="W852" i="3" s="1"/>
  <c r="A853" i="3"/>
  <c r="B853" i="3" s="1"/>
  <c r="U852" i="3" l="1"/>
  <c r="Y851" i="3"/>
  <c r="AD853" i="3"/>
  <c r="AC853" i="3"/>
  <c r="P853" i="3"/>
  <c r="Q853" i="3" s="1"/>
  <c r="R853" i="3" s="1"/>
  <c r="S853" i="3" s="1"/>
  <c r="Z853" i="3"/>
  <c r="AA853" i="3"/>
  <c r="T853" i="3" l="1"/>
  <c r="AG853" i="3" s="1"/>
  <c r="E853" i="3" l="1"/>
  <c r="H853" i="3" s="1"/>
  <c r="AH853" i="3"/>
  <c r="D853" i="3"/>
  <c r="K853" i="3" l="1"/>
  <c r="AE853" i="3" s="1"/>
  <c r="F853" i="3"/>
  <c r="G853" i="3"/>
  <c r="I853" i="3" l="1"/>
  <c r="J853" i="3"/>
  <c r="M853" i="3"/>
  <c r="N853" i="3" s="1"/>
  <c r="V853" i="3"/>
  <c r="A854" i="3"/>
  <c r="B854" i="3" s="1"/>
  <c r="W853" i="3" l="1"/>
  <c r="L853" i="3"/>
  <c r="Z854" i="3"/>
  <c r="P854" i="3"/>
  <c r="Q854" i="3" s="1"/>
  <c r="R854" i="3" s="1"/>
  <c r="S854" i="3" s="1"/>
  <c r="AC854" i="3"/>
  <c r="AA854" i="3"/>
  <c r="U853" i="3" l="1"/>
  <c r="Y852" i="3"/>
  <c r="T854" i="3"/>
  <c r="AG854" i="3" s="1"/>
  <c r="E854" i="3" l="1"/>
  <c r="H854" i="3" s="1"/>
  <c r="K854" i="3" s="1"/>
  <c r="AE854" i="3" s="1"/>
  <c r="AH854" i="3"/>
  <c r="D854" i="3"/>
  <c r="G854" i="3" s="1"/>
  <c r="F854" i="3" l="1"/>
  <c r="I854" i="3"/>
  <c r="J854" i="3"/>
  <c r="AD854" i="3" s="1"/>
  <c r="M854" i="3"/>
  <c r="N854" i="3" s="1"/>
  <c r="V854" i="3"/>
  <c r="A855" i="3"/>
  <c r="B855" i="3" s="1"/>
  <c r="W854" i="3" l="1"/>
  <c r="L854" i="3"/>
  <c r="Z855" i="3"/>
  <c r="P855" i="3"/>
  <c r="Q855" i="3" s="1"/>
  <c r="R855" i="3" s="1"/>
  <c r="S855" i="3" s="1"/>
  <c r="AA855" i="3"/>
  <c r="AC855" i="3"/>
  <c r="AD855" i="3"/>
  <c r="T855" i="3" l="1"/>
  <c r="AG855" i="3" s="1"/>
  <c r="U854" i="3"/>
  <c r="Y853" i="3"/>
  <c r="E855" i="3" l="1"/>
  <c r="H855" i="3" s="1"/>
  <c r="K855" i="3" s="1"/>
  <c r="AE855" i="3" s="1"/>
  <c r="D855" i="3"/>
  <c r="AH855" i="3"/>
  <c r="F855" i="3" l="1"/>
  <c r="G855" i="3"/>
  <c r="V855" i="3"/>
  <c r="A856" i="3"/>
  <c r="B856" i="3" s="1"/>
  <c r="AA856" i="3" l="1"/>
  <c r="P856" i="3"/>
  <c r="Q856" i="3" s="1"/>
  <c r="R856" i="3" s="1"/>
  <c r="S856" i="3" s="1"/>
  <c r="Z856" i="3"/>
  <c r="AD856" i="3"/>
  <c r="AC856" i="3"/>
  <c r="I855" i="3"/>
  <c r="W855" i="3" s="1"/>
  <c r="J855" i="3"/>
  <c r="M855" i="3"/>
  <c r="N855" i="3" s="1"/>
  <c r="L855" i="3" l="1"/>
  <c r="T856" i="3"/>
  <c r="U855" i="3" l="1"/>
  <c r="D856" i="3" s="1"/>
  <c r="AH856" i="3"/>
  <c r="AG856" i="3"/>
  <c r="Y854" i="3"/>
  <c r="G856" i="3" l="1"/>
  <c r="E856" i="3"/>
  <c r="H856" i="3" s="1"/>
  <c r="F856" i="3" l="1"/>
  <c r="K856" i="3"/>
  <c r="AE856" i="3" s="1"/>
  <c r="I856" i="3"/>
  <c r="J856" i="3"/>
  <c r="M856" i="3"/>
  <c r="N856" i="3" s="1"/>
  <c r="L856" i="3" l="1"/>
  <c r="V856" i="3"/>
  <c r="W856" i="3" s="1"/>
  <c r="A857" i="3"/>
  <c r="B857" i="3" s="1"/>
  <c r="Z857" i="3" l="1"/>
  <c r="AC857" i="3"/>
  <c r="AD857" i="3"/>
  <c r="AA857" i="3"/>
  <c r="P857" i="3"/>
  <c r="Q857" i="3" s="1"/>
  <c r="R857" i="3" s="1"/>
  <c r="S857" i="3" s="1"/>
  <c r="U856" i="3"/>
  <c r="Y855" i="3"/>
  <c r="T857" i="3" l="1"/>
  <c r="E857" i="3" l="1"/>
  <c r="H857" i="3" s="1"/>
  <c r="AG857" i="3"/>
  <c r="D857" i="3"/>
  <c r="AH857" i="3"/>
  <c r="K857" i="3" l="1"/>
  <c r="AE857" i="3" s="1"/>
  <c r="F857" i="3"/>
  <c r="G857" i="3"/>
  <c r="I857" i="3" l="1"/>
  <c r="J857" i="3"/>
  <c r="M857" i="3"/>
  <c r="N857" i="3" s="1"/>
  <c r="V857" i="3"/>
  <c r="A858" i="3"/>
  <c r="B858" i="3" s="1"/>
  <c r="W857" i="3" l="1"/>
  <c r="L857" i="3"/>
  <c r="AA858" i="3"/>
  <c r="Z858" i="3"/>
  <c r="P858" i="3"/>
  <c r="Q858" i="3" s="1"/>
  <c r="R858" i="3" s="1"/>
  <c r="S858" i="3" s="1"/>
  <c r="AC858" i="3"/>
  <c r="U857" i="3" l="1"/>
  <c r="Y856" i="3"/>
  <c r="T858" i="3"/>
  <c r="D858" i="3" l="1"/>
  <c r="G858" i="3" s="1"/>
  <c r="E858" i="3"/>
  <c r="H858" i="3" s="1"/>
  <c r="K858" i="3" s="1"/>
  <c r="AE858" i="3" s="1"/>
  <c r="AG858" i="3"/>
  <c r="AH858" i="3"/>
  <c r="F858" i="3" l="1"/>
  <c r="V858" i="3"/>
  <c r="A859" i="3"/>
  <c r="B859" i="3" s="1"/>
  <c r="I858" i="3"/>
  <c r="J858" i="3"/>
  <c r="AD858" i="3" s="1"/>
  <c r="M858" i="3"/>
  <c r="N858" i="3" s="1"/>
  <c r="W858" i="3" l="1"/>
  <c r="L858" i="3"/>
  <c r="AC859" i="3"/>
  <c r="P859" i="3"/>
  <c r="Q859" i="3" s="1"/>
  <c r="R859" i="3" s="1"/>
  <c r="S859" i="3" s="1"/>
  <c r="AA859" i="3"/>
  <c r="Z859" i="3"/>
  <c r="AD859" i="3"/>
  <c r="U858" i="3" l="1"/>
  <c r="Y857" i="3"/>
  <c r="T859" i="3"/>
  <c r="D859" i="3" l="1"/>
  <c r="G859" i="3" s="1"/>
  <c r="AH859" i="3"/>
  <c r="AG859" i="3"/>
  <c r="E859" i="3"/>
  <c r="H859" i="3" s="1"/>
  <c r="K859" i="3" s="1"/>
  <c r="AE859" i="3" s="1"/>
  <c r="F859" i="3" l="1"/>
  <c r="I859" i="3"/>
  <c r="J859" i="3"/>
  <c r="M859" i="3"/>
  <c r="N859" i="3" s="1"/>
  <c r="V859" i="3"/>
  <c r="A860" i="3"/>
  <c r="B860" i="3" s="1"/>
  <c r="W859" i="3" l="1"/>
  <c r="AC860" i="3"/>
  <c r="AD860" i="3"/>
  <c r="Z860" i="3"/>
  <c r="AA860" i="3"/>
  <c r="P860" i="3"/>
  <c r="Q860" i="3" s="1"/>
  <c r="R860" i="3" s="1"/>
  <c r="S860" i="3" s="1"/>
  <c r="L859" i="3"/>
  <c r="T860" i="3" l="1"/>
  <c r="U859" i="3"/>
  <c r="Y858" i="3"/>
  <c r="D860" i="3" l="1"/>
  <c r="G860" i="3" s="1"/>
  <c r="AG860" i="3"/>
  <c r="AH860" i="3"/>
  <c r="E860" i="3"/>
  <c r="H860" i="3" s="1"/>
  <c r="I860" i="3" l="1"/>
  <c r="J860" i="3"/>
  <c r="M860" i="3"/>
  <c r="N860" i="3" s="1"/>
  <c r="K860" i="3"/>
  <c r="AE860" i="3" s="1"/>
  <c r="F860" i="3"/>
  <c r="L860" i="3" l="1"/>
  <c r="V860" i="3"/>
  <c r="W860" i="3" s="1"/>
  <c r="A861" i="3"/>
  <c r="B861" i="3" s="1"/>
  <c r="U860" i="3" l="1"/>
  <c r="Y859" i="3"/>
  <c r="Z861" i="3"/>
  <c r="AD861" i="3"/>
  <c r="P861" i="3"/>
  <c r="Q861" i="3" s="1"/>
  <c r="R861" i="3" s="1"/>
  <c r="S861" i="3" s="1"/>
  <c r="AC861" i="3"/>
  <c r="AA861" i="3"/>
  <c r="T861" i="3" l="1"/>
  <c r="E861" i="3" s="1"/>
  <c r="H861" i="3" s="1"/>
  <c r="K861" i="3" l="1"/>
  <c r="AE861" i="3" s="1"/>
  <c r="D861" i="3"/>
  <c r="AH861" i="3"/>
  <c r="AG861" i="3"/>
  <c r="F861" i="3" l="1"/>
  <c r="G861" i="3"/>
  <c r="V861" i="3"/>
  <c r="A862" i="3"/>
  <c r="B862" i="3" s="1"/>
  <c r="AD862" i="3" l="1"/>
  <c r="Z862" i="3"/>
  <c r="P862" i="3"/>
  <c r="Q862" i="3" s="1"/>
  <c r="R862" i="3" s="1"/>
  <c r="S862" i="3" s="1"/>
  <c r="AC862" i="3"/>
  <c r="AA862" i="3"/>
  <c r="I861" i="3"/>
  <c r="W861" i="3" s="1"/>
  <c r="J861" i="3"/>
  <c r="M861" i="3"/>
  <c r="N861" i="3" s="1"/>
  <c r="T862" i="3" l="1"/>
  <c r="L861" i="3"/>
  <c r="AH862" i="3" l="1"/>
  <c r="U861" i="3"/>
  <c r="D862" i="3" s="1"/>
  <c r="AG862" i="3"/>
  <c r="Y860" i="3"/>
  <c r="E862" i="3" l="1"/>
  <c r="H862" i="3" s="1"/>
  <c r="K862" i="3" s="1"/>
  <c r="AE862" i="3" s="1"/>
  <c r="G862" i="3"/>
  <c r="F862" i="3" l="1"/>
  <c r="I862" i="3"/>
  <c r="J862" i="3"/>
  <c r="M862" i="3"/>
  <c r="N862" i="3" s="1"/>
  <c r="V862" i="3"/>
  <c r="A863" i="3"/>
  <c r="B863" i="3" s="1"/>
  <c r="W862" i="3" l="1"/>
  <c r="L862" i="3"/>
  <c r="AA863" i="3"/>
  <c r="Z863" i="3"/>
  <c r="P863" i="3"/>
  <c r="Q863" i="3" s="1"/>
  <c r="R863" i="3" s="1"/>
  <c r="S863" i="3" s="1"/>
  <c r="AD863" i="3"/>
  <c r="AC863" i="3"/>
  <c r="T863" i="3" l="1"/>
  <c r="U862" i="3"/>
  <c r="Y861" i="3"/>
  <c r="E863" i="3" l="1"/>
  <c r="H863" i="3" s="1"/>
  <c r="K863" i="3" s="1"/>
  <c r="AE863" i="3" s="1"/>
  <c r="D863" i="3"/>
  <c r="G863" i="3" s="1"/>
  <c r="AH863" i="3"/>
  <c r="AG863" i="3"/>
  <c r="F863" i="3" l="1"/>
  <c r="I863" i="3"/>
  <c r="J863" i="3"/>
  <c r="M863" i="3"/>
  <c r="N863" i="3" s="1"/>
  <c r="V863" i="3"/>
  <c r="A864" i="3"/>
  <c r="B864" i="3" s="1"/>
  <c r="W863" i="3" l="1"/>
  <c r="L863" i="3"/>
  <c r="AC864" i="3"/>
  <c r="Z864" i="3"/>
  <c r="AA864" i="3"/>
  <c r="P864" i="3"/>
  <c r="Q864" i="3" s="1"/>
  <c r="R864" i="3" s="1"/>
  <c r="S864" i="3" s="1"/>
  <c r="U863" i="3" l="1"/>
  <c r="Y862" i="3"/>
  <c r="T864" i="3"/>
  <c r="AH864" i="3" s="1"/>
  <c r="E864" i="3" l="1"/>
  <c r="H864" i="3" s="1"/>
  <c r="D864" i="3"/>
  <c r="AG864" i="3"/>
  <c r="K864" i="3" l="1"/>
  <c r="AE864" i="3" s="1"/>
  <c r="F864" i="3"/>
  <c r="G864" i="3"/>
  <c r="I864" i="3" l="1"/>
  <c r="J864" i="3"/>
  <c r="AD864" i="3" s="1"/>
  <c r="M864" i="3"/>
  <c r="N864" i="3" s="1"/>
  <c r="V864" i="3"/>
  <c r="A865" i="3"/>
  <c r="B865" i="3" s="1"/>
  <c r="W864" i="3" l="1"/>
  <c r="L864" i="3"/>
  <c r="AD865" i="3"/>
  <c r="P865" i="3"/>
  <c r="Q865" i="3" s="1"/>
  <c r="R865" i="3" s="1"/>
  <c r="S865" i="3" s="1"/>
  <c r="AC865" i="3"/>
  <c r="Z865" i="3"/>
  <c r="AA865" i="3"/>
  <c r="U864" i="3" l="1"/>
  <c r="Y863" i="3"/>
  <c r="T865" i="3"/>
  <c r="AG865" i="3" s="1"/>
  <c r="E865" i="3" l="1"/>
  <c r="H865" i="3" s="1"/>
  <c r="K865" i="3" s="1"/>
  <c r="AE865" i="3" s="1"/>
  <c r="D865" i="3"/>
  <c r="G865" i="3" s="1"/>
  <c r="AH865" i="3"/>
  <c r="F865" i="3" l="1"/>
  <c r="V865" i="3"/>
  <c r="A866" i="3"/>
  <c r="B866" i="3" s="1"/>
  <c r="I865" i="3"/>
  <c r="J865" i="3"/>
  <c r="M865" i="3"/>
  <c r="N865" i="3" s="1"/>
  <c r="W865" i="3" l="1"/>
  <c r="L865" i="3"/>
  <c r="P866" i="3"/>
  <c r="Q866" i="3" s="1"/>
  <c r="R866" i="3" s="1"/>
  <c r="S866" i="3" s="1"/>
  <c r="AA866" i="3"/>
  <c r="Z866" i="3"/>
  <c r="AC866" i="3"/>
  <c r="AD866" i="3"/>
  <c r="T866" i="3" l="1"/>
  <c r="U865" i="3"/>
  <c r="Y864" i="3"/>
  <c r="D866" i="3" l="1"/>
  <c r="G866" i="3" s="1"/>
  <c r="AG866" i="3"/>
  <c r="AH866" i="3"/>
  <c r="E866" i="3"/>
  <c r="H866" i="3" s="1"/>
  <c r="F866" i="3" l="1"/>
  <c r="K866" i="3"/>
  <c r="AE866" i="3" s="1"/>
  <c r="I866" i="3"/>
  <c r="J866" i="3"/>
  <c r="M866" i="3"/>
  <c r="N866" i="3" s="1"/>
  <c r="L866" i="3" l="1"/>
  <c r="V866" i="3"/>
  <c r="W866" i="3" s="1"/>
  <c r="A867" i="3"/>
  <c r="B867" i="3" s="1"/>
  <c r="Z867" i="3" l="1"/>
  <c r="AA867" i="3"/>
  <c r="P867" i="3"/>
  <c r="Q867" i="3" s="1"/>
  <c r="R867" i="3" s="1"/>
  <c r="S867" i="3" s="1"/>
  <c r="AC867" i="3"/>
  <c r="AD867" i="3"/>
  <c r="U866" i="3"/>
  <c r="Y865" i="3"/>
  <c r="T867" i="3" l="1"/>
  <c r="D867" i="3" s="1"/>
  <c r="AG867" i="3" l="1"/>
  <c r="E867" i="3"/>
  <c r="H867" i="3" s="1"/>
  <c r="K867" i="3" s="1"/>
  <c r="AE867" i="3" s="1"/>
  <c r="AH867" i="3"/>
  <c r="G867" i="3"/>
  <c r="F867" i="3" l="1"/>
  <c r="I867" i="3"/>
  <c r="J867" i="3"/>
  <c r="M867" i="3"/>
  <c r="N867" i="3" s="1"/>
  <c r="V867" i="3"/>
  <c r="A868" i="3"/>
  <c r="B868" i="3" s="1"/>
  <c r="W867" i="3" l="1"/>
  <c r="L867" i="3"/>
  <c r="Z868" i="3"/>
  <c r="AA868" i="3"/>
  <c r="AC868" i="3"/>
  <c r="P868" i="3"/>
  <c r="Q868" i="3" s="1"/>
  <c r="R868" i="3" s="1"/>
  <c r="S868" i="3" s="1"/>
  <c r="T868" i="3" l="1"/>
  <c r="U867" i="3"/>
  <c r="Y866" i="3"/>
  <c r="E868" i="3" l="1"/>
  <c r="H868" i="3" s="1"/>
  <c r="K868" i="3" s="1"/>
  <c r="AE868" i="3" s="1"/>
  <c r="AH868" i="3"/>
  <c r="D868" i="3"/>
  <c r="G868" i="3" s="1"/>
  <c r="AG868" i="3"/>
  <c r="F868" i="3" l="1"/>
  <c r="I868" i="3"/>
  <c r="J868" i="3"/>
  <c r="AD868" i="3" s="1"/>
  <c r="M868" i="3"/>
  <c r="N868" i="3" s="1"/>
  <c r="V868" i="3"/>
  <c r="A869" i="3"/>
  <c r="B869" i="3" s="1"/>
  <c r="W868" i="3" l="1"/>
  <c r="L868" i="3"/>
  <c r="P869" i="3"/>
  <c r="Q869" i="3" s="1"/>
  <c r="R869" i="3" s="1"/>
  <c r="S869" i="3" s="1"/>
  <c r="Z869" i="3"/>
  <c r="AC869" i="3"/>
  <c r="AA869" i="3"/>
  <c r="AD869" i="3"/>
  <c r="T869" i="3" l="1"/>
  <c r="U868" i="3"/>
  <c r="Y867" i="3"/>
  <c r="E869" i="3" l="1"/>
  <c r="H869" i="3" s="1"/>
  <c r="K869" i="3" s="1"/>
  <c r="AE869" i="3" s="1"/>
  <c r="AG869" i="3"/>
  <c r="D869" i="3"/>
  <c r="AH869" i="3"/>
  <c r="V869" i="3" l="1"/>
  <c r="A870" i="3"/>
  <c r="B870" i="3" s="1"/>
  <c r="F869" i="3"/>
  <c r="G869" i="3"/>
  <c r="I869" i="3" l="1"/>
  <c r="W869" i="3" s="1"/>
  <c r="J869" i="3"/>
  <c r="M869" i="3"/>
  <c r="N869" i="3" s="1"/>
  <c r="AD870" i="3"/>
  <c r="Z870" i="3"/>
  <c r="AA870" i="3"/>
  <c r="P870" i="3"/>
  <c r="Q870" i="3" s="1"/>
  <c r="R870" i="3" s="1"/>
  <c r="S870" i="3" s="1"/>
  <c r="AC870" i="3"/>
  <c r="L869" i="3" l="1"/>
  <c r="T870" i="3"/>
  <c r="U869" i="3" l="1"/>
  <c r="E870" i="3" s="1"/>
  <c r="H870" i="3" s="1"/>
  <c r="AH870" i="3"/>
  <c r="AG870" i="3"/>
  <c r="Y868" i="3"/>
  <c r="D870" i="3" l="1"/>
  <c r="G870" i="3" s="1"/>
  <c r="K870" i="3"/>
  <c r="AE870" i="3" s="1"/>
  <c r="F870" i="3" l="1"/>
  <c r="V870" i="3"/>
  <c r="A871" i="3"/>
  <c r="B871" i="3" s="1"/>
  <c r="I870" i="3"/>
  <c r="J870" i="3"/>
  <c r="M870" i="3"/>
  <c r="N870" i="3" s="1"/>
  <c r="W870" i="3" l="1"/>
  <c r="L870" i="3"/>
  <c r="Z871" i="3"/>
  <c r="P871" i="3"/>
  <c r="Q871" i="3" s="1"/>
  <c r="R871" i="3" s="1"/>
  <c r="S871" i="3" s="1"/>
  <c r="AD871" i="3"/>
  <c r="AA871" i="3"/>
  <c r="AC871" i="3"/>
  <c r="T871" i="3" l="1"/>
  <c r="AH871" i="3" s="1"/>
  <c r="U870" i="3"/>
  <c r="Y869" i="3"/>
  <c r="E871" i="3" l="1"/>
  <c r="H871" i="3" s="1"/>
  <c r="K871" i="3" s="1"/>
  <c r="AE871" i="3" s="1"/>
  <c r="AG871" i="3"/>
  <c r="D871" i="3"/>
  <c r="F871" i="3" l="1"/>
  <c r="G871" i="3"/>
  <c r="V871" i="3"/>
  <c r="A872" i="3"/>
  <c r="B872" i="3" s="1"/>
  <c r="AC872" i="3" l="1"/>
  <c r="AA872" i="3"/>
  <c r="P872" i="3"/>
  <c r="Q872" i="3" s="1"/>
  <c r="R872" i="3" s="1"/>
  <c r="S872" i="3" s="1"/>
  <c r="Z872" i="3"/>
  <c r="AD872" i="3"/>
  <c r="I871" i="3"/>
  <c r="W871" i="3" s="1"/>
  <c r="J871" i="3"/>
  <c r="M871" i="3"/>
  <c r="N871" i="3" s="1"/>
  <c r="L871" i="3" l="1"/>
  <c r="T872" i="3"/>
  <c r="AG872" i="3" l="1"/>
  <c r="AH872" i="3"/>
  <c r="U871" i="3"/>
  <c r="E872" i="3" s="1"/>
  <c r="H872" i="3" s="1"/>
  <c r="Y870" i="3"/>
  <c r="D872" i="3" l="1"/>
  <c r="G872" i="3" s="1"/>
  <c r="K872" i="3"/>
  <c r="AE872" i="3" s="1"/>
  <c r="F872" i="3" l="1"/>
  <c r="I872" i="3"/>
  <c r="J872" i="3"/>
  <c r="M872" i="3"/>
  <c r="N872" i="3" s="1"/>
  <c r="V872" i="3"/>
  <c r="A873" i="3"/>
  <c r="B873" i="3" s="1"/>
  <c r="W872" i="3" l="1"/>
  <c r="L872" i="3"/>
  <c r="AA873" i="3"/>
  <c r="AC873" i="3"/>
  <c r="AD873" i="3"/>
  <c r="P873" i="3"/>
  <c r="Q873" i="3" s="1"/>
  <c r="R873" i="3" s="1"/>
  <c r="S873" i="3" s="1"/>
  <c r="Z873" i="3"/>
  <c r="T873" i="3" l="1"/>
  <c r="AH873" i="3" s="1"/>
  <c r="U872" i="3"/>
  <c r="Y871" i="3"/>
  <c r="AG873" i="3" l="1"/>
  <c r="E873" i="3"/>
  <c r="H873" i="3" s="1"/>
  <c r="D873" i="3"/>
  <c r="K873" i="3" l="1"/>
  <c r="AE873" i="3" s="1"/>
  <c r="F873" i="3"/>
  <c r="G873" i="3"/>
  <c r="I873" i="3" l="1"/>
  <c r="J873" i="3"/>
  <c r="M873" i="3"/>
  <c r="N873" i="3" s="1"/>
  <c r="V873" i="3"/>
  <c r="A874" i="3"/>
  <c r="B874" i="3" s="1"/>
  <c r="W873" i="3" l="1"/>
  <c r="L873" i="3"/>
  <c r="AA874" i="3"/>
  <c r="P874" i="3"/>
  <c r="Q874" i="3" s="1"/>
  <c r="R874" i="3" s="1"/>
  <c r="S874" i="3" s="1"/>
  <c r="Z874" i="3"/>
  <c r="AC874" i="3"/>
  <c r="T874" i="3" l="1"/>
  <c r="AH874" i="3" s="1"/>
  <c r="U873" i="3"/>
  <c r="Y872" i="3"/>
  <c r="E874" i="3" l="1"/>
  <c r="H874" i="3" s="1"/>
  <c r="D874" i="3"/>
  <c r="AG874" i="3"/>
  <c r="K874" i="3" l="1"/>
  <c r="AE874" i="3" s="1"/>
  <c r="F874" i="3"/>
  <c r="G874" i="3"/>
  <c r="I874" i="3" l="1"/>
  <c r="J874" i="3"/>
  <c r="AD874" i="3" s="1"/>
  <c r="M874" i="3"/>
  <c r="N874" i="3" s="1"/>
  <c r="V874" i="3"/>
  <c r="A875" i="3"/>
  <c r="B875" i="3" s="1"/>
  <c r="W874" i="3" l="1"/>
  <c r="L874" i="3"/>
  <c r="AA875" i="3"/>
  <c r="Z875" i="3"/>
  <c r="P875" i="3"/>
  <c r="Q875" i="3" s="1"/>
  <c r="R875" i="3" s="1"/>
  <c r="S875" i="3" s="1"/>
  <c r="AD875" i="3"/>
  <c r="AC875" i="3"/>
  <c r="T875" i="3" l="1"/>
  <c r="U874" i="3"/>
  <c r="Y873" i="3"/>
  <c r="D875" i="3" l="1"/>
  <c r="G875" i="3" s="1"/>
  <c r="E875" i="3"/>
  <c r="H875" i="3" s="1"/>
  <c r="K875" i="3" s="1"/>
  <c r="AE875" i="3" s="1"/>
  <c r="AH875" i="3"/>
  <c r="AG875" i="3"/>
  <c r="F875" i="3" l="1"/>
  <c r="V875" i="3"/>
  <c r="A876" i="3"/>
  <c r="B876" i="3" s="1"/>
  <c r="I875" i="3"/>
  <c r="J875" i="3"/>
  <c r="M875" i="3"/>
  <c r="N875" i="3" s="1"/>
  <c r="W875" i="3" l="1"/>
  <c r="L875" i="3"/>
  <c r="AC876" i="3"/>
  <c r="P876" i="3"/>
  <c r="Q876" i="3" s="1"/>
  <c r="R876" i="3" s="1"/>
  <c r="S876" i="3" s="1"/>
  <c r="Z876" i="3"/>
  <c r="AA876" i="3"/>
  <c r="AD876" i="3"/>
  <c r="U875" i="3" l="1"/>
  <c r="Y874" i="3"/>
  <c r="T876" i="3"/>
  <c r="AG876" i="3" s="1"/>
  <c r="D876" i="3" l="1"/>
  <c r="E876" i="3"/>
  <c r="H876" i="3" s="1"/>
  <c r="AH876" i="3"/>
  <c r="K876" i="3" l="1"/>
  <c r="AE876" i="3" s="1"/>
  <c r="F876" i="3"/>
  <c r="G876" i="3"/>
  <c r="I876" i="3" l="1"/>
  <c r="J876" i="3"/>
  <c r="M876" i="3"/>
  <c r="N876" i="3" s="1"/>
  <c r="V876" i="3"/>
  <c r="A877" i="3"/>
  <c r="B877" i="3" s="1"/>
  <c r="W876" i="3" l="1"/>
  <c r="L876" i="3"/>
  <c r="P877" i="3"/>
  <c r="Q877" i="3" s="1"/>
  <c r="R877" i="3" s="1"/>
  <c r="S877" i="3" s="1"/>
  <c r="AA877" i="3"/>
  <c r="Z877" i="3"/>
  <c r="AD877" i="3"/>
  <c r="AC877" i="3"/>
  <c r="U876" i="3" l="1"/>
  <c r="Y875" i="3"/>
  <c r="T877" i="3"/>
  <c r="D877" i="3" l="1"/>
  <c r="G877" i="3" s="1"/>
  <c r="AH877" i="3"/>
  <c r="AG877" i="3"/>
  <c r="E877" i="3"/>
  <c r="H877" i="3" s="1"/>
  <c r="I877" i="3" l="1"/>
  <c r="J877" i="3"/>
  <c r="M877" i="3"/>
  <c r="N877" i="3" s="1"/>
  <c r="K877" i="3"/>
  <c r="AE877" i="3" s="1"/>
  <c r="F877" i="3"/>
  <c r="V877" i="3" l="1"/>
  <c r="W877" i="3" s="1"/>
  <c r="A878" i="3"/>
  <c r="B878" i="3" s="1"/>
  <c r="L877" i="3"/>
  <c r="U877" i="3" l="1"/>
  <c r="Y876" i="3"/>
  <c r="Z878" i="3"/>
  <c r="AC878" i="3"/>
  <c r="AA878" i="3"/>
  <c r="P878" i="3"/>
  <c r="Q878" i="3" s="1"/>
  <c r="R878" i="3" s="1"/>
  <c r="S878" i="3" s="1"/>
  <c r="T878" i="3" l="1"/>
  <c r="E878" i="3" s="1"/>
  <c r="H878" i="3" s="1"/>
  <c r="D878" i="3" l="1"/>
  <c r="G878" i="3" s="1"/>
  <c r="AG878" i="3"/>
  <c r="AH878" i="3"/>
  <c r="K878" i="3"/>
  <c r="AE878" i="3" s="1"/>
  <c r="F878" i="3" l="1"/>
  <c r="I878" i="3"/>
  <c r="J878" i="3"/>
  <c r="AD878" i="3" s="1"/>
  <c r="M878" i="3"/>
  <c r="N878" i="3" s="1"/>
  <c r="V878" i="3"/>
  <c r="A879" i="3"/>
  <c r="B879" i="3" s="1"/>
  <c r="W878" i="3" l="1"/>
  <c r="L878" i="3"/>
  <c r="AC879" i="3"/>
  <c r="AD879" i="3"/>
  <c r="P879" i="3"/>
  <c r="Q879" i="3" s="1"/>
  <c r="R879" i="3" s="1"/>
  <c r="S879" i="3" s="1"/>
  <c r="AA879" i="3"/>
  <c r="Z879" i="3"/>
  <c r="T879" i="3" l="1"/>
  <c r="AG879" i="3" s="1"/>
  <c r="U878" i="3"/>
  <c r="Y877" i="3"/>
  <c r="E879" i="3" l="1"/>
  <c r="H879" i="3" s="1"/>
  <c r="D879" i="3"/>
  <c r="AH879" i="3"/>
  <c r="F879" i="3" l="1"/>
  <c r="G879" i="3"/>
  <c r="K879" i="3"/>
  <c r="AE879" i="3" s="1"/>
  <c r="I879" i="3" l="1"/>
  <c r="J879" i="3"/>
  <c r="M879" i="3"/>
  <c r="N879" i="3" s="1"/>
  <c r="V879" i="3"/>
  <c r="A880" i="3"/>
  <c r="B880" i="3" s="1"/>
  <c r="W879" i="3" l="1"/>
  <c r="L879" i="3"/>
  <c r="AD880" i="3"/>
  <c r="AA880" i="3"/>
  <c r="AC880" i="3"/>
  <c r="Z880" i="3"/>
  <c r="P880" i="3"/>
  <c r="Q880" i="3" s="1"/>
  <c r="R880" i="3" s="1"/>
  <c r="S880" i="3" s="1"/>
  <c r="T880" i="3" l="1"/>
  <c r="AG880" i="3" s="1"/>
  <c r="U879" i="3"/>
  <c r="Y878" i="3"/>
  <c r="D880" i="3" l="1"/>
  <c r="AH880" i="3"/>
  <c r="E880" i="3"/>
  <c r="H880" i="3" s="1"/>
  <c r="F880" i="3" l="1"/>
  <c r="G880" i="3"/>
  <c r="K880" i="3"/>
  <c r="AE880" i="3" s="1"/>
  <c r="V880" i="3" l="1"/>
  <c r="A881" i="3"/>
  <c r="B881" i="3" s="1"/>
  <c r="I880" i="3"/>
  <c r="J880" i="3"/>
  <c r="M880" i="3"/>
  <c r="N880" i="3" s="1"/>
  <c r="W880" i="3" l="1"/>
  <c r="L880" i="3"/>
  <c r="AA881" i="3"/>
  <c r="AD881" i="3"/>
  <c r="P881" i="3"/>
  <c r="Q881" i="3" s="1"/>
  <c r="R881" i="3" s="1"/>
  <c r="S881" i="3" s="1"/>
  <c r="Z881" i="3"/>
  <c r="AC881" i="3"/>
  <c r="U880" i="3" l="1"/>
  <c r="Y879" i="3"/>
  <c r="T881" i="3"/>
  <c r="E881" i="3" l="1"/>
  <c r="H881" i="3" s="1"/>
  <c r="K881" i="3" s="1"/>
  <c r="AE881" i="3" s="1"/>
  <c r="D881" i="3"/>
  <c r="AG881" i="3"/>
  <c r="AH881" i="3"/>
  <c r="F881" i="3" l="1"/>
  <c r="G881" i="3"/>
  <c r="I881" i="3" s="1"/>
  <c r="V881" i="3"/>
  <c r="A882" i="3"/>
  <c r="B882" i="3" s="1"/>
  <c r="W881" i="3" l="1"/>
  <c r="M881" i="3"/>
  <c r="N881" i="3" s="1"/>
  <c r="J881" i="3"/>
  <c r="L881" i="3" s="1"/>
  <c r="Z882" i="3"/>
  <c r="P882" i="3"/>
  <c r="Q882" i="3" s="1"/>
  <c r="R882" i="3" s="1"/>
  <c r="S882" i="3" s="1"/>
  <c r="AD882" i="3"/>
  <c r="AC882" i="3"/>
  <c r="AA882" i="3"/>
  <c r="T882" i="3" l="1"/>
  <c r="AG882" i="3" s="1"/>
  <c r="U881" i="3"/>
  <c r="Y880" i="3"/>
  <c r="AH882" i="3" l="1"/>
  <c r="D882" i="3"/>
  <c r="E882" i="3"/>
  <c r="H882" i="3" s="1"/>
  <c r="F882" i="3" l="1"/>
  <c r="G882" i="3"/>
  <c r="K882" i="3"/>
  <c r="AE882" i="3" s="1"/>
  <c r="I882" i="3" l="1"/>
  <c r="J882" i="3"/>
  <c r="M882" i="3"/>
  <c r="N882" i="3" s="1"/>
  <c r="V882" i="3"/>
  <c r="A883" i="3"/>
  <c r="B883" i="3" s="1"/>
  <c r="W882" i="3" l="1"/>
  <c r="L882" i="3"/>
  <c r="AC883" i="3"/>
  <c r="AA883" i="3"/>
  <c r="Z883" i="3"/>
  <c r="AD883" i="3"/>
  <c r="P883" i="3"/>
  <c r="Q883" i="3" s="1"/>
  <c r="R883" i="3" s="1"/>
  <c r="S883" i="3" s="1"/>
  <c r="T883" i="3" l="1"/>
  <c r="AG883" i="3" s="1"/>
  <c r="U882" i="3"/>
  <c r="Y881" i="3"/>
  <c r="E883" i="3" l="1"/>
  <c r="H883" i="3" s="1"/>
  <c r="K883" i="3" s="1"/>
  <c r="AE883" i="3" s="1"/>
  <c r="D883" i="3"/>
  <c r="AH883" i="3"/>
  <c r="V883" i="3" l="1"/>
  <c r="A884" i="3"/>
  <c r="B884" i="3" s="1"/>
  <c r="F883" i="3"/>
  <c r="G883" i="3"/>
  <c r="I883" i="3" l="1"/>
  <c r="W883" i="3" s="1"/>
  <c r="J883" i="3"/>
  <c r="M883" i="3"/>
  <c r="N883" i="3" s="1"/>
  <c r="AA884" i="3"/>
  <c r="Z884" i="3"/>
  <c r="P884" i="3"/>
  <c r="Q884" i="3" s="1"/>
  <c r="R884" i="3" s="1"/>
  <c r="S884" i="3" s="1"/>
  <c r="AC884" i="3"/>
  <c r="T884" i="3" l="1"/>
  <c r="L883" i="3"/>
  <c r="AG884" i="3" l="1"/>
  <c r="U883" i="3"/>
  <c r="D884" i="3" s="1"/>
  <c r="AH884" i="3"/>
  <c r="Y882" i="3"/>
  <c r="E884" i="3" l="1"/>
  <c r="H884" i="3" s="1"/>
  <c r="K884" i="3" s="1"/>
  <c r="AE884" i="3" s="1"/>
  <c r="G884" i="3"/>
  <c r="F884" i="3" l="1"/>
  <c r="V884" i="3"/>
  <c r="A885" i="3"/>
  <c r="B885" i="3" s="1"/>
  <c r="I884" i="3"/>
  <c r="J884" i="3"/>
  <c r="AD884" i="3" s="1"/>
  <c r="M884" i="3"/>
  <c r="N884" i="3" s="1"/>
  <c r="W884" i="3" l="1"/>
  <c r="L884" i="3"/>
  <c r="P885" i="3"/>
  <c r="Q885" i="3" s="1"/>
  <c r="R885" i="3" s="1"/>
  <c r="S885" i="3" s="1"/>
  <c r="AD885" i="3"/>
  <c r="Z885" i="3"/>
  <c r="AC885" i="3"/>
  <c r="AA885" i="3"/>
  <c r="U884" i="3" l="1"/>
  <c r="Y883" i="3"/>
  <c r="T885" i="3"/>
  <c r="AH885" i="3" s="1"/>
  <c r="D885" i="3" l="1"/>
  <c r="G885" i="3" s="1"/>
  <c r="E885" i="3"/>
  <c r="H885" i="3" s="1"/>
  <c r="K885" i="3" s="1"/>
  <c r="AE885" i="3" s="1"/>
  <c r="AG885" i="3"/>
  <c r="F885" i="3" l="1"/>
  <c r="V885" i="3"/>
  <c r="A886" i="3"/>
  <c r="B886" i="3" s="1"/>
  <c r="I885" i="3"/>
  <c r="J885" i="3"/>
  <c r="M885" i="3"/>
  <c r="N885" i="3" s="1"/>
  <c r="W885" i="3" l="1"/>
  <c r="L885" i="3"/>
  <c r="P886" i="3"/>
  <c r="Q886" i="3" s="1"/>
  <c r="R886" i="3" s="1"/>
  <c r="S886" i="3" s="1"/>
  <c r="AA886" i="3"/>
  <c r="AC886" i="3"/>
  <c r="AD886" i="3"/>
  <c r="Z886" i="3"/>
  <c r="U885" i="3" l="1"/>
  <c r="Y884" i="3"/>
  <c r="T886" i="3"/>
  <c r="E886" i="3" l="1"/>
  <c r="H886" i="3" s="1"/>
  <c r="K886" i="3" s="1"/>
  <c r="AE886" i="3" s="1"/>
  <c r="AH886" i="3"/>
  <c r="AG886" i="3"/>
  <c r="D886" i="3"/>
  <c r="F886" i="3" l="1"/>
  <c r="G886" i="3"/>
  <c r="V886" i="3"/>
  <c r="A887" i="3"/>
  <c r="B887" i="3" s="1"/>
  <c r="I886" i="3" l="1"/>
  <c r="W886" i="3" s="1"/>
  <c r="J886" i="3"/>
  <c r="M886" i="3"/>
  <c r="N886" i="3" s="1"/>
  <c r="P887" i="3"/>
  <c r="Q887" i="3" s="1"/>
  <c r="R887" i="3" s="1"/>
  <c r="S887" i="3" s="1"/>
  <c r="Z887" i="3"/>
  <c r="AD887" i="3"/>
  <c r="AA887" i="3"/>
  <c r="AC887" i="3"/>
  <c r="T887" i="3" l="1"/>
  <c r="L886" i="3"/>
  <c r="AG887" i="3" l="1"/>
  <c r="AH887" i="3"/>
  <c r="U886" i="3"/>
  <c r="D887" i="3" s="1"/>
  <c r="Y885" i="3"/>
  <c r="E887" i="3" l="1"/>
  <c r="H887" i="3" s="1"/>
  <c r="K887" i="3" s="1"/>
  <c r="AE887" i="3" s="1"/>
  <c r="G887" i="3"/>
  <c r="F887" i="3" l="1"/>
  <c r="I887" i="3"/>
  <c r="J887" i="3"/>
  <c r="M887" i="3"/>
  <c r="N887" i="3" s="1"/>
  <c r="V887" i="3"/>
  <c r="A888" i="3"/>
  <c r="B888" i="3" s="1"/>
  <c r="W887" i="3" l="1"/>
  <c r="L887" i="3"/>
  <c r="AC888" i="3"/>
  <c r="AA888" i="3"/>
  <c r="Z888" i="3"/>
  <c r="P888" i="3"/>
  <c r="Q888" i="3" s="1"/>
  <c r="R888" i="3" s="1"/>
  <c r="S888" i="3" s="1"/>
  <c r="T888" i="3" l="1"/>
  <c r="U887" i="3"/>
  <c r="Y886" i="3"/>
  <c r="E888" i="3" l="1"/>
  <c r="H888" i="3" s="1"/>
  <c r="K888" i="3" s="1"/>
  <c r="AE888" i="3" s="1"/>
  <c r="D888" i="3"/>
  <c r="G888" i="3" s="1"/>
  <c r="AG888" i="3"/>
  <c r="AH888" i="3"/>
  <c r="F888" i="3" l="1"/>
  <c r="I888" i="3"/>
  <c r="J888" i="3"/>
  <c r="AD888" i="3" s="1"/>
  <c r="M888" i="3"/>
  <c r="N888" i="3" s="1"/>
  <c r="V888" i="3"/>
  <c r="A889" i="3"/>
  <c r="B889" i="3" s="1"/>
  <c r="W888" i="3" l="1"/>
  <c r="L888" i="3"/>
  <c r="AA889" i="3"/>
  <c r="Z889" i="3"/>
  <c r="AD889" i="3"/>
  <c r="P889" i="3"/>
  <c r="Q889" i="3" s="1"/>
  <c r="R889" i="3" s="1"/>
  <c r="S889" i="3" s="1"/>
  <c r="AC889" i="3"/>
  <c r="T889" i="3" l="1"/>
  <c r="AG889" i="3" s="1"/>
  <c r="U888" i="3"/>
  <c r="Y887" i="3"/>
  <c r="AH889" i="3" l="1"/>
  <c r="D889" i="3"/>
  <c r="G889" i="3" s="1"/>
  <c r="E889" i="3"/>
  <c r="H889" i="3" s="1"/>
  <c r="I889" i="3" l="1"/>
  <c r="J889" i="3"/>
  <c r="M889" i="3"/>
  <c r="N889" i="3" s="1"/>
  <c r="K889" i="3"/>
  <c r="AE889" i="3" s="1"/>
  <c r="F889" i="3"/>
  <c r="L889" i="3" l="1"/>
  <c r="V889" i="3"/>
  <c r="W889" i="3" s="1"/>
  <c r="A890" i="3"/>
  <c r="B890" i="3" s="1"/>
  <c r="AA890" i="3" l="1"/>
  <c r="P890" i="3"/>
  <c r="Q890" i="3" s="1"/>
  <c r="R890" i="3" s="1"/>
  <c r="S890" i="3" s="1"/>
  <c r="Z890" i="3"/>
  <c r="AC890" i="3"/>
  <c r="AD890" i="3"/>
  <c r="U889" i="3"/>
  <c r="Y888" i="3"/>
  <c r="T890" i="3" l="1"/>
  <c r="AG890" i="3" s="1"/>
  <c r="E890" i="3" l="1"/>
  <c r="H890" i="3" s="1"/>
  <c r="K890" i="3" s="1"/>
  <c r="AE890" i="3" s="1"/>
  <c r="AH890" i="3"/>
  <c r="D890" i="3"/>
  <c r="F890" i="3" l="1"/>
  <c r="G890" i="3"/>
  <c r="V890" i="3"/>
  <c r="A891" i="3"/>
  <c r="B891" i="3" s="1"/>
  <c r="AD891" i="3" l="1"/>
  <c r="P891" i="3"/>
  <c r="Q891" i="3" s="1"/>
  <c r="R891" i="3" s="1"/>
  <c r="S891" i="3" s="1"/>
  <c r="AC891" i="3"/>
  <c r="Z891" i="3"/>
  <c r="AA891" i="3"/>
  <c r="I890" i="3"/>
  <c r="W890" i="3" s="1"/>
  <c r="J890" i="3"/>
  <c r="M890" i="3"/>
  <c r="N890" i="3" s="1"/>
  <c r="L890" i="3" l="1"/>
  <c r="T891" i="3"/>
  <c r="U890" i="3" l="1"/>
  <c r="D891" i="3" s="1"/>
  <c r="AH891" i="3"/>
  <c r="AG891" i="3"/>
  <c r="Y889" i="3"/>
  <c r="E891" i="3" l="1"/>
  <c r="H891" i="3" s="1"/>
  <c r="K891" i="3" s="1"/>
  <c r="AE891" i="3" s="1"/>
  <c r="G891" i="3"/>
  <c r="F891" i="3" l="1"/>
  <c r="I891" i="3"/>
  <c r="J891" i="3"/>
  <c r="M891" i="3"/>
  <c r="N891" i="3" s="1"/>
  <c r="V891" i="3"/>
  <c r="A892" i="3"/>
  <c r="B892" i="3" s="1"/>
  <c r="W891" i="3" l="1"/>
  <c r="L891" i="3"/>
  <c r="P892" i="3"/>
  <c r="Q892" i="3" s="1"/>
  <c r="R892" i="3" s="1"/>
  <c r="S892" i="3" s="1"/>
  <c r="AC892" i="3"/>
  <c r="AD892" i="3"/>
  <c r="Z892" i="3"/>
  <c r="AA892" i="3"/>
  <c r="U891" i="3" l="1"/>
  <c r="Y890" i="3"/>
  <c r="T892" i="3"/>
  <c r="AG892" i="3" s="1"/>
  <c r="AH892" i="3" l="1"/>
  <c r="D892" i="3"/>
  <c r="G892" i="3" s="1"/>
  <c r="E892" i="3"/>
  <c r="H892" i="3" s="1"/>
  <c r="F892" i="3" l="1"/>
  <c r="I892" i="3"/>
  <c r="J892" i="3"/>
  <c r="M892" i="3"/>
  <c r="N892" i="3" s="1"/>
  <c r="K892" i="3"/>
  <c r="AE892" i="3" s="1"/>
  <c r="V892" i="3" l="1"/>
  <c r="W892" i="3" s="1"/>
  <c r="A893" i="3"/>
  <c r="B893" i="3" s="1"/>
  <c r="L892" i="3"/>
  <c r="U892" i="3" l="1"/>
  <c r="Y891" i="3"/>
  <c r="AC893" i="3"/>
  <c r="P893" i="3"/>
  <c r="Q893" i="3" s="1"/>
  <c r="R893" i="3" s="1"/>
  <c r="S893" i="3" s="1"/>
  <c r="AD893" i="3"/>
  <c r="AA893" i="3"/>
  <c r="Z893" i="3"/>
  <c r="T893" i="3" l="1"/>
  <c r="E893" i="3" s="1"/>
  <c r="H893" i="3" s="1"/>
  <c r="AH893" i="3" l="1"/>
  <c r="D893" i="3"/>
  <c r="F893" i="3" s="1"/>
  <c r="AG893" i="3"/>
  <c r="K893" i="3"/>
  <c r="AE893" i="3" s="1"/>
  <c r="G893" i="3" l="1"/>
  <c r="M893" i="3" s="1"/>
  <c r="N893" i="3" s="1"/>
  <c r="V893" i="3"/>
  <c r="A894" i="3"/>
  <c r="B894" i="3" s="1"/>
  <c r="I893" i="3" l="1"/>
  <c r="W893" i="3" s="1"/>
  <c r="J893" i="3"/>
  <c r="L893" i="3" s="1"/>
  <c r="Z894" i="3"/>
  <c r="P894" i="3"/>
  <c r="Q894" i="3" s="1"/>
  <c r="R894" i="3" s="1"/>
  <c r="S894" i="3" s="1"/>
  <c r="AC894" i="3"/>
  <c r="AA894" i="3"/>
  <c r="U893" i="3" l="1"/>
  <c r="Y892" i="3"/>
  <c r="T894" i="3"/>
  <c r="AH894" i="3" s="1"/>
  <c r="D894" i="3" l="1"/>
  <c r="G894" i="3" s="1"/>
  <c r="AG894" i="3"/>
  <c r="E894" i="3"/>
  <c r="H894" i="3" s="1"/>
  <c r="F894" i="3" l="1"/>
  <c r="I894" i="3"/>
  <c r="J894" i="3"/>
  <c r="AD894" i="3" s="1"/>
  <c r="M894" i="3"/>
  <c r="N894" i="3" s="1"/>
  <c r="K894" i="3"/>
  <c r="AE894" i="3" s="1"/>
  <c r="V894" i="3" l="1"/>
  <c r="W894" i="3" s="1"/>
  <c r="A895" i="3"/>
  <c r="B895" i="3" s="1"/>
  <c r="L894" i="3"/>
  <c r="U894" i="3" l="1"/>
  <c r="Y893" i="3"/>
  <c r="AD895" i="3"/>
  <c r="P895" i="3"/>
  <c r="Q895" i="3" s="1"/>
  <c r="R895" i="3" s="1"/>
  <c r="S895" i="3" s="1"/>
  <c r="AA895" i="3"/>
  <c r="AC895" i="3"/>
  <c r="Z895" i="3"/>
  <c r="T895" i="3" l="1"/>
  <c r="AH895" i="3" s="1"/>
  <c r="E895" i="3" l="1"/>
  <c r="H895" i="3" s="1"/>
  <c r="K895" i="3" s="1"/>
  <c r="AE895" i="3" s="1"/>
  <c r="D895" i="3"/>
  <c r="AG895" i="3"/>
  <c r="F895" i="3" l="1"/>
  <c r="G895" i="3"/>
  <c r="V895" i="3"/>
  <c r="A896" i="3"/>
  <c r="B896" i="3" s="1"/>
  <c r="I895" i="3" l="1"/>
  <c r="W895" i="3" s="1"/>
  <c r="J895" i="3"/>
  <c r="M895" i="3"/>
  <c r="N895" i="3" s="1"/>
  <c r="Z896" i="3"/>
  <c r="P896" i="3"/>
  <c r="Q896" i="3" s="1"/>
  <c r="R896" i="3" s="1"/>
  <c r="S896" i="3" s="1"/>
  <c r="AC896" i="3"/>
  <c r="AD896" i="3"/>
  <c r="AA896" i="3"/>
  <c r="T896" i="3" l="1"/>
  <c r="L895" i="3"/>
  <c r="AG896" i="3" l="1"/>
  <c r="AH896" i="3"/>
  <c r="U895" i="3"/>
  <c r="E896" i="3" s="1"/>
  <c r="H896" i="3" s="1"/>
  <c r="Y894" i="3"/>
  <c r="D896" i="3" l="1"/>
  <c r="G896" i="3" s="1"/>
  <c r="K896" i="3"/>
  <c r="AE896" i="3" s="1"/>
  <c r="F896" i="3" l="1"/>
  <c r="V896" i="3"/>
  <c r="A897" i="3"/>
  <c r="B897" i="3" s="1"/>
  <c r="I896" i="3"/>
  <c r="J896" i="3"/>
  <c r="M896" i="3"/>
  <c r="N896" i="3" s="1"/>
  <c r="W896" i="3" l="1"/>
  <c r="L896" i="3"/>
  <c r="Z897" i="3"/>
  <c r="AC897" i="3"/>
  <c r="AA897" i="3"/>
  <c r="P897" i="3"/>
  <c r="Q897" i="3" s="1"/>
  <c r="R897" i="3" s="1"/>
  <c r="S897" i="3" s="1"/>
  <c r="AD897" i="3"/>
  <c r="U896" i="3" l="1"/>
  <c r="Y895" i="3"/>
  <c r="T897" i="3"/>
  <c r="D897" i="3" l="1"/>
  <c r="E897" i="3"/>
  <c r="H897" i="3" s="1"/>
  <c r="AH897" i="3"/>
  <c r="AG897" i="3"/>
  <c r="F897" i="3" l="1"/>
  <c r="G897" i="3"/>
  <c r="M897" i="3" s="1"/>
  <c r="N897" i="3" s="1"/>
  <c r="K897" i="3"/>
  <c r="AE897" i="3" s="1"/>
  <c r="I897" i="3" l="1"/>
  <c r="J897" i="3"/>
  <c r="L897" i="3" s="1"/>
  <c r="V897" i="3"/>
  <c r="A898" i="3"/>
  <c r="B898" i="3" s="1"/>
  <c r="W897" i="3" l="1"/>
  <c r="AA898" i="3"/>
  <c r="P898" i="3"/>
  <c r="Q898" i="3" s="1"/>
  <c r="R898" i="3" s="1"/>
  <c r="S898" i="3" s="1"/>
  <c r="Z898" i="3"/>
  <c r="AC898" i="3"/>
  <c r="U897" i="3"/>
  <c r="Y896" i="3"/>
  <c r="T898" i="3" l="1"/>
  <c r="D898" i="3" s="1"/>
  <c r="G898" i="3" l="1"/>
  <c r="AG898" i="3"/>
  <c r="E898" i="3"/>
  <c r="H898" i="3" s="1"/>
  <c r="AH898" i="3"/>
  <c r="F898" i="3" l="1"/>
  <c r="I898" i="3"/>
  <c r="J898" i="3"/>
  <c r="AD898" i="3" s="1"/>
  <c r="M898" i="3"/>
  <c r="N898" i="3" s="1"/>
  <c r="K898" i="3"/>
  <c r="AE898" i="3" s="1"/>
  <c r="V898" i="3" l="1"/>
  <c r="W898" i="3" s="1"/>
  <c r="A899" i="3"/>
  <c r="B899" i="3" s="1"/>
  <c r="L898" i="3"/>
  <c r="U898" i="3" l="1"/>
  <c r="Y897" i="3"/>
  <c r="AC899" i="3"/>
  <c r="Z899" i="3"/>
  <c r="P899" i="3"/>
  <c r="Q899" i="3" s="1"/>
  <c r="R899" i="3" s="1"/>
  <c r="S899" i="3" s="1"/>
  <c r="AD899" i="3"/>
  <c r="AA899" i="3"/>
  <c r="T899" i="3" l="1"/>
  <c r="E899" i="3" s="1"/>
  <c r="H899" i="3" s="1"/>
  <c r="D899" i="3" l="1"/>
  <c r="G899" i="3" s="1"/>
  <c r="AG899" i="3"/>
  <c r="AH899" i="3"/>
  <c r="K899" i="3"/>
  <c r="AE899" i="3" s="1"/>
  <c r="F899" i="3" l="1"/>
  <c r="I899" i="3"/>
  <c r="J899" i="3"/>
  <c r="M899" i="3"/>
  <c r="N899" i="3" s="1"/>
  <c r="V899" i="3"/>
  <c r="A900" i="3"/>
  <c r="B900" i="3" s="1"/>
  <c r="W899" i="3" l="1"/>
  <c r="L899" i="3"/>
  <c r="P900" i="3"/>
  <c r="Q900" i="3" s="1"/>
  <c r="R900" i="3" s="1"/>
  <c r="S900" i="3" s="1"/>
  <c r="AC900" i="3"/>
  <c r="Z900" i="3"/>
  <c r="AD900" i="3"/>
  <c r="AA900" i="3"/>
  <c r="U899" i="3" l="1"/>
  <c r="Y898" i="3"/>
  <c r="T900" i="3"/>
  <c r="D900" i="3" l="1"/>
  <c r="G900" i="3" s="1"/>
  <c r="AH900" i="3"/>
  <c r="AG900" i="3"/>
  <c r="E900" i="3"/>
  <c r="H900" i="3" s="1"/>
  <c r="K900" i="3" s="1"/>
  <c r="AE900" i="3" s="1"/>
  <c r="F900" i="3" l="1"/>
  <c r="V900" i="3"/>
  <c r="A901" i="3"/>
  <c r="B901" i="3" s="1"/>
  <c r="I900" i="3"/>
  <c r="J900" i="3"/>
  <c r="M900" i="3"/>
  <c r="N900" i="3" s="1"/>
  <c r="L900" i="3" l="1"/>
  <c r="W900" i="3"/>
  <c r="AD901" i="3"/>
  <c r="P901" i="3"/>
  <c r="Q901" i="3" s="1"/>
  <c r="R901" i="3" s="1"/>
  <c r="S901" i="3" s="1"/>
  <c r="AA901" i="3"/>
  <c r="AC901" i="3"/>
  <c r="Z901" i="3"/>
  <c r="U900" i="3" l="1"/>
  <c r="Y899" i="3"/>
  <c r="T901" i="3"/>
  <c r="E901" i="3" l="1"/>
  <c r="H901" i="3" s="1"/>
  <c r="K901" i="3" s="1"/>
  <c r="AE901" i="3" s="1"/>
  <c r="AG901" i="3"/>
  <c r="D901" i="3"/>
  <c r="AH901" i="3"/>
  <c r="F901" i="3" l="1"/>
  <c r="G901" i="3"/>
  <c r="V901" i="3"/>
  <c r="A902" i="3"/>
  <c r="B902" i="3" s="1"/>
  <c r="AD902" i="3" l="1"/>
  <c r="AC902" i="3"/>
  <c r="P902" i="3"/>
  <c r="Q902" i="3" s="1"/>
  <c r="R902" i="3" s="1"/>
  <c r="S902" i="3" s="1"/>
  <c r="Z902" i="3"/>
  <c r="AA902" i="3"/>
  <c r="I901" i="3"/>
  <c r="W901" i="3" s="1"/>
  <c r="J901" i="3"/>
  <c r="M901" i="3"/>
  <c r="N901" i="3" s="1"/>
  <c r="T902" i="3" l="1"/>
  <c r="L901" i="3"/>
  <c r="U901" i="3" l="1"/>
  <c r="E902" i="3" s="1"/>
  <c r="H902" i="3" s="1"/>
  <c r="AH902" i="3"/>
  <c r="AG902" i="3"/>
  <c r="Y900" i="3"/>
  <c r="D902" i="3" l="1"/>
  <c r="F902" i="3" s="1"/>
  <c r="K902" i="3"/>
  <c r="AE902" i="3" s="1"/>
  <c r="G902" i="3" l="1"/>
  <c r="J902" i="3" s="1"/>
  <c r="V902" i="3"/>
  <c r="A903" i="3"/>
  <c r="B903" i="3" s="1"/>
  <c r="M902" i="3" l="1"/>
  <c r="N902" i="3" s="1"/>
  <c r="I902" i="3"/>
  <c r="W902" i="3" s="1"/>
  <c r="L902" i="3"/>
  <c r="Z903" i="3"/>
  <c r="AC903" i="3"/>
  <c r="P903" i="3"/>
  <c r="Q903" i="3" s="1"/>
  <c r="R903" i="3" s="1"/>
  <c r="S903" i="3" s="1"/>
  <c r="AD903" i="3"/>
  <c r="AA903" i="3"/>
  <c r="T903" i="3" l="1"/>
  <c r="AH903" i="3" s="1"/>
  <c r="U902" i="3"/>
  <c r="Y901" i="3"/>
  <c r="D903" i="3" l="1"/>
  <c r="E903" i="3"/>
  <c r="H903" i="3" s="1"/>
  <c r="AG903" i="3"/>
  <c r="K903" i="3" l="1"/>
  <c r="AE903" i="3" s="1"/>
  <c r="F903" i="3"/>
  <c r="G903" i="3"/>
  <c r="I903" i="3" l="1"/>
  <c r="J903" i="3"/>
  <c r="M903" i="3"/>
  <c r="N903" i="3" s="1"/>
  <c r="V903" i="3"/>
  <c r="A904" i="3"/>
  <c r="B904" i="3" s="1"/>
  <c r="W903" i="3" l="1"/>
  <c r="L903" i="3"/>
  <c r="AC904" i="3"/>
  <c r="Z904" i="3"/>
  <c r="P904" i="3"/>
  <c r="Q904" i="3" s="1"/>
  <c r="R904" i="3" s="1"/>
  <c r="S904" i="3" s="1"/>
  <c r="AA904" i="3"/>
  <c r="U903" i="3" l="1"/>
  <c r="Y902" i="3"/>
  <c r="T904" i="3"/>
  <c r="AH904" i="3" s="1"/>
  <c r="E904" i="3" l="1"/>
  <c r="H904" i="3" s="1"/>
  <c r="AG904" i="3"/>
  <c r="D904" i="3"/>
  <c r="K904" i="3" l="1"/>
  <c r="AE904" i="3" s="1"/>
  <c r="F904" i="3"/>
  <c r="G904" i="3"/>
  <c r="V904" i="3" l="1"/>
  <c r="A905" i="3"/>
  <c r="B905" i="3" s="1"/>
  <c r="I904" i="3"/>
  <c r="J904" i="3"/>
  <c r="AD904" i="3" s="1"/>
  <c r="M904" i="3"/>
  <c r="N904" i="3" s="1"/>
  <c r="L904" i="3" l="1"/>
  <c r="W904" i="3"/>
  <c r="AA905" i="3"/>
  <c r="Z905" i="3"/>
  <c r="AD905" i="3"/>
  <c r="AC905" i="3"/>
  <c r="P905" i="3"/>
  <c r="Q905" i="3" s="1"/>
  <c r="R905" i="3" s="1"/>
  <c r="S905" i="3" s="1"/>
  <c r="U904" i="3" l="1"/>
  <c r="Y903" i="3"/>
  <c r="T905" i="3"/>
  <c r="D905" i="3" l="1"/>
  <c r="G905" i="3" s="1"/>
  <c r="E905" i="3"/>
  <c r="H905" i="3" s="1"/>
  <c r="K905" i="3" s="1"/>
  <c r="AE905" i="3" s="1"/>
  <c r="AG905" i="3"/>
  <c r="AH905" i="3"/>
  <c r="F905" i="3" l="1"/>
  <c r="I905" i="3"/>
  <c r="J905" i="3"/>
  <c r="M905" i="3"/>
  <c r="N905" i="3" s="1"/>
  <c r="V905" i="3"/>
  <c r="A906" i="3"/>
  <c r="B906" i="3" s="1"/>
  <c r="L905" i="3" l="1"/>
  <c r="W905" i="3"/>
  <c r="AC906" i="3"/>
  <c r="P906" i="3"/>
  <c r="Q906" i="3" s="1"/>
  <c r="R906" i="3" s="1"/>
  <c r="S906" i="3" s="1"/>
  <c r="Z906" i="3"/>
  <c r="AD906" i="3"/>
  <c r="AA906" i="3"/>
  <c r="T906" i="3" l="1"/>
  <c r="U905" i="3"/>
  <c r="Y904" i="3"/>
  <c r="D906" i="3" l="1"/>
  <c r="G906" i="3" s="1"/>
  <c r="AG906" i="3"/>
  <c r="E906" i="3"/>
  <c r="H906" i="3" s="1"/>
  <c r="AH906" i="3"/>
  <c r="F906" i="3" l="1"/>
  <c r="I906" i="3"/>
  <c r="J906" i="3"/>
  <c r="M906" i="3"/>
  <c r="N906" i="3" s="1"/>
  <c r="K906" i="3"/>
  <c r="AE906" i="3" s="1"/>
  <c r="V906" i="3" l="1"/>
  <c r="W906" i="3" s="1"/>
  <c r="A907" i="3"/>
  <c r="B907" i="3" s="1"/>
  <c r="L906" i="3"/>
  <c r="U906" i="3" l="1"/>
  <c r="Y905" i="3"/>
  <c r="Z907" i="3"/>
  <c r="AC907" i="3"/>
  <c r="AA907" i="3"/>
  <c r="P907" i="3"/>
  <c r="Q907" i="3" s="1"/>
  <c r="R907" i="3" s="1"/>
  <c r="S907" i="3" s="1"/>
  <c r="AD907" i="3"/>
  <c r="T907" i="3" l="1"/>
  <c r="AG907" i="3" s="1"/>
  <c r="E907" i="3" l="1"/>
  <c r="H907" i="3" s="1"/>
  <c r="K907" i="3" s="1"/>
  <c r="AE907" i="3" s="1"/>
  <c r="D907" i="3"/>
  <c r="AH907" i="3"/>
  <c r="V907" i="3" l="1"/>
  <c r="A908" i="3"/>
  <c r="B908" i="3" s="1"/>
  <c r="F907" i="3"/>
  <c r="G907" i="3"/>
  <c r="I907" i="3" l="1"/>
  <c r="W907" i="3" s="1"/>
  <c r="J907" i="3"/>
  <c r="M907" i="3"/>
  <c r="N907" i="3" s="1"/>
  <c r="P908" i="3"/>
  <c r="Q908" i="3" s="1"/>
  <c r="R908" i="3" s="1"/>
  <c r="S908" i="3" s="1"/>
  <c r="AA908" i="3"/>
  <c r="Z908" i="3"/>
  <c r="AC908" i="3"/>
  <c r="T908" i="3" l="1"/>
  <c r="L907" i="3"/>
  <c r="AG908" i="3" l="1"/>
  <c r="AH908" i="3"/>
  <c r="U907" i="3"/>
  <c r="E908" i="3" s="1"/>
  <c r="H908" i="3" s="1"/>
  <c r="Y906" i="3"/>
  <c r="D908" i="3" l="1"/>
  <c r="G908" i="3" s="1"/>
  <c r="K908" i="3"/>
  <c r="AE908" i="3" s="1"/>
  <c r="F908" i="3" l="1"/>
  <c r="I908" i="3"/>
  <c r="J908" i="3"/>
  <c r="AD908" i="3" s="1"/>
  <c r="M908" i="3"/>
  <c r="N908" i="3" s="1"/>
  <c r="V908" i="3"/>
  <c r="A909" i="3"/>
  <c r="B909" i="3" s="1"/>
  <c r="W908" i="3" l="1"/>
  <c r="L908" i="3"/>
  <c r="AA909" i="3"/>
  <c r="Z909" i="3"/>
  <c r="P909" i="3"/>
  <c r="Q909" i="3" s="1"/>
  <c r="R909" i="3" s="1"/>
  <c r="S909" i="3" s="1"/>
  <c r="AD909" i="3"/>
  <c r="AC909" i="3"/>
  <c r="U908" i="3" l="1"/>
  <c r="Y907" i="3"/>
  <c r="T909" i="3"/>
  <c r="AH909" i="3" s="1"/>
  <c r="AG909" i="3" l="1"/>
  <c r="D909" i="3"/>
  <c r="G909" i="3" s="1"/>
  <c r="E909" i="3"/>
  <c r="H909" i="3" s="1"/>
  <c r="K909" i="3" s="1"/>
  <c r="AE909" i="3" s="1"/>
  <c r="F909" i="3" l="1"/>
  <c r="V909" i="3"/>
  <c r="A910" i="3"/>
  <c r="B910" i="3" s="1"/>
  <c r="I909" i="3"/>
  <c r="J909" i="3"/>
  <c r="M909" i="3"/>
  <c r="N909" i="3" s="1"/>
  <c r="W909" i="3" l="1"/>
  <c r="L909" i="3"/>
  <c r="AA910" i="3"/>
  <c r="AC910" i="3"/>
  <c r="P910" i="3"/>
  <c r="Q910" i="3" s="1"/>
  <c r="R910" i="3" s="1"/>
  <c r="S910" i="3" s="1"/>
  <c r="AD910" i="3"/>
  <c r="Z910" i="3"/>
  <c r="U909" i="3" l="1"/>
  <c r="Y908" i="3"/>
  <c r="T910" i="3"/>
  <c r="AH910" i="3" s="1"/>
  <c r="D910" i="3" l="1"/>
  <c r="G910" i="3" s="1"/>
  <c r="AG910" i="3"/>
  <c r="E910" i="3"/>
  <c r="H910" i="3" s="1"/>
  <c r="F910" i="3" l="1"/>
  <c r="I910" i="3"/>
  <c r="J910" i="3"/>
  <c r="M910" i="3"/>
  <c r="N910" i="3" s="1"/>
  <c r="K910" i="3"/>
  <c r="AE910" i="3" s="1"/>
  <c r="V910" i="3" l="1"/>
  <c r="W910" i="3" s="1"/>
  <c r="A911" i="3"/>
  <c r="B911" i="3" s="1"/>
  <c r="L910" i="3"/>
  <c r="U910" i="3" l="1"/>
  <c r="Y909" i="3"/>
  <c r="AD911" i="3"/>
  <c r="AA911" i="3"/>
  <c r="P911" i="3"/>
  <c r="Q911" i="3" s="1"/>
  <c r="R911" i="3" s="1"/>
  <c r="S911" i="3" s="1"/>
  <c r="Z911" i="3"/>
  <c r="AC911" i="3"/>
  <c r="T911" i="3" l="1"/>
  <c r="E911" i="3" s="1"/>
  <c r="H911" i="3" s="1"/>
  <c r="AH911" i="3" l="1"/>
  <c r="D911" i="3"/>
  <c r="G911" i="3" s="1"/>
  <c r="AG911" i="3"/>
  <c r="K911" i="3"/>
  <c r="AE911" i="3" s="1"/>
  <c r="F911" i="3" l="1"/>
  <c r="I911" i="3"/>
  <c r="J911" i="3"/>
  <c r="M911" i="3"/>
  <c r="N911" i="3" s="1"/>
  <c r="V911" i="3"/>
  <c r="A912" i="3"/>
  <c r="B912" i="3" s="1"/>
  <c r="W911" i="3" l="1"/>
  <c r="L911" i="3"/>
  <c r="AA912" i="3"/>
  <c r="AD912" i="3"/>
  <c r="AC912" i="3"/>
  <c r="P912" i="3"/>
  <c r="Q912" i="3" s="1"/>
  <c r="R912" i="3" s="1"/>
  <c r="S912" i="3" s="1"/>
  <c r="Z912" i="3"/>
  <c r="T912" i="3" l="1"/>
  <c r="U911" i="3"/>
  <c r="Y910" i="3"/>
  <c r="D912" i="3" l="1"/>
  <c r="G912" i="3" s="1"/>
  <c r="AG912" i="3"/>
  <c r="AH912" i="3"/>
  <c r="E912" i="3"/>
  <c r="H912" i="3" s="1"/>
  <c r="I912" i="3" l="1"/>
  <c r="J912" i="3"/>
  <c r="M912" i="3"/>
  <c r="N912" i="3" s="1"/>
  <c r="F912" i="3"/>
  <c r="K912" i="3"/>
  <c r="AE912" i="3" s="1"/>
  <c r="L912" i="3" l="1"/>
  <c r="V912" i="3"/>
  <c r="W912" i="3" s="1"/>
  <c r="A913" i="3"/>
  <c r="B913" i="3" s="1"/>
  <c r="U912" i="3" l="1"/>
  <c r="Y911" i="3"/>
  <c r="Z913" i="3"/>
  <c r="AD913" i="3"/>
  <c r="P913" i="3"/>
  <c r="Q913" i="3" s="1"/>
  <c r="R913" i="3" s="1"/>
  <c r="S913" i="3" s="1"/>
  <c r="AA913" i="3"/>
  <c r="AC913" i="3"/>
  <c r="T913" i="3" l="1"/>
  <c r="AH913" i="3" s="1"/>
  <c r="D913" i="3" l="1"/>
  <c r="G913" i="3" s="1"/>
  <c r="AG913" i="3"/>
  <c r="E913" i="3"/>
  <c r="H913" i="3" s="1"/>
  <c r="F913" i="3" l="1"/>
  <c r="I913" i="3"/>
  <c r="J913" i="3"/>
  <c r="M913" i="3"/>
  <c r="N913" i="3" s="1"/>
  <c r="K913" i="3"/>
  <c r="AE913" i="3" s="1"/>
  <c r="V913" i="3" l="1"/>
  <c r="W913" i="3" s="1"/>
  <c r="A914" i="3"/>
  <c r="B914" i="3" s="1"/>
  <c r="L913" i="3"/>
  <c r="U913" i="3" l="1"/>
  <c r="Y912" i="3"/>
  <c r="AA914" i="3"/>
  <c r="Z914" i="3"/>
  <c r="AC914" i="3"/>
  <c r="P914" i="3"/>
  <c r="Q914" i="3" s="1"/>
  <c r="R914" i="3" s="1"/>
  <c r="S914" i="3" s="1"/>
  <c r="T914" i="3" l="1"/>
  <c r="D914" i="3" s="1"/>
  <c r="E914" i="3" l="1"/>
  <c r="H914" i="3" s="1"/>
  <c r="K914" i="3" s="1"/>
  <c r="AE914" i="3" s="1"/>
  <c r="G914" i="3"/>
  <c r="AH914" i="3"/>
  <c r="AG914" i="3"/>
  <c r="F914" i="3" l="1"/>
  <c r="I914" i="3"/>
  <c r="J914" i="3"/>
  <c r="AD914" i="3" s="1"/>
  <c r="M914" i="3"/>
  <c r="N914" i="3" s="1"/>
  <c r="V914" i="3"/>
  <c r="A915" i="3"/>
  <c r="B915" i="3" s="1"/>
  <c r="W914" i="3" l="1"/>
  <c r="L914" i="3"/>
  <c r="P915" i="3"/>
  <c r="Q915" i="3" s="1"/>
  <c r="R915" i="3" s="1"/>
  <c r="S915" i="3" s="1"/>
  <c r="AA915" i="3"/>
  <c r="AC915" i="3"/>
  <c r="Z915" i="3"/>
  <c r="AD915" i="3"/>
  <c r="U914" i="3" l="1"/>
  <c r="Y913" i="3"/>
  <c r="T915" i="3"/>
  <c r="AH915" i="3" s="1"/>
  <c r="E915" i="3" l="1"/>
  <c r="H915" i="3" s="1"/>
  <c r="D915" i="3"/>
  <c r="AG915" i="3"/>
  <c r="K915" i="3" l="1"/>
  <c r="AE915" i="3" s="1"/>
  <c r="F915" i="3"/>
  <c r="G915" i="3"/>
  <c r="I915" i="3" l="1"/>
  <c r="J915" i="3"/>
  <c r="M915" i="3"/>
  <c r="N915" i="3" s="1"/>
  <c r="V915" i="3"/>
  <c r="A916" i="3"/>
  <c r="B916" i="3" s="1"/>
  <c r="W915" i="3" l="1"/>
  <c r="L915" i="3"/>
  <c r="AC916" i="3"/>
  <c r="AA916" i="3"/>
  <c r="Z916" i="3"/>
  <c r="P916" i="3"/>
  <c r="Q916" i="3" s="1"/>
  <c r="R916" i="3" s="1"/>
  <c r="S916" i="3" s="1"/>
  <c r="AD916" i="3"/>
  <c r="U915" i="3" l="1"/>
  <c r="Y914" i="3"/>
  <c r="T916" i="3"/>
  <c r="D916" i="3" l="1"/>
  <c r="G916" i="3" s="1"/>
  <c r="AG916" i="3"/>
  <c r="AH916" i="3"/>
  <c r="E916" i="3"/>
  <c r="H916" i="3" s="1"/>
  <c r="K916" i="3" l="1"/>
  <c r="AE916" i="3" s="1"/>
  <c r="I916" i="3"/>
  <c r="J916" i="3"/>
  <c r="M916" i="3"/>
  <c r="N916" i="3" s="1"/>
  <c r="F916" i="3"/>
  <c r="L916" i="3" l="1"/>
  <c r="V916" i="3"/>
  <c r="W916" i="3" s="1"/>
  <c r="A917" i="3"/>
  <c r="B917" i="3" s="1"/>
  <c r="U916" i="3" l="1"/>
  <c r="Y915" i="3"/>
  <c r="AD917" i="3"/>
  <c r="AC917" i="3"/>
  <c r="Z917" i="3"/>
  <c r="P917" i="3"/>
  <c r="Q917" i="3" s="1"/>
  <c r="R917" i="3" s="1"/>
  <c r="S917" i="3" s="1"/>
  <c r="AA917" i="3"/>
  <c r="T917" i="3" l="1"/>
  <c r="AG917" i="3" s="1"/>
  <c r="E917" i="3" l="1"/>
  <c r="H917" i="3" s="1"/>
  <c r="K917" i="3" s="1"/>
  <c r="AE917" i="3" s="1"/>
  <c r="AH917" i="3"/>
  <c r="D917" i="3"/>
  <c r="F917" i="3" l="1"/>
  <c r="G917" i="3"/>
  <c r="J917" i="3" s="1"/>
  <c r="V917" i="3"/>
  <c r="A918" i="3"/>
  <c r="B918" i="3" s="1"/>
  <c r="M917" i="3" l="1"/>
  <c r="N917" i="3" s="1"/>
  <c r="I917" i="3"/>
  <c r="W917" i="3" s="1"/>
  <c r="L917" i="3"/>
  <c r="AC918" i="3"/>
  <c r="AA918" i="3"/>
  <c r="Z918" i="3"/>
  <c r="P918" i="3"/>
  <c r="Q918" i="3" s="1"/>
  <c r="R918" i="3" s="1"/>
  <c r="S918" i="3" s="1"/>
  <c r="T918" i="3" l="1"/>
  <c r="U917" i="3"/>
  <c r="Y916" i="3"/>
  <c r="E918" i="3" l="1"/>
  <c r="H918" i="3" s="1"/>
  <c r="K918" i="3" s="1"/>
  <c r="AE918" i="3" s="1"/>
  <c r="AH918" i="3"/>
  <c r="D918" i="3"/>
  <c r="G918" i="3" s="1"/>
  <c r="AG918" i="3"/>
  <c r="F918" i="3" l="1"/>
  <c r="I918" i="3"/>
  <c r="J918" i="3"/>
  <c r="AD918" i="3" s="1"/>
  <c r="M918" i="3"/>
  <c r="N918" i="3" s="1"/>
  <c r="V918" i="3"/>
  <c r="A919" i="3"/>
  <c r="B919" i="3" s="1"/>
  <c r="L918" i="3" l="1"/>
  <c r="W918" i="3"/>
  <c r="P919" i="3"/>
  <c r="Q919" i="3" s="1"/>
  <c r="R919" i="3" s="1"/>
  <c r="S919" i="3" s="1"/>
  <c r="Z919" i="3"/>
  <c r="AC919" i="3"/>
  <c r="AD919" i="3"/>
  <c r="AA919" i="3"/>
  <c r="U918" i="3" l="1"/>
  <c r="Y917" i="3"/>
  <c r="T919" i="3"/>
  <c r="AG919" i="3" s="1"/>
  <c r="E919" i="3" l="1"/>
  <c r="H919" i="3" s="1"/>
  <c r="K919" i="3" s="1"/>
  <c r="AE919" i="3" s="1"/>
  <c r="AH919" i="3"/>
  <c r="D919" i="3"/>
  <c r="V919" i="3" l="1"/>
  <c r="A920" i="3"/>
  <c r="B920" i="3" s="1"/>
  <c r="F919" i="3"/>
  <c r="G919" i="3"/>
  <c r="I919" i="3" l="1"/>
  <c r="W919" i="3" s="1"/>
  <c r="J919" i="3"/>
  <c r="M919" i="3"/>
  <c r="N919" i="3" s="1"/>
  <c r="AD920" i="3"/>
  <c r="AC920" i="3"/>
  <c r="P920" i="3"/>
  <c r="Q920" i="3" s="1"/>
  <c r="R920" i="3" s="1"/>
  <c r="S920" i="3" s="1"/>
  <c r="AA920" i="3"/>
  <c r="Z920" i="3"/>
  <c r="T920" i="3" l="1"/>
  <c r="L919" i="3"/>
  <c r="AH920" i="3" l="1"/>
  <c r="U919" i="3"/>
  <c r="E920" i="3" s="1"/>
  <c r="H920" i="3" s="1"/>
  <c r="AG920" i="3"/>
  <c r="Y918" i="3"/>
  <c r="D920" i="3" l="1"/>
  <c r="G920" i="3" s="1"/>
  <c r="K920" i="3"/>
  <c r="AE920" i="3" s="1"/>
  <c r="F920" i="3" l="1"/>
  <c r="V920" i="3"/>
  <c r="A921" i="3"/>
  <c r="B921" i="3" s="1"/>
  <c r="I920" i="3"/>
  <c r="J920" i="3"/>
  <c r="M920" i="3"/>
  <c r="N920" i="3" s="1"/>
  <c r="W920" i="3" l="1"/>
  <c r="L920" i="3"/>
  <c r="AA921" i="3"/>
  <c r="Z921" i="3"/>
  <c r="P921" i="3"/>
  <c r="Q921" i="3" s="1"/>
  <c r="R921" i="3" s="1"/>
  <c r="S921" i="3" s="1"/>
  <c r="AD921" i="3"/>
  <c r="AC921" i="3"/>
  <c r="U920" i="3" l="1"/>
  <c r="Y919" i="3"/>
  <c r="T921" i="3"/>
  <c r="AG921" i="3" s="1"/>
  <c r="E921" i="3" l="1"/>
  <c r="H921" i="3" s="1"/>
  <c r="K921" i="3" s="1"/>
  <c r="AE921" i="3" s="1"/>
  <c r="AH921" i="3"/>
  <c r="D921" i="3"/>
  <c r="G921" i="3" s="1"/>
  <c r="F921" i="3" l="1"/>
  <c r="I921" i="3"/>
  <c r="J921" i="3"/>
  <c r="M921" i="3"/>
  <c r="N921" i="3" s="1"/>
  <c r="V921" i="3"/>
  <c r="A922" i="3"/>
  <c r="B922" i="3" s="1"/>
  <c r="W921" i="3" l="1"/>
  <c r="L921" i="3"/>
  <c r="AC922" i="3"/>
  <c r="AA922" i="3"/>
  <c r="Z922" i="3"/>
  <c r="P922" i="3"/>
  <c r="Q922" i="3" s="1"/>
  <c r="R922" i="3" s="1"/>
  <c r="S922" i="3" s="1"/>
  <c r="AD922" i="3"/>
  <c r="U921" i="3" l="1"/>
  <c r="Y920" i="3"/>
  <c r="T922" i="3"/>
  <c r="E922" i="3" l="1"/>
  <c r="H922" i="3" s="1"/>
  <c r="K922" i="3" s="1"/>
  <c r="AE922" i="3" s="1"/>
  <c r="AH922" i="3"/>
  <c r="D922" i="3"/>
  <c r="AG922" i="3"/>
  <c r="F922" i="3" l="1"/>
  <c r="G922" i="3"/>
  <c r="V922" i="3"/>
  <c r="A923" i="3"/>
  <c r="B923" i="3" s="1"/>
  <c r="AD923" i="3" l="1"/>
  <c r="AC923" i="3"/>
  <c r="Z923" i="3"/>
  <c r="AA923" i="3"/>
  <c r="P923" i="3"/>
  <c r="Q923" i="3" s="1"/>
  <c r="R923" i="3" s="1"/>
  <c r="S923" i="3" s="1"/>
  <c r="I922" i="3"/>
  <c r="W922" i="3" s="1"/>
  <c r="J922" i="3"/>
  <c r="M922" i="3"/>
  <c r="N922" i="3" s="1"/>
  <c r="L922" i="3" l="1"/>
  <c r="T923" i="3"/>
  <c r="AH923" i="3" l="1"/>
  <c r="AG923" i="3"/>
  <c r="U922" i="3"/>
  <c r="D923" i="3" s="1"/>
  <c r="Y921" i="3"/>
  <c r="E923" i="3" l="1"/>
  <c r="H923" i="3" s="1"/>
  <c r="K923" i="3" s="1"/>
  <c r="AE923" i="3" s="1"/>
  <c r="G923" i="3"/>
  <c r="F923" i="3" l="1"/>
  <c r="V923" i="3"/>
  <c r="A924" i="3"/>
  <c r="B924" i="3" s="1"/>
  <c r="I923" i="3"/>
  <c r="J923" i="3"/>
  <c r="M923" i="3"/>
  <c r="N923" i="3" s="1"/>
  <c r="W923" i="3" l="1"/>
  <c r="L923" i="3"/>
  <c r="Z924" i="3"/>
  <c r="AC924" i="3"/>
  <c r="P924" i="3"/>
  <c r="Q924" i="3" s="1"/>
  <c r="R924" i="3" s="1"/>
  <c r="S924" i="3" s="1"/>
  <c r="AA924" i="3"/>
  <c r="U923" i="3" l="1"/>
  <c r="Y922" i="3"/>
  <c r="T924" i="3"/>
  <c r="AH924" i="3" s="1"/>
  <c r="D924" i="3" l="1"/>
  <c r="G924" i="3" s="1"/>
  <c r="AG924" i="3"/>
  <c r="E924" i="3"/>
  <c r="H924" i="3" s="1"/>
  <c r="K924" i="3" s="1"/>
  <c r="AE924" i="3" s="1"/>
  <c r="F924" i="3" l="1"/>
  <c r="I924" i="3"/>
  <c r="J924" i="3"/>
  <c r="AD924" i="3" s="1"/>
  <c r="M924" i="3"/>
  <c r="N924" i="3" s="1"/>
  <c r="V924" i="3"/>
  <c r="A925" i="3"/>
  <c r="B925" i="3" s="1"/>
  <c r="W924" i="3" l="1"/>
  <c r="L924" i="3"/>
  <c r="Z925" i="3"/>
  <c r="AA925" i="3"/>
  <c r="AD925" i="3"/>
  <c r="AC925" i="3"/>
  <c r="P925" i="3"/>
  <c r="Q925" i="3" s="1"/>
  <c r="R925" i="3" s="1"/>
  <c r="S925" i="3" s="1"/>
  <c r="T925" i="3" l="1"/>
  <c r="AG925" i="3" s="1"/>
  <c r="U924" i="3"/>
  <c r="Y923" i="3"/>
  <c r="AH925" i="3" l="1"/>
  <c r="E925" i="3"/>
  <c r="H925" i="3" s="1"/>
  <c r="D925" i="3"/>
  <c r="K925" i="3" l="1"/>
  <c r="AE925" i="3" s="1"/>
  <c r="F925" i="3"/>
  <c r="G925" i="3"/>
  <c r="I925" i="3" l="1"/>
  <c r="J925" i="3"/>
  <c r="M925" i="3"/>
  <c r="N925" i="3" s="1"/>
  <c r="V925" i="3"/>
  <c r="A926" i="3"/>
  <c r="B926" i="3" s="1"/>
  <c r="W925" i="3" l="1"/>
  <c r="L925" i="3"/>
  <c r="AC926" i="3"/>
  <c r="AA926" i="3"/>
  <c r="AD926" i="3"/>
  <c r="P926" i="3"/>
  <c r="Q926" i="3" s="1"/>
  <c r="R926" i="3" s="1"/>
  <c r="S926" i="3" s="1"/>
  <c r="Z926" i="3"/>
  <c r="U925" i="3" l="1"/>
  <c r="Y924" i="3"/>
  <c r="T926" i="3"/>
  <c r="AG926" i="3" s="1"/>
  <c r="E926" i="3" l="1"/>
  <c r="H926" i="3" s="1"/>
  <c r="K926" i="3" s="1"/>
  <c r="AE926" i="3" s="1"/>
  <c r="AH926" i="3"/>
  <c r="D926" i="3"/>
  <c r="V926" i="3" l="1"/>
  <c r="A927" i="3"/>
  <c r="B927" i="3" s="1"/>
  <c r="F926" i="3"/>
  <c r="G926" i="3"/>
  <c r="I926" i="3" l="1"/>
  <c r="W926" i="3" s="1"/>
  <c r="J926" i="3"/>
  <c r="M926" i="3"/>
  <c r="N926" i="3" s="1"/>
  <c r="AD927" i="3"/>
  <c r="Z927" i="3"/>
  <c r="P927" i="3"/>
  <c r="Q927" i="3" s="1"/>
  <c r="R927" i="3" s="1"/>
  <c r="S927" i="3" s="1"/>
  <c r="AA927" i="3"/>
  <c r="AC927" i="3"/>
  <c r="T927" i="3" l="1"/>
  <c r="L926" i="3"/>
  <c r="U926" i="3" l="1"/>
  <c r="D927" i="3" s="1"/>
  <c r="AG927" i="3"/>
  <c r="AH927" i="3"/>
  <c r="Y925" i="3"/>
  <c r="G927" i="3" l="1"/>
  <c r="E927" i="3"/>
  <c r="H927" i="3" s="1"/>
  <c r="F927" i="3" l="1"/>
  <c r="K927" i="3"/>
  <c r="AE927" i="3" s="1"/>
  <c r="I927" i="3"/>
  <c r="J927" i="3"/>
  <c r="M927" i="3"/>
  <c r="N927" i="3" s="1"/>
  <c r="L927" i="3" l="1"/>
  <c r="V927" i="3"/>
  <c r="W927" i="3" s="1"/>
  <c r="A928" i="3"/>
  <c r="B928" i="3" s="1"/>
  <c r="U927" i="3" l="1"/>
  <c r="Y926" i="3"/>
  <c r="AC928" i="3"/>
  <c r="AA928" i="3"/>
  <c r="Z928" i="3"/>
  <c r="P928" i="3"/>
  <c r="Q928" i="3" s="1"/>
  <c r="R928" i="3" s="1"/>
  <c r="S928" i="3" s="1"/>
  <c r="T928" i="3" l="1"/>
  <c r="D928" i="3" s="1"/>
  <c r="AH928" i="3" l="1"/>
  <c r="E928" i="3"/>
  <c r="H928" i="3" s="1"/>
  <c r="K928" i="3" s="1"/>
  <c r="AE928" i="3" s="1"/>
  <c r="AG928" i="3"/>
  <c r="G928" i="3"/>
  <c r="F928" i="3" l="1"/>
  <c r="I928" i="3"/>
  <c r="J928" i="3"/>
  <c r="AD928" i="3" s="1"/>
  <c r="M928" i="3"/>
  <c r="N928" i="3" s="1"/>
  <c r="V928" i="3"/>
  <c r="A929" i="3"/>
  <c r="B929" i="3" s="1"/>
  <c r="L928" i="3" l="1"/>
  <c r="P929" i="3"/>
  <c r="Q929" i="3" s="1"/>
  <c r="R929" i="3" s="1"/>
  <c r="S929" i="3" s="1"/>
  <c r="AD929" i="3"/>
  <c r="AC929" i="3"/>
  <c r="Z929" i="3"/>
  <c r="AA929" i="3"/>
  <c r="W928" i="3"/>
  <c r="T929" i="3" l="1"/>
  <c r="AG929" i="3" s="1"/>
  <c r="U928" i="3"/>
  <c r="Y927" i="3"/>
  <c r="AH929" i="3" l="1"/>
  <c r="D929" i="3"/>
  <c r="E929" i="3"/>
  <c r="H929" i="3" s="1"/>
  <c r="F929" i="3" l="1"/>
  <c r="G929" i="3"/>
  <c r="K929" i="3"/>
  <c r="AE929" i="3" s="1"/>
  <c r="V929" i="3" l="1"/>
  <c r="A930" i="3"/>
  <c r="B930" i="3" s="1"/>
  <c r="I929" i="3"/>
  <c r="J929" i="3"/>
  <c r="M929" i="3"/>
  <c r="N929" i="3" s="1"/>
  <c r="L929" i="3" l="1"/>
  <c r="AD930" i="3"/>
  <c r="P930" i="3"/>
  <c r="Q930" i="3" s="1"/>
  <c r="R930" i="3" s="1"/>
  <c r="S930" i="3" s="1"/>
  <c r="AC930" i="3"/>
  <c r="Z930" i="3"/>
  <c r="AA930" i="3"/>
  <c r="W929" i="3"/>
  <c r="T930" i="3" l="1"/>
  <c r="U929" i="3"/>
  <c r="Y928" i="3"/>
  <c r="D930" i="3" l="1"/>
  <c r="G930" i="3" s="1"/>
  <c r="AH930" i="3"/>
  <c r="E930" i="3"/>
  <c r="H930" i="3" s="1"/>
  <c r="AG930" i="3"/>
  <c r="F930" i="3" l="1"/>
  <c r="I930" i="3"/>
  <c r="J930" i="3"/>
  <c r="M930" i="3"/>
  <c r="N930" i="3" s="1"/>
  <c r="K930" i="3"/>
  <c r="AE930" i="3" s="1"/>
  <c r="V930" i="3" l="1"/>
  <c r="W930" i="3" s="1"/>
  <c r="A931" i="3"/>
  <c r="B931" i="3" s="1"/>
  <c r="L930" i="3"/>
  <c r="U930" i="3" l="1"/>
  <c r="Y929" i="3"/>
  <c r="AC931" i="3"/>
  <c r="AA931" i="3"/>
  <c r="Z931" i="3"/>
  <c r="P931" i="3"/>
  <c r="Q931" i="3" s="1"/>
  <c r="R931" i="3" s="1"/>
  <c r="S931" i="3" s="1"/>
  <c r="AD931" i="3"/>
  <c r="T931" i="3" l="1"/>
  <c r="AH931" i="3" s="1"/>
  <c r="E931" i="3" l="1"/>
  <c r="H931" i="3" s="1"/>
  <c r="D931" i="3"/>
  <c r="AG931" i="3"/>
  <c r="K931" i="3" l="1"/>
  <c r="AE931" i="3" s="1"/>
  <c r="F931" i="3"/>
  <c r="G931" i="3"/>
  <c r="I931" i="3" l="1"/>
  <c r="J931" i="3"/>
  <c r="M931" i="3"/>
  <c r="N931" i="3" s="1"/>
  <c r="V931" i="3"/>
  <c r="A932" i="3"/>
  <c r="B932" i="3" s="1"/>
  <c r="W931" i="3" l="1"/>
  <c r="L931" i="3"/>
  <c r="AA932" i="3"/>
  <c r="AD932" i="3"/>
  <c r="Z932" i="3"/>
  <c r="AC932" i="3"/>
  <c r="P932" i="3"/>
  <c r="Q932" i="3" s="1"/>
  <c r="R932" i="3" s="1"/>
  <c r="S932" i="3" s="1"/>
  <c r="U931" i="3" l="1"/>
  <c r="Y930" i="3"/>
  <c r="T932" i="3"/>
  <c r="AH932" i="3" s="1"/>
  <c r="E932" i="3" l="1"/>
  <c r="H932" i="3" s="1"/>
  <c r="D932" i="3"/>
  <c r="AG932" i="3"/>
  <c r="K932" i="3" l="1"/>
  <c r="AE932" i="3" s="1"/>
  <c r="F932" i="3"/>
  <c r="G932" i="3"/>
  <c r="V932" i="3" l="1"/>
  <c r="A933" i="3"/>
  <c r="B933" i="3" s="1"/>
  <c r="I932" i="3"/>
  <c r="J932" i="3"/>
  <c r="M932" i="3"/>
  <c r="N932" i="3" s="1"/>
  <c r="L932" i="3" l="1"/>
  <c r="W932" i="3"/>
  <c r="AA933" i="3"/>
  <c r="P933" i="3"/>
  <c r="Q933" i="3" s="1"/>
  <c r="R933" i="3" s="1"/>
  <c r="S933" i="3" s="1"/>
  <c r="Z933" i="3"/>
  <c r="AD933" i="3"/>
  <c r="AC933" i="3"/>
  <c r="U932" i="3" l="1"/>
  <c r="Y931" i="3"/>
  <c r="T933" i="3"/>
  <c r="D933" i="3" l="1"/>
  <c r="G933" i="3" s="1"/>
  <c r="AH933" i="3"/>
  <c r="AG933" i="3"/>
  <c r="E933" i="3"/>
  <c r="H933" i="3" s="1"/>
  <c r="K933" i="3" l="1"/>
  <c r="AE933" i="3" s="1"/>
  <c r="I933" i="3"/>
  <c r="J933" i="3"/>
  <c r="M933" i="3"/>
  <c r="N933" i="3" s="1"/>
  <c r="F933" i="3"/>
  <c r="V933" i="3" l="1"/>
  <c r="W933" i="3" s="1"/>
  <c r="A934" i="3"/>
  <c r="B934" i="3" s="1"/>
  <c r="L933" i="3"/>
  <c r="U933" i="3" l="1"/>
  <c r="Y932" i="3"/>
  <c r="AC934" i="3"/>
  <c r="Z934" i="3"/>
  <c r="P934" i="3"/>
  <c r="Q934" i="3" s="1"/>
  <c r="R934" i="3" s="1"/>
  <c r="S934" i="3" s="1"/>
  <c r="AA934" i="3"/>
  <c r="T934" i="3" l="1"/>
  <c r="AH934" i="3" s="1"/>
  <c r="AG934" i="3" l="1"/>
  <c r="D934" i="3"/>
  <c r="E934" i="3"/>
  <c r="H934" i="3" s="1"/>
  <c r="K934" i="3" l="1"/>
  <c r="AE934" i="3" s="1"/>
  <c r="F934" i="3"/>
  <c r="G934" i="3"/>
  <c r="V934" i="3" l="1"/>
  <c r="A935" i="3"/>
  <c r="B935" i="3" s="1"/>
  <c r="I934" i="3"/>
  <c r="J934" i="3"/>
  <c r="AD934" i="3" s="1"/>
  <c r="M934" i="3"/>
  <c r="N934" i="3" s="1"/>
  <c r="W934" i="3" l="1"/>
  <c r="L934" i="3"/>
  <c r="AD935" i="3"/>
  <c r="P935" i="3"/>
  <c r="Q935" i="3" s="1"/>
  <c r="R935" i="3" s="1"/>
  <c r="S935" i="3" s="1"/>
  <c r="AA935" i="3"/>
  <c r="AC935" i="3"/>
  <c r="Z935" i="3"/>
  <c r="T935" i="3" l="1"/>
  <c r="U934" i="3"/>
  <c r="Y933" i="3"/>
  <c r="E935" i="3" l="1"/>
  <c r="H935" i="3" s="1"/>
  <c r="K935" i="3" s="1"/>
  <c r="AE935" i="3" s="1"/>
  <c r="AH935" i="3"/>
  <c r="AG935" i="3"/>
  <c r="D935" i="3"/>
  <c r="V935" i="3" l="1"/>
  <c r="A936" i="3"/>
  <c r="B936" i="3" s="1"/>
  <c r="F935" i="3"/>
  <c r="G935" i="3"/>
  <c r="I935" i="3" l="1"/>
  <c r="W935" i="3" s="1"/>
  <c r="J935" i="3"/>
  <c r="M935" i="3"/>
  <c r="N935" i="3" s="1"/>
  <c r="P936" i="3"/>
  <c r="Q936" i="3" s="1"/>
  <c r="R936" i="3" s="1"/>
  <c r="S936" i="3" s="1"/>
  <c r="AD936" i="3"/>
  <c r="AC936" i="3"/>
  <c r="Z936" i="3"/>
  <c r="AA936" i="3"/>
  <c r="T936" i="3" l="1"/>
  <c r="L935" i="3"/>
  <c r="AH936" i="3" l="1"/>
  <c r="U935" i="3"/>
  <c r="E936" i="3" s="1"/>
  <c r="H936" i="3" s="1"/>
  <c r="AG936" i="3"/>
  <c r="Y934" i="3"/>
  <c r="D936" i="3" l="1"/>
  <c r="F936" i="3" s="1"/>
  <c r="K936" i="3"/>
  <c r="AE936" i="3" s="1"/>
  <c r="G936" i="3" l="1"/>
  <c r="J936" i="3" s="1"/>
  <c r="V936" i="3"/>
  <c r="A937" i="3"/>
  <c r="B937" i="3" s="1"/>
  <c r="M936" i="3" l="1"/>
  <c r="N936" i="3" s="1"/>
  <c r="I936" i="3"/>
  <c r="W936" i="3" s="1"/>
  <c r="L936" i="3"/>
  <c r="AD937" i="3"/>
  <c r="P937" i="3"/>
  <c r="Q937" i="3" s="1"/>
  <c r="R937" i="3" s="1"/>
  <c r="S937" i="3" s="1"/>
  <c r="AA937" i="3"/>
  <c r="Z937" i="3"/>
  <c r="AC937" i="3"/>
  <c r="U936" i="3" l="1"/>
  <c r="Y935" i="3"/>
  <c r="T937" i="3"/>
  <c r="AG937" i="3" s="1"/>
  <c r="E937" i="3" l="1"/>
  <c r="H937" i="3" s="1"/>
  <c r="K937" i="3" s="1"/>
  <c r="AE937" i="3" s="1"/>
  <c r="D937" i="3"/>
  <c r="G937" i="3" s="1"/>
  <c r="AH937" i="3"/>
  <c r="F937" i="3" l="1"/>
  <c r="V937" i="3"/>
  <c r="A938" i="3"/>
  <c r="B938" i="3" s="1"/>
  <c r="I937" i="3"/>
  <c r="J937" i="3"/>
  <c r="M937" i="3"/>
  <c r="N937" i="3" s="1"/>
  <c r="W937" i="3" l="1"/>
  <c r="L937" i="3"/>
  <c r="Z938" i="3"/>
  <c r="P938" i="3"/>
  <c r="Q938" i="3" s="1"/>
  <c r="R938" i="3" s="1"/>
  <c r="S938" i="3" s="1"/>
  <c r="AA938" i="3"/>
  <c r="AC938" i="3"/>
  <c r="T938" i="3" l="1"/>
  <c r="AG938" i="3" s="1"/>
  <c r="U937" i="3"/>
  <c r="Y936" i="3"/>
  <c r="D938" i="3" l="1"/>
  <c r="AH938" i="3"/>
  <c r="E938" i="3"/>
  <c r="H938" i="3" s="1"/>
  <c r="F938" i="3" l="1"/>
  <c r="G938" i="3"/>
  <c r="J938" i="3" s="1"/>
  <c r="AD938" i="3" s="1"/>
  <c r="K938" i="3"/>
  <c r="AE938" i="3" s="1"/>
  <c r="I938" i="3" l="1"/>
  <c r="M938" i="3"/>
  <c r="N938" i="3" s="1"/>
  <c r="V938" i="3"/>
  <c r="A939" i="3"/>
  <c r="B939" i="3" s="1"/>
  <c r="L938" i="3"/>
  <c r="W938" i="3" l="1"/>
  <c r="U938" i="3"/>
  <c r="Y937" i="3"/>
  <c r="AA939" i="3"/>
  <c r="P939" i="3"/>
  <c r="Q939" i="3" s="1"/>
  <c r="R939" i="3" s="1"/>
  <c r="S939" i="3" s="1"/>
  <c r="Z939" i="3"/>
  <c r="AD939" i="3"/>
  <c r="AC939" i="3"/>
  <c r="T939" i="3" l="1"/>
  <c r="E939" i="3" s="1"/>
  <c r="H939" i="3" s="1"/>
  <c r="K939" i="3" l="1"/>
  <c r="AE939" i="3" s="1"/>
  <c r="AG939" i="3"/>
  <c r="D939" i="3"/>
  <c r="AH939" i="3"/>
  <c r="F939" i="3" l="1"/>
  <c r="G939" i="3"/>
  <c r="V939" i="3"/>
  <c r="A940" i="3"/>
  <c r="B940" i="3" s="1"/>
  <c r="AC940" i="3" l="1"/>
  <c r="Z940" i="3"/>
  <c r="P940" i="3"/>
  <c r="Q940" i="3" s="1"/>
  <c r="R940" i="3" s="1"/>
  <c r="S940" i="3" s="1"/>
  <c r="AA940" i="3"/>
  <c r="AD940" i="3"/>
  <c r="I939" i="3"/>
  <c r="W939" i="3" s="1"/>
  <c r="J939" i="3"/>
  <c r="M939" i="3"/>
  <c r="N939" i="3" s="1"/>
  <c r="T940" i="3" l="1"/>
  <c r="L939" i="3"/>
  <c r="AG940" i="3" l="1"/>
  <c r="AH940" i="3"/>
  <c r="U939" i="3"/>
  <c r="D940" i="3" s="1"/>
  <c r="Y938" i="3"/>
  <c r="E940" i="3" l="1"/>
  <c r="H940" i="3" s="1"/>
  <c r="K940" i="3" s="1"/>
  <c r="AE940" i="3" s="1"/>
  <c r="G940" i="3"/>
  <c r="F940" i="3" l="1"/>
  <c r="I940" i="3"/>
  <c r="J940" i="3"/>
  <c r="M940" i="3"/>
  <c r="N940" i="3" s="1"/>
  <c r="V940" i="3"/>
  <c r="A941" i="3"/>
  <c r="B941" i="3" s="1"/>
  <c r="W940" i="3" l="1"/>
  <c r="L940" i="3"/>
  <c r="AD941" i="3"/>
  <c r="P941" i="3"/>
  <c r="Q941" i="3" s="1"/>
  <c r="R941" i="3" s="1"/>
  <c r="S941" i="3" s="1"/>
  <c r="Z941" i="3"/>
  <c r="AC941" i="3"/>
  <c r="AA941" i="3"/>
  <c r="T941" i="3" l="1"/>
  <c r="U940" i="3"/>
  <c r="Y939" i="3"/>
  <c r="E941" i="3" l="1"/>
  <c r="H941" i="3" s="1"/>
  <c r="K941" i="3" s="1"/>
  <c r="AE941" i="3" s="1"/>
  <c r="AH941" i="3"/>
  <c r="AG941" i="3"/>
  <c r="D941" i="3"/>
  <c r="F941" i="3" l="1"/>
  <c r="G941" i="3"/>
  <c r="V941" i="3"/>
  <c r="A942" i="3"/>
  <c r="B942" i="3" s="1"/>
  <c r="Z942" i="3" l="1"/>
  <c r="AD942" i="3"/>
  <c r="AC942" i="3"/>
  <c r="AA942" i="3"/>
  <c r="P942" i="3"/>
  <c r="Q942" i="3" s="1"/>
  <c r="R942" i="3" s="1"/>
  <c r="S942" i="3" s="1"/>
  <c r="I941" i="3"/>
  <c r="W941" i="3" s="1"/>
  <c r="J941" i="3"/>
  <c r="M941" i="3"/>
  <c r="N941" i="3" s="1"/>
  <c r="T942" i="3" l="1"/>
  <c r="L941" i="3"/>
  <c r="U941" i="3" l="1"/>
  <c r="E942" i="3" s="1"/>
  <c r="H942" i="3" s="1"/>
  <c r="AG942" i="3"/>
  <c r="AH942" i="3"/>
  <c r="Y940" i="3"/>
  <c r="D942" i="3" l="1"/>
  <c r="G942" i="3" s="1"/>
  <c r="K942" i="3"/>
  <c r="AE942" i="3" s="1"/>
  <c r="F942" i="3" l="1"/>
  <c r="I942" i="3"/>
  <c r="J942" i="3"/>
  <c r="M942" i="3"/>
  <c r="N942" i="3" s="1"/>
  <c r="V942" i="3"/>
  <c r="A943" i="3"/>
  <c r="B943" i="3" s="1"/>
  <c r="W942" i="3" l="1"/>
  <c r="L942" i="3"/>
  <c r="AA943" i="3"/>
  <c r="AC943" i="3"/>
  <c r="P943" i="3"/>
  <c r="Q943" i="3" s="1"/>
  <c r="R943" i="3" s="1"/>
  <c r="S943" i="3" s="1"/>
  <c r="Z943" i="3"/>
  <c r="AD943" i="3"/>
  <c r="U942" i="3" l="1"/>
  <c r="Y941" i="3"/>
  <c r="T943" i="3"/>
  <c r="AG943" i="3" s="1"/>
  <c r="E943" i="3" l="1"/>
  <c r="H943" i="3" s="1"/>
  <c r="K943" i="3" s="1"/>
  <c r="AE943" i="3" s="1"/>
  <c r="D943" i="3"/>
  <c r="AH943" i="3"/>
  <c r="F943" i="3" l="1"/>
  <c r="G943" i="3"/>
  <c r="M943" i="3" s="1"/>
  <c r="N943" i="3" s="1"/>
  <c r="V943" i="3"/>
  <c r="A944" i="3"/>
  <c r="B944" i="3" s="1"/>
  <c r="I943" i="3" l="1"/>
  <c r="W943" i="3" s="1"/>
  <c r="J943" i="3"/>
  <c r="L943" i="3" s="1"/>
  <c r="P944" i="3"/>
  <c r="Q944" i="3" s="1"/>
  <c r="R944" i="3" s="1"/>
  <c r="S944" i="3" s="1"/>
  <c r="AC944" i="3"/>
  <c r="Z944" i="3"/>
  <c r="AA944" i="3"/>
  <c r="U943" i="3" l="1"/>
  <c r="Y942" i="3"/>
  <c r="T944" i="3"/>
  <c r="AH944" i="3" s="1"/>
  <c r="D944" i="3" l="1"/>
  <c r="E944" i="3"/>
  <c r="H944" i="3" s="1"/>
  <c r="AG944" i="3"/>
  <c r="F944" i="3" l="1"/>
  <c r="G944" i="3"/>
  <c r="K944" i="3"/>
  <c r="AE944" i="3" s="1"/>
  <c r="I944" i="3" l="1"/>
  <c r="J944" i="3"/>
  <c r="AD944" i="3" s="1"/>
  <c r="M944" i="3"/>
  <c r="N944" i="3" s="1"/>
  <c r="V944" i="3"/>
  <c r="A945" i="3"/>
  <c r="B945" i="3" s="1"/>
  <c r="W944" i="3" l="1"/>
  <c r="L944" i="3"/>
  <c r="P945" i="3"/>
  <c r="Q945" i="3" s="1"/>
  <c r="R945" i="3" s="1"/>
  <c r="S945" i="3" s="1"/>
  <c r="AC945" i="3"/>
  <c r="Z945" i="3"/>
  <c r="AD945" i="3"/>
  <c r="AA945" i="3"/>
  <c r="U944" i="3" l="1"/>
  <c r="Y943" i="3"/>
  <c r="T945" i="3"/>
  <c r="D945" i="3" l="1"/>
  <c r="G945" i="3" s="1"/>
  <c r="AH945" i="3"/>
  <c r="E945" i="3"/>
  <c r="H945" i="3" s="1"/>
  <c r="AG945" i="3"/>
  <c r="F945" i="3" l="1"/>
  <c r="I945" i="3"/>
  <c r="J945" i="3"/>
  <c r="M945" i="3"/>
  <c r="N945" i="3" s="1"/>
  <c r="K945" i="3"/>
  <c r="AE945" i="3" s="1"/>
  <c r="V945" i="3" l="1"/>
  <c r="W945" i="3" s="1"/>
  <c r="A946" i="3"/>
  <c r="B946" i="3" s="1"/>
  <c r="L945" i="3"/>
  <c r="U945" i="3" l="1"/>
  <c r="Y944" i="3"/>
  <c r="P946" i="3"/>
  <c r="Q946" i="3" s="1"/>
  <c r="R946" i="3" s="1"/>
  <c r="S946" i="3" s="1"/>
  <c r="AC946" i="3"/>
  <c r="AA946" i="3"/>
  <c r="AD946" i="3"/>
  <c r="Z946" i="3"/>
  <c r="T946" i="3" l="1"/>
  <c r="E946" i="3" s="1"/>
  <c r="H946" i="3" s="1"/>
  <c r="K946" i="3" l="1"/>
  <c r="AE946" i="3" s="1"/>
  <c r="AG946" i="3"/>
  <c r="D946" i="3"/>
  <c r="AH946" i="3"/>
  <c r="F946" i="3" l="1"/>
  <c r="G946" i="3"/>
  <c r="V946" i="3"/>
  <c r="A947" i="3"/>
  <c r="B947" i="3" s="1"/>
  <c r="Z947" i="3" l="1"/>
  <c r="AC947" i="3"/>
  <c r="P947" i="3"/>
  <c r="Q947" i="3" s="1"/>
  <c r="R947" i="3" s="1"/>
  <c r="S947" i="3" s="1"/>
  <c r="AA947" i="3"/>
  <c r="AD947" i="3"/>
  <c r="I946" i="3"/>
  <c r="W946" i="3" s="1"/>
  <c r="J946" i="3"/>
  <c r="M946" i="3"/>
  <c r="N946" i="3" s="1"/>
  <c r="L946" i="3" l="1"/>
  <c r="T947" i="3"/>
  <c r="AH947" i="3" l="1"/>
  <c r="AG947" i="3"/>
  <c r="U946" i="3"/>
  <c r="E947" i="3" s="1"/>
  <c r="H947" i="3" s="1"/>
  <c r="Y945" i="3"/>
  <c r="D947" i="3" l="1"/>
  <c r="G947" i="3" s="1"/>
  <c r="K947" i="3"/>
  <c r="AE947" i="3" s="1"/>
  <c r="F947" i="3" l="1"/>
  <c r="V947" i="3"/>
  <c r="A948" i="3"/>
  <c r="B948" i="3" s="1"/>
  <c r="I947" i="3"/>
  <c r="J947" i="3"/>
  <c r="M947" i="3"/>
  <c r="N947" i="3" s="1"/>
  <c r="W947" i="3" l="1"/>
  <c r="L947" i="3"/>
  <c r="P948" i="3"/>
  <c r="Q948" i="3" s="1"/>
  <c r="R948" i="3" s="1"/>
  <c r="S948" i="3" s="1"/>
  <c r="AA948" i="3"/>
  <c r="Z948" i="3"/>
  <c r="AC948" i="3"/>
  <c r="U947" i="3" l="1"/>
  <c r="Y946" i="3"/>
  <c r="T948" i="3"/>
  <c r="AH948" i="3" s="1"/>
  <c r="AG948" i="3" l="1"/>
  <c r="E948" i="3"/>
  <c r="H948" i="3" s="1"/>
  <c r="D948" i="3"/>
  <c r="K948" i="3" l="1"/>
  <c r="AE948" i="3" s="1"/>
  <c r="F948" i="3"/>
  <c r="G948" i="3"/>
  <c r="I948" i="3" l="1"/>
  <c r="J948" i="3"/>
  <c r="AD948" i="3" s="1"/>
  <c r="M948" i="3"/>
  <c r="N948" i="3" s="1"/>
  <c r="V948" i="3"/>
  <c r="A949" i="3"/>
  <c r="B949" i="3" s="1"/>
  <c r="W948" i="3" l="1"/>
  <c r="L948" i="3"/>
  <c r="AD949" i="3"/>
  <c r="AA949" i="3"/>
  <c r="AC949" i="3"/>
  <c r="Z949" i="3"/>
  <c r="P949" i="3"/>
  <c r="Q949" i="3" s="1"/>
  <c r="R949" i="3" s="1"/>
  <c r="S949" i="3" s="1"/>
  <c r="U948" i="3" l="1"/>
  <c r="Y947" i="3"/>
  <c r="T949" i="3"/>
  <c r="AH949" i="3" s="1"/>
  <c r="AG949" i="3" l="1"/>
  <c r="D949" i="3"/>
  <c r="G949" i="3" s="1"/>
  <c r="E949" i="3"/>
  <c r="H949" i="3" s="1"/>
  <c r="K949" i="3" s="1"/>
  <c r="AE949" i="3" s="1"/>
  <c r="F949" i="3" l="1"/>
  <c r="I949" i="3"/>
  <c r="J949" i="3"/>
  <c r="M949" i="3"/>
  <c r="N949" i="3" s="1"/>
  <c r="V949" i="3"/>
  <c r="A950" i="3"/>
  <c r="B950" i="3" s="1"/>
  <c r="W949" i="3" l="1"/>
  <c r="L949" i="3"/>
  <c r="Z950" i="3"/>
  <c r="AC950" i="3"/>
  <c r="P950" i="3"/>
  <c r="Q950" i="3" s="1"/>
  <c r="R950" i="3" s="1"/>
  <c r="S950" i="3" s="1"/>
  <c r="AD950" i="3"/>
  <c r="AA950" i="3"/>
  <c r="T950" i="3" l="1"/>
  <c r="U949" i="3"/>
  <c r="Y948" i="3"/>
  <c r="D950" i="3" l="1"/>
  <c r="G950" i="3" s="1"/>
  <c r="AG950" i="3"/>
  <c r="E950" i="3"/>
  <c r="H950" i="3" s="1"/>
  <c r="K950" i="3" s="1"/>
  <c r="AE950" i="3" s="1"/>
  <c r="AH950" i="3"/>
  <c r="F950" i="3" l="1"/>
  <c r="I950" i="3"/>
  <c r="J950" i="3"/>
  <c r="M950" i="3"/>
  <c r="N950" i="3" s="1"/>
  <c r="V950" i="3"/>
  <c r="A951" i="3"/>
  <c r="B951" i="3" s="1"/>
  <c r="W950" i="3" l="1"/>
  <c r="P951" i="3"/>
  <c r="Q951" i="3" s="1"/>
  <c r="R951" i="3" s="1"/>
  <c r="S951" i="3" s="1"/>
  <c r="AA951" i="3"/>
  <c r="AC951" i="3"/>
  <c r="AD951" i="3"/>
  <c r="Z951" i="3"/>
  <c r="L950" i="3"/>
  <c r="T951" i="3" l="1"/>
  <c r="U950" i="3"/>
  <c r="Y949" i="3"/>
  <c r="D951" i="3" l="1"/>
  <c r="G951" i="3" s="1"/>
  <c r="AH951" i="3"/>
  <c r="AG951" i="3"/>
  <c r="E951" i="3"/>
  <c r="H951" i="3" s="1"/>
  <c r="K951" i="3" s="1"/>
  <c r="AE951" i="3" s="1"/>
  <c r="F951" i="3" l="1"/>
  <c r="I951" i="3"/>
  <c r="J951" i="3"/>
  <c r="M951" i="3"/>
  <c r="N951" i="3" s="1"/>
  <c r="V951" i="3"/>
  <c r="A952" i="3"/>
  <c r="B952" i="3" s="1"/>
  <c r="AC952" i="3" l="1"/>
  <c r="Z952" i="3"/>
  <c r="AD952" i="3"/>
  <c r="P952" i="3"/>
  <c r="Q952" i="3" s="1"/>
  <c r="R952" i="3" s="1"/>
  <c r="S952" i="3" s="1"/>
  <c r="AA952" i="3"/>
  <c r="W951" i="3"/>
  <c r="L951" i="3"/>
  <c r="U951" i="3" l="1"/>
  <c r="Y950" i="3"/>
  <c r="T952" i="3"/>
  <c r="D952" i="3" l="1"/>
  <c r="G952" i="3" s="1"/>
  <c r="E952" i="3"/>
  <c r="H952" i="3" s="1"/>
  <c r="AH952" i="3"/>
  <c r="AG952" i="3"/>
  <c r="F952" i="3" l="1"/>
  <c r="I952" i="3"/>
  <c r="J952" i="3"/>
  <c r="M952" i="3"/>
  <c r="N952" i="3" s="1"/>
  <c r="K952" i="3"/>
  <c r="AE952" i="3" s="1"/>
  <c r="V952" i="3" l="1"/>
  <c r="W952" i="3" s="1"/>
  <c r="A953" i="3"/>
  <c r="B953" i="3" s="1"/>
  <c r="L952" i="3"/>
  <c r="U952" i="3" l="1"/>
  <c r="Y951" i="3"/>
  <c r="Z953" i="3"/>
  <c r="AA953" i="3"/>
  <c r="AD953" i="3"/>
  <c r="P953" i="3"/>
  <c r="Q953" i="3" s="1"/>
  <c r="R953" i="3" s="1"/>
  <c r="S953" i="3" s="1"/>
  <c r="AC953" i="3"/>
  <c r="T953" i="3" l="1"/>
  <c r="AG953" i="3" s="1"/>
  <c r="E953" i="3" l="1"/>
  <c r="H953" i="3" s="1"/>
  <c r="K953" i="3" s="1"/>
  <c r="AE953" i="3" s="1"/>
  <c r="AH953" i="3"/>
  <c r="D953" i="3"/>
  <c r="G953" i="3" s="1"/>
  <c r="F953" i="3" l="1"/>
  <c r="I953" i="3"/>
  <c r="J953" i="3"/>
  <c r="M953" i="3"/>
  <c r="N953" i="3" s="1"/>
  <c r="V953" i="3"/>
  <c r="A954" i="3"/>
  <c r="B954" i="3" s="1"/>
  <c r="W953" i="3" l="1"/>
  <c r="L953" i="3"/>
  <c r="AA954" i="3"/>
  <c r="P954" i="3"/>
  <c r="Q954" i="3" s="1"/>
  <c r="R954" i="3" s="1"/>
  <c r="S954" i="3" s="1"/>
  <c r="AC954" i="3"/>
  <c r="Z954" i="3"/>
  <c r="T954" i="3" l="1"/>
  <c r="U953" i="3"/>
  <c r="Y952" i="3"/>
  <c r="E954" i="3" l="1"/>
  <c r="H954" i="3" s="1"/>
  <c r="K954" i="3" s="1"/>
  <c r="AE954" i="3" s="1"/>
  <c r="AG954" i="3"/>
  <c r="AH954" i="3"/>
  <c r="D954" i="3"/>
  <c r="G954" i="3" s="1"/>
  <c r="F954" i="3" l="1"/>
  <c r="V954" i="3"/>
  <c r="A955" i="3"/>
  <c r="B955" i="3" s="1"/>
  <c r="I954" i="3"/>
  <c r="J954" i="3"/>
  <c r="AD954" i="3" s="1"/>
  <c r="M954" i="3"/>
  <c r="N954" i="3" s="1"/>
  <c r="W954" i="3" l="1"/>
  <c r="L954" i="3"/>
  <c r="P955" i="3"/>
  <c r="Q955" i="3" s="1"/>
  <c r="R955" i="3" s="1"/>
  <c r="S955" i="3" s="1"/>
  <c r="AA955" i="3"/>
  <c r="AC955" i="3"/>
  <c r="Z955" i="3"/>
  <c r="U954" i="3" l="1"/>
  <c r="Y953" i="3"/>
  <c r="T955" i="3"/>
  <c r="AG955" i="3" s="1"/>
  <c r="AH955" i="3" l="1"/>
  <c r="D955" i="3"/>
  <c r="E955" i="3"/>
  <c r="H955" i="3" s="1"/>
  <c r="F955" i="3" l="1"/>
  <c r="G955" i="3"/>
  <c r="K955" i="3"/>
  <c r="AE955" i="3" s="1"/>
  <c r="I955" i="3" l="1"/>
  <c r="J955" i="3"/>
  <c r="AD955" i="3" s="1"/>
  <c r="M955" i="3"/>
  <c r="N955" i="3" s="1"/>
  <c r="V955" i="3"/>
  <c r="A956" i="3"/>
  <c r="B956" i="3" s="1"/>
  <c r="W955" i="3" l="1"/>
  <c r="L955" i="3"/>
  <c r="AA956" i="3"/>
  <c r="P956" i="3"/>
  <c r="Q956" i="3" s="1"/>
  <c r="R956" i="3" s="1"/>
  <c r="S956" i="3" s="1"/>
  <c r="Z956" i="3"/>
  <c r="AC956" i="3"/>
  <c r="U955" i="3" l="1"/>
  <c r="Y954" i="3"/>
  <c r="T956" i="3"/>
  <c r="AH956" i="3" s="1"/>
  <c r="AG956" i="3" l="1"/>
  <c r="E956" i="3"/>
  <c r="H956" i="3" s="1"/>
  <c r="K956" i="3" s="1"/>
  <c r="AE956" i="3" s="1"/>
  <c r="D956" i="3"/>
  <c r="V956" i="3" l="1"/>
  <c r="A957" i="3"/>
  <c r="B957" i="3" s="1"/>
  <c r="F956" i="3"/>
  <c r="G956" i="3"/>
  <c r="I956" i="3" l="1"/>
  <c r="W956" i="3" s="1"/>
  <c r="J956" i="3"/>
  <c r="AD956" i="3" s="1"/>
  <c r="M956" i="3"/>
  <c r="N956" i="3" s="1"/>
  <c r="AA957" i="3"/>
  <c r="Z957" i="3"/>
  <c r="P957" i="3"/>
  <c r="Q957" i="3" s="1"/>
  <c r="R957" i="3" s="1"/>
  <c r="S957" i="3" s="1"/>
  <c r="AC957" i="3"/>
  <c r="T957" i="3" l="1"/>
  <c r="L956" i="3"/>
  <c r="AG957" i="3" l="1"/>
  <c r="U956" i="3"/>
  <c r="E957" i="3" s="1"/>
  <c r="H957" i="3" s="1"/>
  <c r="AH957" i="3"/>
  <c r="Y955" i="3"/>
  <c r="D957" i="3" l="1"/>
  <c r="G957" i="3" s="1"/>
  <c r="K957" i="3"/>
  <c r="AE957" i="3" s="1"/>
  <c r="F957" i="3" l="1"/>
  <c r="I957" i="3"/>
  <c r="J957" i="3"/>
  <c r="AD957" i="3" s="1"/>
  <c r="M957" i="3"/>
  <c r="N957" i="3" s="1"/>
  <c r="V957" i="3"/>
  <c r="A958" i="3"/>
  <c r="B958" i="3" s="1"/>
  <c r="W957" i="3" l="1"/>
  <c r="L957" i="3"/>
  <c r="AC958" i="3"/>
  <c r="AA958" i="3"/>
  <c r="P958" i="3"/>
  <c r="Q958" i="3" s="1"/>
  <c r="R958" i="3" s="1"/>
  <c r="S958" i="3" s="1"/>
  <c r="Z958" i="3"/>
  <c r="T958" i="3" l="1"/>
  <c r="AH958" i="3" s="1"/>
  <c r="U957" i="3"/>
  <c r="Y956" i="3"/>
  <c r="AG958" i="3" l="1"/>
  <c r="D958" i="3"/>
  <c r="E958" i="3"/>
  <c r="H958" i="3" s="1"/>
  <c r="K958" i="3" l="1"/>
  <c r="AE958" i="3" s="1"/>
  <c r="F958" i="3"/>
  <c r="G958" i="3"/>
  <c r="V958" i="3" l="1"/>
  <c r="A959" i="3"/>
  <c r="B959" i="3" s="1"/>
  <c r="I958" i="3"/>
  <c r="J958" i="3"/>
  <c r="AD958" i="3" s="1"/>
  <c r="M958" i="3"/>
  <c r="N958" i="3" s="1"/>
  <c r="W958" i="3" l="1"/>
  <c r="L958" i="3"/>
  <c r="Z959" i="3"/>
  <c r="AC959" i="3"/>
  <c r="P959" i="3"/>
  <c r="Q959" i="3" s="1"/>
  <c r="R959" i="3" s="1"/>
  <c r="S959" i="3" s="1"/>
  <c r="AA959" i="3"/>
  <c r="T959" i="3" l="1"/>
  <c r="AH959" i="3" s="1"/>
  <c r="U958" i="3"/>
  <c r="Y957" i="3"/>
  <c r="AG959" i="3" l="1"/>
  <c r="E959" i="3"/>
  <c r="H959" i="3" s="1"/>
  <c r="K959" i="3" s="1"/>
  <c r="AE959" i="3" s="1"/>
  <c r="D959" i="3"/>
  <c r="F959" i="3" l="1"/>
  <c r="G959" i="3"/>
  <c r="V959" i="3"/>
  <c r="A960" i="3"/>
  <c r="B960" i="3" s="1"/>
  <c r="Z960" i="3" l="1"/>
  <c r="AA960" i="3"/>
  <c r="P960" i="3"/>
  <c r="Q960" i="3" s="1"/>
  <c r="R960" i="3" s="1"/>
  <c r="S960" i="3" s="1"/>
  <c r="AC960" i="3"/>
  <c r="I959" i="3"/>
  <c r="W959" i="3" s="1"/>
  <c r="J959" i="3"/>
  <c r="AD959" i="3" s="1"/>
  <c r="M959" i="3"/>
  <c r="N959" i="3" s="1"/>
  <c r="T960" i="3" l="1"/>
  <c r="L959" i="3"/>
  <c r="U959" i="3" l="1"/>
  <c r="E960" i="3" s="1"/>
  <c r="H960" i="3" s="1"/>
  <c r="AG960" i="3"/>
  <c r="AH960" i="3"/>
  <c r="Y958" i="3"/>
  <c r="D960" i="3" l="1"/>
  <c r="G960" i="3" s="1"/>
  <c r="K960" i="3"/>
  <c r="AE960" i="3" s="1"/>
  <c r="F960" i="3" l="1"/>
  <c r="I960" i="3"/>
  <c r="J960" i="3"/>
  <c r="AD960" i="3" s="1"/>
  <c r="M960" i="3"/>
  <c r="N960" i="3" s="1"/>
  <c r="V960" i="3"/>
  <c r="A961" i="3"/>
  <c r="B961" i="3" s="1"/>
  <c r="W960" i="3" l="1"/>
  <c r="P961" i="3"/>
  <c r="Q961" i="3" s="1"/>
  <c r="R961" i="3" s="1"/>
  <c r="S961" i="3" s="1"/>
  <c r="AC961" i="3"/>
  <c r="Z961" i="3"/>
  <c r="AA961" i="3"/>
  <c r="L960" i="3"/>
  <c r="U960" i="3" l="1"/>
  <c r="Y959" i="3"/>
  <c r="T961" i="3"/>
  <c r="D961" i="3" l="1"/>
  <c r="G961" i="3" s="1"/>
  <c r="AH961" i="3"/>
  <c r="AG961" i="3"/>
  <c r="E961" i="3"/>
  <c r="H961" i="3" s="1"/>
  <c r="K961" i="3" l="1"/>
  <c r="AE961" i="3" s="1"/>
  <c r="I961" i="3"/>
  <c r="J961" i="3"/>
  <c r="AD961" i="3" s="1"/>
  <c r="M961" i="3"/>
  <c r="N961" i="3" s="1"/>
  <c r="F961" i="3"/>
  <c r="L961" i="3" l="1"/>
  <c r="V961" i="3"/>
  <c r="W961" i="3" s="1"/>
  <c r="A962" i="3"/>
  <c r="B962" i="3" s="1"/>
  <c r="Z962" i="3" l="1"/>
  <c r="AA962" i="3"/>
  <c r="P962" i="3"/>
  <c r="Q962" i="3" s="1"/>
  <c r="R962" i="3" s="1"/>
  <c r="S962" i="3" s="1"/>
  <c r="AC962" i="3"/>
  <c r="U961" i="3"/>
  <c r="Y960" i="3"/>
  <c r="T962" i="3" l="1"/>
  <c r="E962" i="3" s="1"/>
  <c r="H962" i="3" s="1"/>
  <c r="AH962" i="3" l="1"/>
  <c r="K962" i="3"/>
  <c r="AE962" i="3" s="1"/>
  <c r="D962" i="3"/>
  <c r="AG962" i="3"/>
  <c r="V962" i="3" l="1"/>
  <c r="A963" i="3"/>
  <c r="B963" i="3" s="1"/>
  <c r="F962" i="3"/>
  <c r="G962" i="3"/>
  <c r="P963" i="3" l="1"/>
  <c r="Q963" i="3" s="1"/>
  <c r="R963" i="3" s="1"/>
  <c r="S963" i="3" s="1"/>
  <c r="AC963" i="3"/>
  <c r="Z963" i="3"/>
  <c r="AA963" i="3"/>
  <c r="I962" i="3"/>
  <c r="W962" i="3" s="1"/>
  <c r="J962" i="3"/>
  <c r="AD962" i="3" s="1"/>
  <c r="M962" i="3"/>
  <c r="N962" i="3" s="1"/>
  <c r="T963" i="3" l="1"/>
  <c r="L962" i="3"/>
  <c r="U962" i="3" l="1"/>
  <c r="E963" i="3" s="1"/>
  <c r="H963" i="3" s="1"/>
  <c r="AG963" i="3"/>
  <c r="AH963" i="3"/>
  <c r="Y961" i="3"/>
  <c r="D963" i="3" l="1"/>
  <c r="G963" i="3" s="1"/>
  <c r="K963" i="3"/>
  <c r="AE963" i="3" s="1"/>
  <c r="F963" i="3" l="1"/>
  <c r="I963" i="3"/>
  <c r="J963" i="3"/>
  <c r="AD963" i="3" s="1"/>
  <c r="M963" i="3"/>
  <c r="N963" i="3" s="1"/>
  <c r="V963" i="3"/>
  <c r="A964" i="3"/>
  <c r="B964" i="3" s="1"/>
  <c r="W963" i="3" l="1"/>
  <c r="L963" i="3"/>
  <c r="Z964" i="3"/>
  <c r="P964" i="3"/>
  <c r="Q964" i="3" s="1"/>
  <c r="R964" i="3" s="1"/>
  <c r="S964" i="3" s="1"/>
  <c r="AA964" i="3"/>
  <c r="AC964" i="3"/>
  <c r="U963" i="3" l="1"/>
  <c r="Y962" i="3"/>
  <c r="T964" i="3"/>
  <c r="D964" i="3" l="1"/>
  <c r="G964" i="3" s="1"/>
  <c r="E964" i="3"/>
  <c r="H964" i="3" s="1"/>
  <c r="K964" i="3" s="1"/>
  <c r="AE964" i="3" s="1"/>
  <c r="AH964" i="3"/>
  <c r="AG964" i="3"/>
  <c r="F964" i="3" l="1"/>
  <c r="I964" i="3"/>
  <c r="J964" i="3"/>
  <c r="AD964" i="3" s="1"/>
  <c r="M964" i="3"/>
  <c r="N964" i="3" s="1"/>
  <c r="V964" i="3"/>
  <c r="A965" i="3"/>
  <c r="B965" i="3" s="1"/>
  <c r="W964" i="3" l="1"/>
  <c r="L964" i="3"/>
  <c r="AC965" i="3"/>
  <c r="AD965" i="3"/>
  <c r="P965" i="3"/>
  <c r="Q965" i="3" s="1"/>
  <c r="R965" i="3" s="1"/>
  <c r="S965" i="3" s="1"/>
  <c r="AA965" i="3"/>
  <c r="Z965" i="3"/>
  <c r="U964" i="3" l="1"/>
  <c r="Y963" i="3"/>
  <c r="T965" i="3"/>
  <c r="AH965" i="3" s="1"/>
  <c r="AG965" i="3" l="1"/>
  <c r="E965" i="3"/>
  <c r="H965" i="3" s="1"/>
  <c r="D965" i="3"/>
  <c r="F965" i="3" l="1"/>
  <c r="G965" i="3"/>
  <c r="K965" i="3"/>
  <c r="AE965" i="3" s="1"/>
  <c r="V965" i="3" l="1"/>
  <c r="A966" i="3"/>
  <c r="B966" i="3" s="1"/>
  <c r="I965" i="3"/>
  <c r="J965" i="3"/>
  <c r="M965" i="3"/>
  <c r="N965" i="3" s="1"/>
  <c r="L965" i="3" l="1"/>
  <c r="P966" i="3"/>
  <c r="Q966" i="3" s="1"/>
  <c r="R966" i="3" s="1"/>
  <c r="S966" i="3" s="1"/>
  <c r="AD966" i="3"/>
  <c r="AA966" i="3"/>
  <c r="Z966" i="3"/>
  <c r="AC966" i="3"/>
  <c r="W965" i="3"/>
  <c r="T966" i="3" l="1"/>
  <c r="AG966" i="3" s="1"/>
  <c r="U965" i="3"/>
  <c r="Y964" i="3"/>
  <c r="E966" i="3" l="1"/>
  <c r="H966" i="3" s="1"/>
  <c r="D966" i="3"/>
  <c r="AH966" i="3"/>
  <c r="K966" i="3" l="1"/>
  <c r="AE966" i="3" s="1"/>
  <c r="F966" i="3"/>
  <c r="G966" i="3"/>
  <c r="I966" i="3" l="1"/>
  <c r="J966" i="3"/>
  <c r="M966" i="3"/>
  <c r="N966" i="3" s="1"/>
  <c r="V966" i="3"/>
  <c r="A967" i="3"/>
  <c r="B967" i="3" s="1"/>
  <c r="W966" i="3" l="1"/>
  <c r="L966" i="3"/>
  <c r="AA967" i="3"/>
  <c r="P967" i="3"/>
  <c r="Q967" i="3" s="1"/>
  <c r="R967" i="3" s="1"/>
  <c r="S967" i="3" s="1"/>
  <c r="AC967" i="3"/>
  <c r="Z967" i="3"/>
  <c r="AD967" i="3"/>
  <c r="U966" i="3" l="1"/>
  <c r="Y965" i="3"/>
  <c r="T967" i="3"/>
  <c r="E967" i="3" l="1"/>
  <c r="H967" i="3" s="1"/>
  <c r="K967" i="3" s="1"/>
  <c r="AE967" i="3" s="1"/>
  <c r="AH967" i="3"/>
  <c r="AG967" i="3"/>
  <c r="D967" i="3"/>
  <c r="V967" i="3" l="1"/>
  <c r="A968" i="3"/>
  <c r="B968" i="3" s="1"/>
  <c r="F967" i="3"/>
  <c r="G967" i="3"/>
  <c r="I967" i="3" l="1"/>
  <c r="W967" i="3" s="1"/>
  <c r="J967" i="3"/>
  <c r="M967" i="3"/>
  <c r="N967" i="3" s="1"/>
  <c r="Z968" i="3"/>
  <c r="AA968" i="3"/>
  <c r="P968" i="3"/>
  <c r="Q968" i="3" s="1"/>
  <c r="R968" i="3" s="1"/>
  <c r="S968" i="3" s="1"/>
  <c r="AC968" i="3"/>
  <c r="L967" i="3" l="1"/>
  <c r="T968" i="3"/>
  <c r="AH968" i="3" l="1"/>
  <c r="AG968" i="3"/>
  <c r="U967" i="3"/>
  <c r="E968" i="3" s="1"/>
  <c r="H968" i="3" s="1"/>
  <c r="Y966" i="3"/>
  <c r="K968" i="3" l="1"/>
  <c r="AE968" i="3" s="1"/>
  <c r="D968" i="3"/>
  <c r="V968" i="3" l="1"/>
  <c r="A969" i="3"/>
  <c r="B969" i="3" s="1"/>
  <c r="F968" i="3"/>
  <c r="G968" i="3"/>
  <c r="I968" i="3" l="1"/>
  <c r="W968" i="3" s="1"/>
  <c r="J968" i="3"/>
  <c r="AD968" i="3" s="1"/>
  <c r="M968" i="3"/>
  <c r="N968" i="3" s="1"/>
  <c r="AA969" i="3"/>
  <c r="Z969" i="3"/>
  <c r="AD969" i="3"/>
  <c r="P969" i="3"/>
  <c r="Q969" i="3" s="1"/>
  <c r="R969" i="3" s="1"/>
  <c r="S969" i="3" s="1"/>
  <c r="AC969" i="3"/>
  <c r="T969" i="3" l="1"/>
  <c r="L968" i="3"/>
  <c r="AH969" i="3" l="1"/>
  <c r="U968" i="3"/>
  <c r="D969" i="3" s="1"/>
  <c r="AG969" i="3"/>
  <c r="Y967" i="3"/>
  <c r="G969" i="3" l="1"/>
  <c r="E969" i="3"/>
  <c r="H969" i="3" s="1"/>
  <c r="F969" i="3" l="1"/>
  <c r="I969" i="3"/>
  <c r="J969" i="3"/>
  <c r="M969" i="3"/>
  <c r="N969" i="3" s="1"/>
  <c r="K969" i="3"/>
  <c r="AE969" i="3" s="1"/>
  <c r="V969" i="3" l="1"/>
  <c r="W969" i="3" s="1"/>
  <c r="A970" i="3"/>
  <c r="B970" i="3" s="1"/>
  <c r="L969" i="3"/>
  <c r="U969" i="3" l="1"/>
  <c r="Y968" i="3"/>
  <c r="AA970" i="3"/>
  <c r="P970" i="3"/>
  <c r="Q970" i="3" s="1"/>
  <c r="R970" i="3" s="1"/>
  <c r="S970" i="3" s="1"/>
  <c r="AC970" i="3"/>
  <c r="Z970" i="3"/>
  <c r="AD970" i="3"/>
  <c r="T970" i="3" l="1"/>
  <c r="E970" i="3" s="1"/>
  <c r="H970" i="3" s="1"/>
  <c r="AH970" i="3" l="1"/>
  <c r="K970" i="3"/>
  <c r="AE970" i="3" s="1"/>
  <c r="D970" i="3"/>
  <c r="AG970" i="3"/>
  <c r="V970" i="3" l="1"/>
  <c r="A971" i="3"/>
  <c r="B971" i="3" s="1"/>
  <c r="F970" i="3"/>
  <c r="G970" i="3"/>
  <c r="I970" i="3" l="1"/>
  <c r="W970" i="3" s="1"/>
  <c r="J970" i="3"/>
  <c r="M970" i="3"/>
  <c r="N970" i="3" s="1"/>
  <c r="P971" i="3"/>
  <c r="Q971" i="3" s="1"/>
  <c r="R971" i="3" s="1"/>
  <c r="S971" i="3" s="1"/>
  <c r="AD971" i="3"/>
  <c r="Z971" i="3"/>
  <c r="AC971" i="3"/>
  <c r="AA971" i="3"/>
  <c r="T971" i="3" l="1"/>
  <c r="L970" i="3"/>
  <c r="U970" i="3" l="1"/>
  <c r="E971" i="3" s="1"/>
  <c r="H971" i="3" s="1"/>
  <c r="AH971" i="3"/>
  <c r="AG971" i="3"/>
  <c r="Y969" i="3"/>
  <c r="K971" i="3" l="1"/>
  <c r="AE971" i="3" s="1"/>
  <c r="D971" i="3"/>
  <c r="V971" i="3" l="1"/>
  <c r="A972" i="3"/>
  <c r="B972" i="3" s="1"/>
  <c r="F971" i="3"/>
  <c r="G971" i="3"/>
  <c r="I971" i="3" l="1"/>
  <c r="W971" i="3" s="1"/>
  <c r="J971" i="3"/>
  <c r="M971" i="3"/>
  <c r="N971" i="3" s="1"/>
  <c r="AC972" i="3"/>
  <c r="AD972" i="3"/>
  <c r="Z972" i="3"/>
  <c r="P972" i="3"/>
  <c r="Q972" i="3" s="1"/>
  <c r="R972" i="3" s="1"/>
  <c r="S972" i="3" s="1"/>
  <c r="AA972" i="3"/>
  <c r="T972" i="3" l="1"/>
  <c r="L971" i="3"/>
  <c r="U971" i="3" l="1"/>
  <c r="D972" i="3" s="1"/>
  <c r="AH972" i="3"/>
  <c r="AG972" i="3"/>
  <c r="Y970" i="3"/>
  <c r="E972" i="3" l="1"/>
  <c r="H972" i="3" s="1"/>
  <c r="K972" i="3" s="1"/>
  <c r="AE972" i="3" s="1"/>
  <c r="G972" i="3"/>
  <c r="F972" i="3" l="1"/>
  <c r="V972" i="3"/>
  <c r="A973" i="3"/>
  <c r="B973" i="3" s="1"/>
  <c r="I972" i="3"/>
  <c r="J972" i="3"/>
  <c r="M972" i="3"/>
  <c r="N972" i="3" s="1"/>
  <c r="W972" i="3" l="1"/>
  <c r="L972" i="3"/>
  <c r="AC973" i="3"/>
  <c r="P973" i="3"/>
  <c r="Q973" i="3" s="1"/>
  <c r="R973" i="3" s="1"/>
  <c r="S973" i="3" s="1"/>
  <c r="Z973" i="3"/>
  <c r="AD973" i="3"/>
  <c r="AA973" i="3"/>
  <c r="U972" i="3" l="1"/>
  <c r="Y971" i="3"/>
  <c r="T973" i="3"/>
  <c r="AG973" i="3" s="1"/>
  <c r="D973" i="3" l="1"/>
  <c r="G973" i="3" s="1"/>
  <c r="E973" i="3"/>
  <c r="H973" i="3" s="1"/>
  <c r="K973" i="3" s="1"/>
  <c r="AE973" i="3" s="1"/>
  <c r="AH973" i="3"/>
  <c r="F973" i="3" l="1"/>
  <c r="I973" i="3"/>
  <c r="J973" i="3"/>
  <c r="M973" i="3"/>
  <c r="N973" i="3" s="1"/>
  <c r="V973" i="3"/>
  <c r="A974" i="3"/>
  <c r="B974" i="3" s="1"/>
  <c r="W973" i="3" l="1"/>
  <c r="L973" i="3"/>
  <c r="P974" i="3"/>
  <c r="Q974" i="3" s="1"/>
  <c r="R974" i="3" s="1"/>
  <c r="S974" i="3" s="1"/>
  <c r="AA974" i="3"/>
  <c r="Z974" i="3"/>
  <c r="AC974" i="3"/>
  <c r="T974" i="3" l="1"/>
  <c r="AG974" i="3" s="1"/>
  <c r="U973" i="3"/>
  <c r="Y972" i="3"/>
  <c r="AH974" i="3" l="1"/>
  <c r="E974" i="3"/>
  <c r="H974" i="3" s="1"/>
  <c r="D974" i="3"/>
  <c r="K974" i="3" l="1"/>
  <c r="AE974" i="3" s="1"/>
  <c r="F974" i="3"/>
  <c r="G974" i="3"/>
  <c r="I974" i="3" l="1"/>
  <c r="J974" i="3"/>
  <c r="AD974" i="3" s="1"/>
  <c r="M974" i="3"/>
  <c r="N974" i="3" s="1"/>
  <c r="V974" i="3"/>
  <c r="A975" i="3"/>
  <c r="B975" i="3" s="1"/>
  <c r="W974" i="3" l="1"/>
  <c r="L974" i="3"/>
  <c r="AD975" i="3"/>
  <c r="P975" i="3"/>
  <c r="Q975" i="3" s="1"/>
  <c r="R975" i="3" s="1"/>
  <c r="S975" i="3" s="1"/>
  <c r="AC975" i="3"/>
  <c r="Z975" i="3"/>
  <c r="AA975" i="3"/>
  <c r="U974" i="3" l="1"/>
  <c r="Y973" i="3"/>
  <c r="T975" i="3"/>
  <c r="D975" i="3" l="1"/>
  <c r="G975" i="3" s="1"/>
  <c r="AH975" i="3"/>
  <c r="E975" i="3"/>
  <c r="H975" i="3" s="1"/>
  <c r="K975" i="3" s="1"/>
  <c r="AE975" i="3" s="1"/>
  <c r="AG975" i="3"/>
  <c r="F975" i="3" l="1"/>
  <c r="V975" i="3"/>
  <c r="A976" i="3"/>
  <c r="B976" i="3" s="1"/>
  <c r="I975" i="3"/>
  <c r="J975" i="3"/>
  <c r="M975" i="3"/>
  <c r="N975" i="3" s="1"/>
  <c r="W975" i="3" l="1"/>
  <c r="L975" i="3"/>
  <c r="AA976" i="3"/>
  <c r="AC976" i="3"/>
  <c r="Z976" i="3"/>
  <c r="AD976" i="3"/>
  <c r="P976" i="3"/>
  <c r="Q976" i="3" s="1"/>
  <c r="R976" i="3" s="1"/>
  <c r="S976" i="3" s="1"/>
  <c r="U975" i="3" l="1"/>
  <c r="Y974" i="3"/>
  <c r="T976" i="3"/>
  <c r="AG976" i="3" s="1"/>
  <c r="AH976" i="3" l="1"/>
  <c r="E976" i="3"/>
  <c r="H976" i="3" s="1"/>
  <c r="D976" i="3"/>
  <c r="K976" i="3" l="1"/>
  <c r="AE976" i="3" s="1"/>
  <c r="F976" i="3"/>
  <c r="G976" i="3"/>
  <c r="I976" i="3" l="1"/>
  <c r="J976" i="3"/>
  <c r="M976" i="3"/>
  <c r="N976" i="3" s="1"/>
  <c r="V976" i="3"/>
  <c r="A977" i="3"/>
  <c r="B977" i="3" s="1"/>
  <c r="W976" i="3" l="1"/>
  <c r="L976" i="3"/>
  <c r="Z977" i="3"/>
  <c r="P977" i="3"/>
  <c r="Q977" i="3" s="1"/>
  <c r="R977" i="3" s="1"/>
  <c r="S977" i="3" s="1"/>
  <c r="AC977" i="3"/>
  <c r="AA977" i="3"/>
  <c r="AD977" i="3"/>
  <c r="T977" i="3" l="1"/>
  <c r="U976" i="3"/>
  <c r="Y975" i="3"/>
  <c r="E977" i="3" l="1"/>
  <c r="H977" i="3" s="1"/>
  <c r="K977" i="3" s="1"/>
  <c r="AE977" i="3" s="1"/>
  <c r="AG977" i="3"/>
  <c r="D977" i="3"/>
  <c r="G977" i="3" s="1"/>
  <c r="AH977" i="3"/>
  <c r="F977" i="3" l="1"/>
  <c r="I977" i="3"/>
  <c r="J977" i="3"/>
  <c r="M977" i="3"/>
  <c r="N977" i="3" s="1"/>
  <c r="V977" i="3"/>
  <c r="A978" i="3"/>
  <c r="B978" i="3" s="1"/>
  <c r="W977" i="3" l="1"/>
  <c r="L977" i="3"/>
  <c r="AC978" i="3"/>
  <c r="Z978" i="3"/>
  <c r="AA978" i="3"/>
  <c r="P978" i="3"/>
  <c r="Q978" i="3" s="1"/>
  <c r="R978" i="3" s="1"/>
  <c r="S978" i="3" s="1"/>
  <c r="T978" i="3" l="1"/>
  <c r="U977" i="3"/>
  <c r="Y976" i="3"/>
  <c r="D978" i="3" l="1"/>
  <c r="G978" i="3" s="1"/>
  <c r="E978" i="3"/>
  <c r="H978" i="3" s="1"/>
  <c r="K978" i="3" s="1"/>
  <c r="AE978" i="3" s="1"/>
  <c r="AH978" i="3"/>
  <c r="AG978" i="3"/>
  <c r="F978" i="3" l="1"/>
  <c r="I978" i="3"/>
  <c r="J978" i="3"/>
  <c r="AD978" i="3" s="1"/>
  <c r="M978" i="3"/>
  <c r="N978" i="3" s="1"/>
  <c r="V978" i="3"/>
  <c r="A979" i="3"/>
  <c r="B979" i="3" s="1"/>
  <c r="W978" i="3" l="1"/>
  <c r="L978" i="3"/>
  <c r="AC979" i="3"/>
  <c r="AA979" i="3"/>
  <c r="AD979" i="3"/>
  <c r="Z979" i="3"/>
  <c r="P979" i="3"/>
  <c r="Q979" i="3" s="1"/>
  <c r="R979" i="3" s="1"/>
  <c r="S979" i="3" s="1"/>
  <c r="T979" i="3" l="1"/>
  <c r="U978" i="3"/>
  <c r="Y977" i="3"/>
  <c r="D979" i="3" l="1"/>
  <c r="G979" i="3" s="1"/>
  <c r="AH979" i="3"/>
  <c r="E979" i="3"/>
  <c r="H979" i="3" s="1"/>
  <c r="K979" i="3" s="1"/>
  <c r="AE979" i="3" s="1"/>
  <c r="AG979" i="3"/>
  <c r="F979" i="3" l="1"/>
  <c r="V979" i="3"/>
  <c r="A980" i="3"/>
  <c r="B980" i="3" s="1"/>
  <c r="I979" i="3"/>
  <c r="J979" i="3"/>
  <c r="M979" i="3"/>
  <c r="N979" i="3" s="1"/>
  <c r="W979" i="3" l="1"/>
  <c r="L979" i="3"/>
  <c r="P980" i="3"/>
  <c r="Q980" i="3" s="1"/>
  <c r="R980" i="3" s="1"/>
  <c r="S980" i="3" s="1"/>
  <c r="AA980" i="3"/>
  <c r="AD980" i="3"/>
  <c r="AC980" i="3"/>
  <c r="Z980" i="3"/>
  <c r="U979" i="3" l="1"/>
  <c r="Y978" i="3"/>
  <c r="T980" i="3"/>
  <c r="AH980" i="3" s="1"/>
  <c r="D980" i="3" l="1"/>
  <c r="G980" i="3" s="1"/>
  <c r="E980" i="3"/>
  <c r="H980" i="3" s="1"/>
  <c r="K980" i="3" s="1"/>
  <c r="AE980" i="3" s="1"/>
  <c r="AG980" i="3"/>
  <c r="F980" i="3" l="1"/>
  <c r="I980" i="3"/>
  <c r="J980" i="3"/>
  <c r="M980" i="3"/>
  <c r="N980" i="3" s="1"/>
  <c r="V980" i="3"/>
  <c r="A981" i="3"/>
  <c r="B981" i="3" s="1"/>
  <c r="W980" i="3" l="1"/>
  <c r="L980" i="3"/>
  <c r="AD981" i="3"/>
  <c r="AA981" i="3"/>
  <c r="AC981" i="3"/>
  <c r="Z981" i="3"/>
  <c r="P981" i="3"/>
  <c r="Q981" i="3" s="1"/>
  <c r="R981" i="3" s="1"/>
  <c r="S981" i="3" s="1"/>
  <c r="U980" i="3" l="1"/>
  <c r="Y979" i="3"/>
  <c r="T981" i="3"/>
  <c r="AH981" i="3" s="1"/>
  <c r="D981" i="3" l="1"/>
  <c r="G981" i="3" s="1"/>
  <c r="AG981" i="3"/>
  <c r="E981" i="3"/>
  <c r="H981" i="3" s="1"/>
  <c r="F981" i="3" l="1"/>
  <c r="I981" i="3"/>
  <c r="J981" i="3"/>
  <c r="M981" i="3"/>
  <c r="N981" i="3" s="1"/>
  <c r="K981" i="3"/>
  <c r="AE981" i="3" s="1"/>
  <c r="V981" i="3" l="1"/>
  <c r="W981" i="3" s="1"/>
  <c r="A982" i="3"/>
  <c r="B982" i="3" s="1"/>
  <c r="L981" i="3"/>
  <c r="U981" i="3" l="1"/>
  <c r="Y980" i="3"/>
  <c r="P982" i="3"/>
  <c r="Q982" i="3" s="1"/>
  <c r="R982" i="3" s="1"/>
  <c r="S982" i="3" s="1"/>
  <c r="AD982" i="3"/>
  <c r="AC982" i="3"/>
  <c r="AA982" i="3"/>
  <c r="Z982" i="3"/>
  <c r="T982" i="3" l="1"/>
  <c r="E982" i="3" s="1"/>
  <c r="H982" i="3" s="1"/>
  <c r="AG982" i="3" l="1"/>
  <c r="AH982" i="3"/>
  <c r="D982" i="3"/>
  <c r="G982" i="3" s="1"/>
  <c r="K982" i="3"/>
  <c r="AE982" i="3" s="1"/>
  <c r="F982" i="3" l="1"/>
  <c r="I982" i="3"/>
  <c r="J982" i="3"/>
  <c r="M982" i="3"/>
  <c r="N982" i="3" s="1"/>
  <c r="V982" i="3"/>
  <c r="A983" i="3"/>
  <c r="B983" i="3" s="1"/>
  <c r="W982" i="3" l="1"/>
  <c r="L982" i="3"/>
  <c r="AD983" i="3"/>
  <c r="Z983" i="3"/>
  <c r="P983" i="3"/>
  <c r="Q983" i="3" s="1"/>
  <c r="R983" i="3" s="1"/>
  <c r="S983" i="3" s="1"/>
  <c r="AA983" i="3"/>
  <c r="AC983" i="3"/>
  <c r="U982" i="3" l="1"/>
  <c r="Y981" i="3"/>
  <c r="T983" i="3"/>
  <c r="AG983" i="3" s="1"/>
  <c r="E983" i="3" l="1"/>
  <c r="H983" i="3" s="1"/>
  <c r="K983" i="3" s="1"/>
  <c r="AE983" i="3" s="1"/>
  <c r="D983" i="3"/>
  <c r="AH983" i="3"/>
  <c r="F983" i="3" l="1"/>
  <c r="G983" i="3"/>
  <c r="M983" i="3" s="1"/>
  <c r="N983" i="3" s="1"/>
  <c r="V983" i="3"/>
  <c r="A984" i="3"/>
  <c r="B984" i="3" s="1"/>
  <c r="I983" i="3" l="1"/>
  <c r="W983" i="3" s="1"/>
  <c r="J983" i="3"/>
  <c r="L983" i="3" s="1"/>
  <c r="P984" i="3"/>
  <c r="Q984" i="3" s="1"/>
  <c r="R984" i="3" s="1"/>
  <c r="S984" i="3" s="1"/>
  <c r="AA984" i="3"/>
  <c r="Z984" i="3"/>
  <c r="AC984" i="3"/>
  <c r="U983" i="3" l="1"/>
  <c r="Y982" i="3"/>
  <c r="T984" i="3"/>
  <c r="E984" i="3" l="1"/>
  <c r="H984" i="3" s="1"/>
  <c r="K984" i="3" s="1"/>
  <c r="AE984" i="3" s="1"/>
  <c r="AG984" i="3"/>
  <c r="D984" i="3"/>
  <c r="AH984" i="3"/>
  <c r="F984" i="3" l="1"/>
  <c r="G984" i="3"/>
  <c r="V984" i="3"/>
  <c r="A985" i="3"/>
  <c r="B985" i="3" s="1"/>
  <c r="AA985" i="3" l="1"/>
  <c r="Z985" i="3"/>
  <c r="P985" i="3"/>
  <c r="Q985" i="3" s="1"/>
  <c r="R985" i="3" s="1"/>
  <c r="S985" i="3" s="1"/>
  <c r="AD985" i="3"/>
  <c r="AC985" i="3"/>
  <c r="I984" i="3"/>
  <c r="W984" i="3" s="1"/>
  <c r="J984" i="3"/>
  <c r="AD984" i="3" s="1"/>
  <c r="M984" i="3"/>
  <c r="N984" i="3" s="1"/>
  <c r="T985" i="3" l="1"/>
  <c r="L984" i="3"/>
  <c r="AG985" i="3" l="1"/>
  <c r="AH985" i="3"/>
  <c r="U984" i="3"/>
  <c r="D985" i="3" s="1"/>
  <c r="Y983" i="3"/>
  <c r="G985" i="3" l="1"/>
  <c r="E985" i="3"/>
  <c r="H985" i="3" s="1"/>
  <c r="I985" i="3" l="1"/>
  <c r="J985" i="3"/>
  <c r="M985" i="3"/>
  <c r="N985" i="3" s="1"/>
  <c r="F985" i="3"/>
  <c r="K985" i="3"/>
  <c r="AE985" i="3" s="1"/>
  <c r="L985" i="3" l="1"/>
  <c r="V985" i="3"/>
  <c r="W985" i="3" s="1"/>
  <c r="A986" i="3"/>
  <c r="B986" i="3" s="1"/>
  <c r="U985" i="3" l="1"/>
  <c r="Y984" i="3"/>
  <c r="AC986" i="3"/>
  <c r="P986" i="3"/>
  <c r="Q986" i="3" s="1"/>
  <c r="R986" i="3" s="1"/>
  <c r="S986" i="3" s="1"/>
  <c r="Z986" i="3"/>
  <c r="AD986" i="3"/>
  <c r="AA986" i="3"/>
  <c r="T986" i="3" l="1"/>
  <c r="E986" i="3" s="1"/>
  <c r="H986" i="3" s="1"/>
  <c r="AG986" i="3" l="1"/>
  <c r="K986" i="3"/>
  <c r="AE986" i="3" s="1"/>
  <c r="AH986" i="3"/>
  <c r="D986" i="3"/>
  <c r="F986" i="3" l="1"/>
  <c r="G986" i="3"/>
  <c r="V986" i="3"/>
  <c r="A987" i="3"/>
  <c r="B987" i="3" s="1"/>
  <c r="Z987" i="3" l="1"/>
  <c r="AC987" i="3"/>
  <c r="P987" i="3"/>
  <c r="Q987" i="3" s="1"/>
  <c r="R987" i="3" s="1"/>
  <c r="S987" i="3" s="1"/>
  <c r="AD987" i="3"/>
  <c r="AA987" i="3"/>
  <c r="I986" i="3"/>
  <c r="W986" i="3" s="1"/>
  <c r="J986" i="3"/>
  <c r="M986" i="3"/>
  <c r="N986" i="3" s="1"/>
  <c r="L986" i="3" l="1"/>
  <c r="T987" i="3"/>
  <c r="U986" i="3" l="1"/>
  <c r="E987" i="3" s="1"/>
  <c r="H987" i="3" s="1"/>
  <c r="AH987" i="3"/>
  <c r="AG987" i="3"/>
  <c r="Y985" i="3"/>
  <c r="K987" i="3" l="1"/>
  <c r="AE987" i="3" s="1"/>
  <c r="D987" i="3"/>
  <c r="V987" i="3" l="1"/>
  <c r="A988" i="3"/>
  <c r="B988" i="3" s="1"/>
  <c r="F987" i="3"/>
  <c r="G987" i="3"/>
  <c r="I987" i="3" l="1"/>
  <c r="W987" i="3" s="1"/>
  <c r="J987" i="3"/>
  <c r="M987" i="3"/>
  <c r="N987" i="3" s="1"/>
  <c r="AC988" i="3"/>
  <c r="Z988" i="3"/>
  <c r="AA988" i="3"/>
  <c r="P988" i="3"/>
  <c r="Q988" i="3" s="1"/>
  <c r="R988" i="3" s="1"/>
  <c r="S988" i="3" s="1"/>
  <c r="L987" i="3" l="1"/>
  <c r="T988" i="3"/>
  <c r="AH988" i="3" l="1"/>
  <c r="U987" i="3"/>
  <c r="E988" i="3" s="1"/>
  <c r="H988" i="3" s="1"/>
  <c r="AG988" i="3"/>
  <c r="Y986" i="3"/>
  <c r="D988" i="3" l="1"/>
  <c r="G988" i="3" s="1"/>
  <c r="K988" i="3"/>
  <c r="AE988" i="3" s="1"/>
  <c r="F988" i="3" l="1"/>
  <c r="I988" i="3"/>
  <c r="J988" i="3"/>
  <c r="AD988" i="3" s="1"/>
  <c r="M988" i="3"/>
  <c r="N988" i="3" s="1"/>
  <c r="V988" i="3"/>
  <c r="A989" i="3"/>
  <c r="B989" i="3" s="1"/>
  <c r="W988" i="3" l="1"/>
  <c r="L988" i="3"/>
  <c r="AC989" i="3"/>
  <c r="AD989" i="3"/>
  <c r="P989" i="3"/>
  <c r="Q989" i="3" s="1"/>
  <c r="R989" i="3" s="1"/>
  <c r="S989" i="3" s="1"/>
  <c r="Z989" i="3"/>
  <c r="AA989" i="3"/>
  <c r="T989" i="3" l="1"/>
  <c r="U988" i="3"/>
  <c r="Y987" i="3"/>
  <c r="D989" i="3" l="1"/>
  <c r="G989" i="3" s="1"/>
  <c r="AG989" i="3"/>
  <c r="E989" i="3"/>
  <c r="H989" i="3" s="1"/>
  <c r="AH989" i="3"/>
  <c r="F989" i="3" l="1"/>
  <c r="I989" i="3"/>
  <c r="J989" i="3"/>
  <c r="M989" i="3"/>
  <c r="N989" i="3" s="1"/>
  <c r="K989" i="3"/>
  <c r="AE989" i="3" s="1"/>
  <c r="L989" i="3" l="1"/>
  <c r="V989" i="3"/>
  <c r="W989" i="3" s="1"/>
  <c r="A990" i="3"/>
  <c r="B990" i="3" s="1"/>
  <c r="U989" i="3" l="1"/>
  <c r="Y988" i="3"/>
  <c r="AC990" i="3"/>
  <c r="AD990" i="3"/>
  <c r="AA990" i="3"/>
  <c r="Z990" i="3"/>
  <c r="P990" i="3"/>
  <c r="Q990" i="3" s="1"/>
  <c r="R990" i="3" s="1"/>
  <c r="S990" i="3" s="1"/>
  <c r="T990" i="3" l="1"/>
  <c r="E990" i="3" s="1"/>
  <c r="H990" i="3" s="1"/>
  <c r="AH990" i="3" l="1"/>
  <c r="D990" i="3"/>
  <c r="G990" i="3" s="1"/>
  <c r="AG990" i="3"/>
  <c r="K990" i="3"/>
  <c r="AE990" i="3" s="1"/>
  <c r="F990" i="3" l="1"/>
  <c r="V990" i="3"/>
  <c r="A991" i="3"/>
  <c r="B991" i="3" s="1"/>
  <c r="I990" i="3"/>
  <c r="J990" i="3"/>
  <c r="M990" i="3"/>
  <c r="N990" i="3" s="1"/>
  <c r="L990" i="3" l="1"/>
  <c r="W990" i="3"/>
  <c r="AA991" i="3"/>
  <c r="AD991" i="3"/>
  <c r="P991" i="3"/>
  <c r="Q991" i="3" s="1"/>
  <c r="R991" i="3" s="1"/>
  <c r="S991" i="3" s="1"/>
  <c r="Z991" i="3"/>
  <c r="AC991" i="3"/>
  <c r="U990" i="3" l="1"/>
  <c r="Y989" i="3"/>
  <c r="T991" i="3"/>
  <c r="D991" i="3" l="1"/>
  <c r="G991" i="3" s="1"/>
  <c r="E991" i="3"/>
  <c r="H991" i="3" s="1"/>
  <c r="K991" i="3" s="1"/>
  <c r="AE991" i="3" s="1"/>
  <c r="AG991" i="3"/>
  <c r="AH991" i="3"/>
  <c r="F991" i="3" l="1"/>
  <c r="V991" i="3"/>
  <c r="A992" i="3"/>
  <c r="B992" i="3" s="1"/>
  <c r="I991" i="3"/>
  <c r="J991" i="3"/>
  <c r="M991" i="3"/>
  <c r="N991" i="3" s="1"/>
  <c r="W991" i="3" l="1"/>
  <c r="L991" i="3"/>
  <c r="AC992" i="3"/>
  <c r="AD992" i="3"/>
  <c r="Z992" i="3"/>
  <c r="AA992" i="3"/>
  <c r="P992" i="3"/>
  <c r="Q992" i="3" s="1"/>
  <c r="R992" i="3" s="1"/>
  <c r="S992" i="3" s="1"/>
  <c r="U991" i="3" l="1"/>
  <c r="Y990" i="3"/>
  <c r="T992" i="3"/>
  <c r="AG992" i="3" s="1"/>
  <c r="D992" i="3" l="1"/>
  <c r="AH992" i="3"/>
  <c r="E992" i="3"/>
  <c r="H992" i="3" s="1"/>
  <c r="K992" i="3" s="1"/>
  <c r="AE992" i="3" s="1"/>
  <c r="F992" i="3" l="1"/>
  <c r="G992" i="3"/>
  <c r="M992" i="3" s="1"/>
  <c r="N992" i="3" s="1"/>
  <c r="V992" i="3"/>
  <c r="A993" i="3"/>
  <c r="B993" i="3" s="1"/>
  <c r="I992" i="3" l="1"/>
  <c r="W992" i="3" s="1"/>
  <c r="J992" i="3"/>
  <c r="L992" i="3" s="1"/>
  <c r="AD993" i="3"/>
  <c r="Z993" i="3"/>
  <c r="AA993" i="3"/>
  <c r="P993" i="3"/>
  <c r="Q993" i="3" s="1"/>
  <c r="R993" i="3" s="1"/>
  <c r="S993" i="3" s="1"/>
  <c r="AC993" i="3"/>
  <c r="U992" i="3" l="1"/>
  <c r="Y991" i="3"/>
  <c r="T993" i="3"/>
  <c r="AH993" i="3" s="1"/>
  <c r="D993" i="3" l="1"/>
  <c r="G993" i="3" s="1"/>
  <c r="E993" i="3"/>
  <c r="H993" i="3" s="1"/>
  <c r="K993" i="3" s="1"/>
  <c r="AE993" i="3" s="1"/>
  <c r="AG993" i="3"/>
  <c r="F993" i="3" l="1"/>
  <c r="V993" i="3"/>
  <c r="A994" i="3"/>
  <c r="B994" i="3" s="1"/>
  <c r="I993" i="3"/>
  <c r="J993" i="3"/>
  <c r="M993" i="3"/>
  <c r="N993" i="3" s="1"/>
  <c r="L993" i="3" l="1"/>
  <c r="W993" i="3"/>
  <c r="AA994" i="3"/>
  <c r="P994" i="3"/>
  <c r="Q994" i="3" s="1"/>
  <c r="R994" i="3" s="1"/>
  <c r="S994" i="3" s="1"/>
  <c r="Z994" i="3"/>
  <c r="AC994" i="3"/>
  <c r="U993" i="3" l="1"/>
  <c r="Y992" i="3"/>
  <c r="T994" i="3"/>
  <c r="AH994" i="3" s="1"/>
  <c r="E994" i="3" l="1"/>
  <c r="H994" i="3" s="1"/>
  <c r="K994" i="3" s="1"/>
  <c r="AE994" i="3" s="1"/>
  <c r="D994" i="3"/>
  <c r="AG994" i="3"/>
  <c r="F994" i="3" l="1"/>
  <c r="G994" i="3"/>
  <c r="J994" i="3" s="1"/>
  <c r="AD994" i="3" s="1"/>
  <c r="V994" i="3"/>
  <c r="A995" i="3"/>
  <c r="B995" i="3" s="1"/>
  <c r="M994" i="3" l="1"/>
  <c r="N994" i="3" s="1"/>
  <c r="I994" i="3"/>
  <c r="W994" i="3" s="1"/>
  <c r="L994" i="3"/>
  <c r="AA995" i="3"/>
  <c r="AD995" i="3"/>
  <c r="P995" i="3"/>
  <c r="Q995" i="3" s="1"/>
  <c r="R995" i="3" s="1"/>
  <c r="S995" i="3" s="1"/>
  <c r="AC995" i="3"/>
  <c r="Z995" i="3"/>
  <c r="T995" i="3" l="1"/>
  <c r="U994" i="3"/>
  <c r="Y993" i="3"/>
  <c r="D995" i="3" l="1"/>
  <c r="G995" i="3" s="1"/>
  <c r="E995" i="3"/>
  <c r="H995" i="3" s="1"/>
  <c r="K995" i="3" s="1"/>
  <c r="AE995" i="3" s="1"/>
  <c r="AH995" i="3"/>
  <c r="AG995" i="3"/>
  <c r="F995" i="3" l="1"/>
  <c r="I995" i="3"/>
  <c r="J995" i="3"/>
  <c r="M995" i="3"/>
  <c r="N995" i="3" s="1"/>
  <c r="V995" i="3"/>
  <c r="A996" i="3"/>
  <c r="B996" i="3" s="1"/>
  <c r="W995" i="3" l="1"/>
  <c r="L995" i="3"/>
  <c r="Z996" i="3"/>
  <c r="AD996" i="3"/>
  <c r="P996" i="3"/>
  <c r="Q996" i="3" s="1"/>
  <c r="R996" i="3" s="1"/>
  <c r="S996" i="3" s="1"/>
  <c r="AA996" i="3"/>
  <c r="AC996" i="3"/>
  <c r="U995" i="3" l="1"/>
  <c r="Y994" i="3"/>
  <c r="T996" i="3"/>
  <c r="D996" i="3" l="1"/>
  <c r="G996" i="3" s="1"/>
  <c r="AG996" i="3"/>
  <c r="E996" i="3"/>
  <c r="H996" i="3" s="1"/>
  <c r="K996" i="3" s="1"/>
  <c r="AE996" i="3" s="1"/>
  <c r="AH996" i="3"/>
  <c r="F996" i="3" l="1"/>
  <c r="I996" i="3"/>
  <c r="J996" i="3"/>
  <c r="M996" i="3"/>
  <c r="N996" i="3" s="1"/>
  <c r="V996" i="3"/>
  <c r="A997" i="3"/>
  <c r="B997" i="3" s="1"/>
  <c r="AD997" i="3" l="1"/>
  <c r="P997" i="3"/>
  <c r="Q997" i="3" s="1"/>
  <c r="R997" i="3" s="1"/>
  <c r="S997" i="3" s="1"/>
  <c r="Z997" i="3"/>
  <c r="AA997" i="3"/>
  <c r="AC997" i="3"/>
  <c r="L996" i="3"/>
  <c r="W996" i="3"/>
  <c r="U996" i="3" l="1"/>
  <c r="Y995" i="3"/>
  <c r="T997" i="3"/>
  <c r="AH997" i="3" s="1"/>
  <c r="AG997" i="3" l="1"/>
  <c r="D997" i="3"/>
  <c r="E997" i="3"/>
  <c r="H997" i="3" s="1"/>
  <c r="K997" i="3" s="1"/>
  <c r="AE997" i="3" s="1"/>
  <c r="F997" i="3" l="1"/>
  <c r="G997" i="3"/>
  <c r="I997" i="3" s="1"/>
  <c r="V997" i="3"/>
  <c r="A998" i="3"/>
  <c r="B998" i="3" s="1"/>
  <c r="J997" i="3" l="1"/>
  <c r="L997" i="3" s="1"/>
  <c r="M997" i="3"/>
  <c r="N997" i="3" s="1"/>
  <c r="W997" i="3"/>
  <c r="Z998" i="3"/>
  <c r="P998" i="3"/>
  <c r="Q998" i="3" s="1"/>
  <c r="R998" i="3" s="1"/>
  <c r="S998" i="3" s="1"/>
  <c r="AC998" i="3"/>
  <c r="AA998" i="3"/>
  <c r="T998" i="3" l="1"/>
  <c r="AG998" i="3" s="1"/>
  <c r="U997" i="3"/>
  <c r="Y996" i="3"/>
  <c r="E998" i="3" l="1"/>
  <c r="H998" i="3" s="1"/>
  <c r="K998" i="3" s="1"/>
  <c r="AE998" i="3" s="1"/>
  <c r="AH998" i="3"/>
  <c r="D998" i="3"/>
  <c r="V998" i="3" l="1"/>
  <c r="A999" i="3"/>
  <c r="B999" i="3" s="1"/>
  <c r="F998" i="3"/>
  <c r="G998" i="3"/>
  <c r="I998" i="3" l="1"/>
  <c r="W998" i="3" s="1"/>
  <c r="J998" i="3"/>
  <c r="AD998" i="3" s="1"/>
  <c r="M998" i="3"/>
  <c r="N998" i="3" s="1"/>
  <c r="AD999" i="3"/>
  <c r="Z999" i="3"/>
  <c r="AC999" i="3"/>
  <c r="AA999" i="3"/>
  <c r="P999" i="3"/>
  <c r="Q999" i="3" s="1"/>
  <c r="R999" i="3" s="1"/>
  <c r="S999" i="3" s="1"/>
  <c r="T999" i="3" l="1"/>
  <c r="L998" i="3"/>
  <c r="AG999" i="3" l="1"/>
  <c r="U998" i="3"/>
  <c r="D999" i="3" s="1"/>
  <c r="AH999" i="3"/>
  <c r="Y997" i="3"/>
  <c r="E999" i="3" l="1"/>
  <c r="H999" i="3" s="1"/>
  <c r="K999" i="3" s="1"/>
  <c r="AE999" i="3" s="1"/>
  <c r="G999" i="3"/>
  <c r="F999" i="3" l="1"/>
  <c r="I999" i="3"/>
  <c r="J999" i="3"/>
  <c r="M999" i="3"/>
  <c r="N999" i="3" s="1"/>
  <c r="V999" i="3"/>
  <c r="A1000" i="3"/>
  <c r="B1000" i="3" s="1"/>
  <c r="W999" i="3" l="1"/>
  <c r="L999" i="3"/>
  <c r="AC1000" i="3"/>
  <c r="AD1000" i="3"/>
  <c r="P1000" i="3"/>
  <c r="Q1000" i="3" s="1"/>
  <c r="R1000" i="3" s="1"/>
  <c r="S1000" i="3" s="1"/>
  <c r="Z1000" i="3"/>
  <c r="AA1000" i="3"/>
  <c r="U999" i="3" l="1"/>
  <c r="Y998" i="3"/>
  <c r="T1000" i="3"/>
  <c r="AG1000" i="3" s="1"/>
  <c r="D1000" i="3" l="1"/>
  <c r="G1000" i="3" s="1"/>
  <c r="AH1000" i="3"/>
  <c r="E1000" i="3"/>
  <c r="H1000" i="3" s="1"/>
  <c r="K1000" i="3" s="1"/>
  <c r="AE1000" i="3" s="1"/>
  <c r="F1000" i="3" l="1"/>
  <c r="I1000" i="3"/>
  <c r="J1000" i="3"/>
  <c r="M1000" i="3"/>
  <c r="N1000" i="3" s="1"/>
  <c r="V1000" i="3"/>
  <c r="A1001" i="3"/>
  <c r="B1001" i="3" s="1"/>
  <c r="W1000" i="3" l="1"/>
  <c r="L1000" i="3"/>
  <c r="P1001" i="3"/>
  <c r="Q1001" i="3" s="1"/>
  <c r="R1001" i="3" s="1"/>
  <c r="S1001" i="3" s="1"/>
  <c r="Z1001" i="3"/>
  <c r="AC1001" i="3"/>
  <c r="AA1001" i="3"/>
  <c r="AD1001" i="3"/>
  <c r="U1000" i="3" l="1"/>
  <c r="Y999" i="3"/>
  <c r="T1001" i="3"/>
  <c r="D1001" i="3" l="1"/>
  <c r="G1001" i="3" s="1"/>
  <c r="E1001" i="3"/>
  <c r="H1001" i="3" s="1"/>
  <c r="AG1001" i="3"/>
  <c r="AH1001" i="3"/>
  <c r="F1001" i="3" l="1"/>
  <c r="I1001" i="3"/>
  <c r="J1001" i="3"/>
  <c r="M1001" i="3"/>
  <c r="N1001" i="3" s="1"/>
  <c r="K1001" i="3"/>
  <c r="AE1001" i="3" s="1"/>
  <c r="V1001" i="3" l="1"/>
  <c r="W1001" i="3" s="1"/>
  <c r="A1002" i="3"/>
  <c r="B1002" i="3" s="1"/>
  <c r="L1001" i="3"/>
  <c r="U1001" i="3" l="1"/>
  <c r="Y1000" i="3"/>
  <c r="AD1002" i="3"/>
  <c r="AA1002" i="3"/>
  <c r="Z1002" i="3"/>
  <c r="AC1002" i="3"/>
  <c r="P1002" i="3"/>
  <c r="Q1002" i="3" s="1"/>
  <c r="R1002" i="3" s="1"/>
  <c r="S1002" i="3" s="1"/>
  <c r="T1002" i="3" l="1"/>
  <c r="AG1002" i="3" s="1"/>
  <c r="AH1002" i="3" l="1"/>
  <c r="D1002" i="3"/>
  <c r="G1002" i="3" s="1"/>
  <c r="E1002" i="3"/>
  <c r="H1002" i="3" s="1"/>
  <c r="K1002" i="3" s="1"/>
  <c r="AE1002" i="3" s="1"/>
  <c r="F1002" i="3" l="1"/>
  <c r="I1002" i="3"/>
  <c r="J1002" i="3"/>
  <c r="M1002" i="3"/>
  <c r="N1002" i="3" s="1"/>
  <c r="V1002" i="3"/>
  <c r="A1003" i="3"/>
  <c r="B1003" i="3" s="1"/>
  <c r="W1002" i="3" l="1"/>
  <c r="L1002" i="3"/>
  <c r="AC1003" i="3"/>
  <c r="P1003" i="3"/>
  <c r="Q1003" i="3" s="1"/>
  <c r="R1003" i="3" s="1"/>
  <c r="S1003" i="3" s="1"/>
  <c r="AA1003" i="3"/>
  <c r="Z1003" i="3"/>
  <c r="AD1003" i="3"/>
  <c r="T1003" i="3" l="1"/>
  <c r="AH1003" i="3" s="1"/>
  <c r="U1002" i="3"/>
  <c r="Y1001" i="3"/>
  <c r="D1003" i="3" l="1"/>
  <c r="G1003" i="3" s="1"/>
  <c r="E1003" i="3"/>
  <c r="H1003" i="3" s="1"/>
  <c r="K1003" i="3" s="1"/>
  <c r="AE1003" i="3" s="1"/>
  <c r="AG1003" i="3"/>
  <c r="F1003" i="3" l="1"/>
  <c r="I1003" i="3"/>
  <c r="J1003" i="3"/>
  <c r="M1003" i="3"/>
  <c r="N1003" i="3" s="1"/>
  <c r="V1003" i="3"/>
  <c r="A1004" i="3"/>
  <c r="B1004" i="3" s="1"/>
  <c r="W1003" i="3" l="1"/>
  <c r="L1003" i="3"/>
  <c r="P1004" i="3"/>
  <c r="Q1004" i="3" s="1"/>
  <c r="R1004" i="3" s="1"/>
  <c r="S1004" i="3" s="1"/>
  <c r="T1004" i="3" s="1"/>
  <c r="AA1004" i="3"/>
  <c r="Z1004" i="3"/>
  <c r="AC1004" i="3"/>
  <c r="AG1004" i="3" l="1"/>
  <c r="AH1004" i="3"/>
  <c r="U1003" i="3"/>
  <c r="D1004" i="3" s="1"/>
  <c r="Y1002" i="3"/>
  <c r="J50" i="1"/>
  <c r="L50" i="1"/>
  <c r="I50" i="1"/>
  <c r="J26" i="1"/>
  <c r="K50" i="1"/>
  <c r="M50" i="1"/>
  <c r="K26" i="1"/>
  <c r="I26" i="1"/>
  <c r="K28" i="1"/>
  <c r="I48" i="1"/>
  <c r="L48" i="1"/>
  <c r="M48" i="1"/>
  <c r="K48" i="1"/>
  <c r="J48" i="1"/>
  <c r="I28" i="1"/>
  <c r="J28" i="1"/>
  <c r="E1004" i="3" l="1"/>
  <c r="H1004" i="3" s="1"/>
  <c r="K1004" i="3" s="1"/>
  <c r="AE1004" i="3" s="1"/>
  <c r="C125" i="1"/>
  <c r="C158" i="1"/>
  <c r="C33" i="1"/>
  <c r="C129" i="1"/>
  <c r="C124" i="1"/>
  <c r="C127" i="1"/>
  <c r="C35" i="1"/>
  <c r="J49" i="1" s="1"/>
  <c r="C132" i="1"/>
  <c r="C133" i="1" s="1"/>
  <c r="M26" i="1"/>
  <c r="I72" i="7"/>
  <c r="I73" i="7" s="1"/>
  <c r="I70" i="7"/>
  <c r="G1004" i="3"/>
  <c r="B129" i="1"/>
  <c r="B124" i="1"/>
  <c r="B128" i="1"/>
  <c r="D158" i="1"/>
  <c r="B125" i="1"/>
  <c r="B127" i="1"/>
  <c r="B130" i="1"/>
  <c r="B126" i="1"/>
  <c r="D33" i="1"/>
  <c r="D35" i="1"/>
  <c r="J51" i="1" s="1"/>
  <c r="C149" i="1"/>
  <c r="C150" i="1" s="1"/>
  <c r="C141" i="1"/>
  <c r="C144" i="1"/>
  <c r="C146" i="1"/>
  <c r="C142" i="1"/>
  <c r="B141" i="1"/>
  <c r="B144" i="1"/>
  <c r="B143" i="1"/>
  <c r="B147" i="1"/>
  <c r="B145" i="1"/>
  <c r="B142" i="1"/>
  <c r="B146" i="1"/>
  <c r="M28" i="1"/>
  <c r="H72" i="7"/>
  <c r="H73" i="7" s="1"/>
  <c r="H70" i="7"/>
  <c r="F1004" i="3" l="1"/>
  <c r="L25" i="1" s="1"/>
  <c r="H51" i="1"/>
  <c r="D34" i="1"/>
  <c r="L44" i="1"/>
  <c r="I1004" i="3"/>
  <c r="J1004" i="3"/>
  <c r="M1004" i="3"/>
  <c r="N1004" i="3" s="1"/>
  <c r="E31" i="7"/>
  <c r="H49" i="1"/>
  <c r="C34" i="1"/>
  <c r="V1004" i="3"/>
  <c r="L1004" i="3" l="1"/>
  <c r="Y1004" i="3" s="1"/>
  <c r="AD1004" i="3"/>
  <c r="W1004" i="3"/>
  <c r="B136" i="1"/>
  <c r="B138" i="1"/>
  <c r="B134" i="1"/>
  <c r="B133" i="1" s="1"/>
  <c r="F137" i="1"/>
  <c r="F138" i="1"/>
  <c r="C136" i="1"/>
  <c r="C138" i="1"/>
  <c r="K25" i="1"/>
  <c r="K44" i="1"/>
  <c r="B151" i="1"/>
  <c r="B150" i="1" s="1"/>
  <c r="B155" i="1"/>
  <c r="B153" i="1"/>
  <c r="H117" i="7"/>
  <c r="E62" i="7"/>
  <c r="F62" i="7" s="1"/>
  <c r="E120" i="7"/>
  <c r="F120" i="7" s="1"/>
  <c r="E119" i="7"/>
  <c r="F119" i="7" s="1"/>
  <c r="E133" i="7"/>
  <c r="E63" i="7"/>
  <c r="F63" i="7" s="1"/>
  <c r="H59" i="7"/>
  <c r="L31" i="7"/>
  <c r="E65" i="7"/>
  <c r="F65" i="7" s="1"/>
  <c r="Y1003" i="3" l="1"/>
  <c r="M43" i="1" s="1"/>
  <c r="U1004" i="3"/>
  <c r="J45" i="1"/>
  <c r="I43" i="1"/>
  <c r="K43" i="1"/>
  <c r="H27" i="1"/>
  <c r="J31" i="7" s="1"/>
  <c r="L45" i="1"/>
  <c r="M45" i="1"/>
  <c r="K45" i="1"/>
  <c r="H45" i="1"/>
  <c r="I46" i="1"/>
  <c r="H46" i="1"/>
  <c r="J27" i="1"/>
  <c r="D164" i="1" s="1"/>
  <c r="M46" i="1"/>
  <c r="K27" i="1"/>
  <c r="K31" i="7" s="1"/>
  <c r="K24" i="1"/>
  <c r="S26" i="6" s="1"/>
  <c r="L43" i="1"/>
  <c r="L46" i="1"/>
  <c r="I27" i="1"/>
  <c r="B164" i="1" s="1"/>
  <c r="J43" i="1"/>
  <c r="I45" i="1"/>
  <c r="J46" i="1"/>
  <c r="H29" i="1"/>
  <c r="F155" i="1" s="1"/>
  <c r="M31" i="7"/>
  <c r="E121" i="7"/>
  <c r="F121" i="7" s="1"/>
  <c r="H116" i="7"/>
  <c r="H58" i="7"/>
  <c r="E64" i="7"/>
  <c r="F64" i="7" s="1"/>
  <c r="H55" i="7" l="1"/>
  <c r="H112" i="7"/>
  <c r="H53" i="7"/>
  <c r="P32" i="1"/>
  <c r="P33" i="1"/>
  <c r="I67" i="7"/>
  <c r="H43" i="1"/>
  <c r="K46" i="1"/>
  <c r="H47" i="1"/>
  <c r="M47" i="1"/>
  <c r="L47" i="1"/>
  <c r="K47" i="1"/>
  <c r="K29" i="1" s="1"/>
  <c r="M29" i="1" s="1"/>
  <c r="J47" i="1"/>
  <c r="J29" i="1"/>
  <c r="P31" i="1"/>
  <c r="F197" i="1"/>
  <c r="F194" i="1"/>
  <c r="F175" i="1"/>
  <c r="D189" i="1"/>
  <c r="F165" i="1"/>
  <c r="F167" i="1"/>
  <c r="D169" i="1"/>
  <c r="D195" i="1"/>
  <c r="D197" i="1"/>
  <c r="D199" i="1"/>
  <c r="D176" i="1"/>
  <c r="D171" i="1"/>
  <c r="D200" i="1"/>
  <c r="D162" i="1"/>
  <c r="D188" i="1"/>
  <c r="F198" i="1"/>
  <c r="D168" i="1"/>
  <c r="D194" i="1"/>
  <c r="F187" i="1"/>
  <c r="F166" i="1"/>
  <c r="F174" i="1"/>
  <c r="F188" i="1"/>
  <c r="F172" i="1"/>
  <c r="F173" i="1"/>
  <c r="D167" i="1"/>
  <c r="F22" i="1"/>
  <c r="D180" i="1"/>
  <c r="F201" i="1"/>
  <c r="D163" i="1"/>
  <c r="F200" i="1"/>
  <c r="D165" i="1"/>
  <c r="D173" i="1"/>
  <c r="D184" i="1"/>
  <c r="F168" i="1"/>
  <c r="F169" i="1"/>
  <c r="D193" i="1"/>
  <c r="F186" i="1"/>
  <c r="F170" i="1"/>
  <c r="H44" i="7"/>
  <c r="D174" i="1"/>
  <c r="D172" i="1"/>
  <c r="F176" i="1"/>
  <c r="D182" i="1"/>
  <c r="D192" i="1"/>
  <c r="D186" i="1"/>
  <c r="F164" i="1"/>
  <c r="F199" i="1"/>
  <c r="D196" i="1"/>
  <c r="F183" i="1"/>
  <c r="D191" i="1"/>
  <c r="F189" i="1"/>
  <c r="F163" i="1"/>
  <c r="F177" i="1"/>
  <c r="D166" i="1"/>
  <c r="D187" i="1"/>
  <c r="D198" i="1"/>
  <c r="F195" i="1"/>
  <c r="H11" i="7"/>
  <c r="F185" i="1"/>
  <c r="D183" i="1"/>
  <c r="F190" i="1"/>
  <c r="F184" i="1"/>
  <c r="F191" i="1"/>
  <c r="F182" i="1"/>
  <c r="D181" i="1"/>
  <c r="D185" i="1"/>
  <c r="F196" i="1"/>
  <c r="D177" i="1"/>
  <c r="F193" i="1"/>
  <c r="F171" i="1"/>
  <c r="D190" i="1"/>
  <c r="F192" i="1"/>
  <c r="D175" i="1"/>
  <c r="F178" i="1"/>
  <c r="F181" i="1"/>
  <c r="D170" i="1"/>
  <c r="B172" i="1"/>
  <c r="B182" i="1"/>
  <c r="B171" i="1"/>
  <c r="B187" i="1"/>
  <c r="B165" i="1"/>
  <c r="B176" i="1"/>
  <c r="B167" i="1"/>
  <c r="B175" i="1"/>
  <c r="B173" i="1"/>
  <c r="B185" i="1"/>
  <c r="H113" i="7"/>
  <c r="B181" i="1"/>
  <c r="B200" i="1"/>
  <c r="B189" i="1"/>
  <c r="B166" i="1"/>
  <c r="B186" i="1"/>
  <c r="B169" i="1"/>
  <c r="H114" i="7"/>
  <c r="B199" i="1"/>
  <c r="B198" i="1"/>
  <c r="B180" i="1"/>
  <c r="B192" i="1"/>
  <c r="C159" i="1"/>
  <c r="B193" i="1"/>
  <c r="E128" i="7"/>
  <c r="F128" i="7" s="1"/>
  <c r="B195" i="1"/>
  <c r="B174" i="1"/>
  <c r="B183" i="1"/>
  <c r="B191" i="1"/>
  <c r="B194" i="1"/>
  <c r="B177" i="1"/>
  <c r="B184" i="1"/>
  <c r="B196" i="1"/>
  <c r="F136" i="1"/>
  <c r="C137" i="1" s="1"/>
  <c r="B190" i="1"/>
  <c r="B163" i="1"/>
  <c r="B170" i="1"/>
  <c r="B197" i="1"/>
  <c r="H31" i="7"/>
  <c r="B162" i="1"/>
  <c r="B168" i="1"/>
  <c r="H54" i="7"/>
  <c r="B188" i="1"/>
  <c r="B159" i="1"/>
  <c r="H57" i="7"/>
  <c r="F154" i="1"/>
  <c r="B152" i="1" l="1"/>
  <c r="H115" i="7"/>
  <c r="S25" i="6"/>
  <c r="D31" i="7"/>
  <c r="D159" i="1"/>
  <c r="H19" i="7"/>
  <c r="C121" i="1"/>
  <c r="P30" i="1"/>
  <c r="B121" i="1"/>
  <c r="H56" i="7"/>
  <c r="E129" i="7"/>
  <c r="F129" i="7" s="1"/>
  <c r="B154" i="1"/>
  <c r="C135" i="1"/>
  <c r="C154" i="1"/>
  <c r="C152" i="1"/>
  <c r="B135" i="1"/>
  <c r="B137" i="1"/>
  <c r="C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M363040</author>
    <author>Léo Côme</author>
    <author>collectif</author>
  </authors>
  <commentList>
    <comment ref="M5" authorId="0" shapeId="0" xr:uid="{00000000-0006-0000-0000-000001000000}">
      <text>
        <r>
          <rPr>
            <sz val="8"/>
            <color indexed="8"/>
            <rFont val="Tahoma"/>
            <family val="2"/>
          </rPr>
          <t xml:space="preserve">Définir les propriétés du 1er changement de diamètre.
Laisser cette colonne vide si la fusée n'a pas de Jupe ou Rétreint.
</t>
        </r>
        <r>
          <rPr>
            <i/>
            <sz val="8"/>
            <color indexed="8"/>
            <rFont val="Tahoma"/>
            <family val="2"/>
          </rPr>
          <t>Set properties of the 1st diameter transition.
Leave this column blank if no skirt/shrink on the rocket.</t>
        </r>
      </text>
    </comment>
    <comment ref="O5" authorId="0" shapeId="0" xr:uid="{00000000-0006-0000-0000-000002000000}">
      <text>
        <r>
          <rPr>
            <sz val="8"/>
            <color indexed="8"/>
            <rFont val="Tahoma"/>
            <family val="2"/>
          </rPr>
          <t xml:space="preserve">Définir les propriétés du 2e changement de diamètre.
Laisser cette colonne vide si la fusée n'a pas de 2e Jupe ou Rétreint.
</t>
        </r>
        <r>
          <rPr>
            <i/>
            <sz val="8"/>
            <color indexed="8"/>
            <rFont val="Tahoma"/>
            <family val="2"/>
          </rPr>
          <t>Set properties of the 2nd diameter transition.
Leave this column blank if no 2nd skirt/shrink on the rocket.</t>
        </r>
      </text>
    </comment>
    <comment ref="L6" authorId="1" shapeId="0" xr:uid="{00000000-0006-0000-0000-000003000000}">
      <text>
        <r>
          <rPr>
            <b/>
            <sz val="8"/>
            <color indexed="8"/>
            <rFont val="Tahoma"/>
            <family val="2"/>
          </rPr>
          <t>Hauteur</t>
        </r>
        <r>
          <rPr>
            <sz val="8"/>
            <color indexed="8"/>
            <rFont val="Tahoma"/>
            <family val="2"/>
          </rPr>
          <t xml:space="preserve"> du changement de diamètre (cf. schéma sur fond bleu).
</t>
        </r>
        <r>
          <rPr>
            <i/>
            <sz val="8"/>
            <color indexed="8"/>
            <rFont val="Tahoma"/>
            <family val="2"/>
          </rPr>
          <t>Height of the tronconical transition (cf. blue schematic).</t>
        </r>
      </text>
    </comment>
    <comment ref="L7" authorId="1" shapeId="0" xr:uid="{00000000-0006-0000-0000-000004000000}">
      <text>
        <r>
          <rPr>
            <sz val="8"/>
            <color indexed="8"/>
            <rFont val="Tahoma"/>
            <family val="2"/>
          </rPr>
          <t xml:space="preserve">Diamètre de la partie située </t>
        </r>
        <r>
          <rPr>
            <b/>
            <sz val="8"/>
            <color indexed="8"/>
            <rFont val="Tahoma"/>
            <family val="2"/>
          </rPr>
          <t>au dessus</t>
        </r>
        <r>
          <rPr>
            <sz val="8"/>
            <color indexed="8"/>
            <rFont val="Tahoma"/>
            <family val="2"/>
          </rPr>
          <t xml:space="preserve"> du changement de diamètre.
</t>
        </r>
        <r>
          <rPr>
            <i/>
            <sz val="8"/>
            <color indexed="8"/>
            <rFont val="Tahoma"/>
            <family val="2"/>
          </rPr>
          <t>Upper Diameter (cf. blue schematic).</t>
        </r>
      </text>
    </comment>
    <comment ref="L8" authorId="1" shapeId="0" xr:uid="{00000000-0006-0000-0000-000005000000}">
      <text>
        <r>
          <rPr>
            <sz val="8"/>
            <color indexed="8"/>
            <rFont val="Tahoma"/>
            <family val="2"/>
          </rPr>
          <t xml:space="preserve">Diamètre de la partie située </t>
        </r>
        <r>
          <rPr>
            <b/>
            <sz val="8"/>
            <color indexed="8"/>
            <rFont val="Tahoma"/>
            <family val="2"/>
          </rPr>
          <t>en dessous</t>
        </r>
        <r>
          <rPr>
            <sz val="8"/>
            <color indexed="8"/>
            <rFont val="Tahoma"/>
            <family val="2"/>
          </rPr>
          <t xml:space="preserve"> du changement de diamètre.
</t>
        </r>
        <r>
          <rPr>
            <i/>
            <sz val="8"/>
            <color indexed="8"/>
            <rFont val="Tahoma"/>
            <family val="2"/>
          </rPr>
          <t>Lower Diameter (cf. blue schematic).</t>
        </r>
      </text>
    </comment>
    <comment ref="L9" authorId="0" shapeId="0" xr:uid="{00000000-0006-0000-0000-000006000000}">
      <text>
        <r>
          <rPr>
            <sz val="8"/>
            <color indexed="8"/>
            <rFont val="Tahoma"/>
            <family val="2"/>
          </rPr>
          <t xml:space="preserve">Distance entre la pointe de l'ogive et le haut du changement de diamètre.
</t>
        </r>
        <r>
          <rPr>
            <i/>
            <sz val="8"/>
            <color indexed="8"/>
            <rFont val="Tahoma"/>
            <family val="2"/>
          </rPr>
          <t>Distance betwenn the tip of the nose cone and the top of the skirt/shrink.</t>
        </r>
      </text>
    </comment>
    <comment ref="S12" authorId="0" shapeId="0" xr:uid="{00000000-0006-0000-0000-000008000000}">
      <text>
        <r>
          <rPr>
            <sz val="8"/>
            <color indexed="8"/>
            <rFont val="Tahoma"/>
            <family val="2"/>
          </rPr>
          <t xml:space="preserve">Distance entre la pointe de l'ogive et le </t>
        </r>
        <r>
          <rPr>
            <b/>
            <sz val="8"/>
            <color indexed="8"/>
            <rFont val="Tahoma"/>
            <family val="2"/>
          </rPr>
          <t>haut</t>
        </r>
        <r>
          <rPr>
            <sz val="8"/>
            <color indexed="8"/>
            <rFont val="Tahoma"/>
            <family val="2"/>
          </rPr>
          <t xml:space="preserve"> du propulseur (hors ergot).
</t>
        </r>
        <r>
          <rPr>
            <i/>
            <sz val="8"/>
            <color indexed="8"/>
            <rFont val="Tahoma"/>
            <family val="2"/>
          </rPr>
          <t xml:space="preserve">Distance between the tip of the nose cone and the </t>
        </r>
        <r>
          <rPr>
            <b/>
            <i/>
            <sz val="8"/>
            <color indexed="8"/>
            <rFont val="Tahoma"/>
            <family val="2"/>
          </rPr>
          <t xml:space="preserve">top </t>
        </r>
        <r>
          <rPr>
            <i/>
            <sz val="8"/>
            <color indexed="8"/>
            <rFont val="Tahoma"/>
            <family val="2"/>
          </rPr>
          <t>of the motor.</t>
        </r>
      </text>
    </comment>
    <comment ref="B13" authorId="0" shapeId="0" xr:uid="{00000000-0006-0000-0000-000007000000}">
      <text>
        <r>
          <rPr>
            <sz val="8"/>
            <color indexed="8"/>
            <rFont val="Tahoma"/>
            <family val="2"/>
          </rPr>
          <t xml:space="preserve">Position du </t>
        </r>
        <r>
          <rPr>
            <b/>
            <sz val="8"/>
            <color indexed="8"/>
            <rFont val="Tahoma"/>
            <family val="2"/>
          </rPr>
          <t>Centre de Masse</t>
        </r>
        <r>
          <rPr>
            <sz val="8"/>
            <color indexed="8"/>
            <rFont val="Tahoma"/>
            <family val="2"/>
          </rPr>
          <t xml:space="preserve"> (CdG) par rapport à la pointe de l'ogive,
à mesurer ou estimer sur votre fusée.
</t>
        </r>
        <r>
          <rPr>
            <i/>
            <sz val="8"/>
            <color indexed="8"/>
            <rFont val="Tahoma"/>
            <family val="2"/>
          </rPr>
          <t>Position of Center of Mass (CoG) from the top of the nose cone.</t>
        </r>
      </text>
    </comment>
    <comment ref="L13" authorId="1" shapeId="0" xr:uid="{00000000-0006-0000-0000-00000A000000}">
      <text>
        <r>
          <rPr>
            <sz val="8"/>
            <color indexed="8"/>
            <rFont val="Tahoma"/>
            <family val="2"/>
          </rPr>
          <t xml:space="preserve">Centre de Masse du propulseur par rapport au haut du propulseur.
</t>
        </r>
        <r>
          <rPr>
            <i/>
            <sz val="8"/>
            <color indexed="8"/>
            <rFont val="Tahoma"/>
            <family val="2"/>
          </rPr>
          <t>Motor Center of Mass, mesured from top of motor.</t>
        </r>
      </text>
    </comment>
    <comment ref="B14" authorId="0" shapeId="0" xr:uid="{00000000-0006-0000-0000-000009000000}">
      <text>
        <r>
          <rPr>
            <sz val="8"/>
            <color indexed="8"/>
            <rFont val="Tahoma"/>
            <family val="2"/>
          </rPr>
          <t xml:space="preserve">Longueur totale du fuselage avec l'ogive,
hors propu hors antenne hors ailerons.
</t>
        </r>
        <r>
          <rPr>
            <i/>
            <sz val="8"/>
            <color indexed="8"/>
            <rFont val="Tahoma"/>
            <family val="2"/>
          </rPr>
          <t>Total length of the body including nose cone.</t>
        </r>
      </text>
    </comment>
    <comment ref="S14" authorId="0" shapeId="0" xr:uid="{00000000-0006-0000-0000-00000C000000}">
      <text>
        <r>
          <rPr>
            <sz val="8"/>
            <color indexed="8"/>
            <rFont val="Tahoma"/>
            <family val="2"/>
          </rPr>
          <t xml:space="preserve">Distance entre la pointe de l'ogive et le </t>
        </r>
        <r>
          <rPr>
            <b/>
            <sz val="8"/>
            <color indexed="8"/>
            <rFont val="Tahoma"/>
            <family val="2"/>
          </rPr>
          <t>bas</t>
        </r>
        <r>
          <rPr>
            <sz val="8"/>
            <color indexed="8"/>
            <rFont val="Tahoma"/>
            <family val="2"/>
          </rPr>
          <t xml:space="preserve"> du propulseur (hors tuyère).
</t>
        </r>
        <r>
          <rPr>
            <i/>
            <sz val="8"/>
            <color indexed="8"/>
            <rFont val="Tahoma"/>
            <family val="2"/>
          </rPr>
          <t xml:space="preserve">Distance between the tip of the nose cone and the </t>
        </r>
        <r>
          <rPr>
            <b/>
            <i/>
            <sz val="8"/>
            <color indexed="8"/>
            <rFont val="Tahoma"/>
            <family val="2"/>
          </rPr>
          <t>bottom</t>
        </r>
        <r>
          <rPr>
            <i/>
            <sz val="8"/>
            <color indexed="8"/>
            <rFont val="Tahoma"/>
            <family val="2"/>
          </rPr>
          <t xml:space="preserve"> of the motor.</t>
        </r>
      </text>
    </comment>
    <comment ref="B15" authorId="0" shapeId="0" xr:uid="{00000000-0006-0000-0000-00000B000000}">
      <text>
        <r>
          <rPr>
            <sz val="8"/>
            <color indexed="8"/>
            <rFont val="Tahoma"/>
            <family val="2"/>
          </rPr>
          <t xml:space="preserve">Diamètre de référence, utilisé pour calculer : Cnα, Finesse, Marge Statique.
Par défaut D_réf = D_ogive ; on peux écraser avec le diamètre "principal".
</t>
        </r>
        <r>
          <rPr>
            <i/>
            <sz val="8"/>
            <color indexed="8"/>
            <rFont val="Tahoma"/>
            <family val="2"/>
          </rPr>
          <t>Reference Diameter, used to compute: Cnα, Finesse, Static Margin.
By default D_ref = D_ogive ; one can overwrtie with the "main" diameter.</t>
        </r>
      </text>
    </comment>
    <comment ref="L15" authorId="1" shapeId="0" xr:uid="{00000000-0006-0000-0000-00000D000000}">
      <text>
        <r>
          <rPr>
            <sz val="8"/>
            <color indexed="8"/>
            <rFont val="Tahoma"/>
            <family val="2"/>
          </rPr>
          <t xml:space="preserve">Les positions des </t>
        </r>
        <r>
          <rPr>
            <sz val="8"/>
            <color indexed="12"/>
            <rFont val="Tahoma"/>
            <family val="2"/>
          </rPr>
          <t>Centres de Masse</t>
        </r>
        <r>
          <rPr>
            <sz val="8"/>
            <color indexed="8"/>
            <rFont val="Tahoma"/>
            <family val="2"/>
          </rPr>
          <t xml:space="preserve"> de la fusée avec propulseur plein et vide
sont représentées sur le schéma de la fusée par un </t>
        </r>
        <r>
          <rPr>
            <sz val="8"/>
            <color indexed="12"/>
            <rFont val="Tahoma"/>
            <family val="2"/>
          </rPr>
          <t>segment vertical bleu</t>
        </r>
        <r>
          <rPr>
            <sz val="8"/>
            <color indexed="8"/>
            <rFont val="Tahoma"/>
            <family val="2"/>
          </rPr>
          <t xml:space="preserve">.
</t>
        </r>
        <r>
          <rPr>
            <i/>
            <sz val="8"/>
            <color indexed="8"/>
            <rFont val="Tahoma"/>
            <family val="2"/>
          </rPr>
          <t xml:space="preserve">Rocket Center of Mass are shown whith a </t>
        </r>
        <r>
          <rPr>
            <i/>
            <sz val="8"/>
            <color indexed="12"/>
            <rFont val="Tahoma"/>
            <family val="2"/>
          </rPr>
          <t>blue segment</t>
        </r>
        <r>
          <rPr>
            <i/>
            <sz val="8"/>
            <color indexed="8"/>
            <rFont val="Tahoma"/>
            <family val="2"/>
          </rPr>
          <t xml:space="preserve"> in Rocket schematic.</t>
        </r>
      </text>
    </comment>
    <comment ref="S17" authorId="0" shapeId="0" xr:uid="{00000000-0006-0000-0000-00000E000000}">
      <text>
        <r>
          <rPr>
            <sz val="8"/>
            <color indexed="8"/>
            <rFont val="Tahoma"/>
            <family val="2"/>
          </rPr>
          <t xml:space="preserve">Distance entre la pointe de l'ogive et le point </t>
        </r>
        <r>
          <rPr>
            <b/>
            <sz val="8"/>
            <color indexed="8"/>
            <rFont val="Tahoma"/>
            <family val="2"/>
          </rPr>
          <t>supérieur</t>
        </r>
        <r>
          <rPr>
            <sz val="8"/>
            <color indexed="8"/>
            <rFont val="Tahoma"/>
            <family val="2"/>
          </rPr>
          <t xml:space="preserve"> de l'encastrement des ailerons.
</t>
        </r>
        <r>
          <rPr>
            <i/>
            <sz val="8"/>
            <color indexed="8"/>
            <rFont val="Tahoma"/>
            <family val="2"/>
          </rPr>
          <t xml:space="preserve">Distance between the tip of the nose and the </t>
        </r>
        <r>
          <rPr>
            <b/>
            <i/>
            <sz val="8"/>
            <color indexed="8"/>
            <rFont val="Tahoma"/>
            <family val="2"/>
          </rPr>
          <t>upper</t>
        </r>
        <r>
          <rPr>
            <i/>
            <sz val="8"/>
            <color indexed="8"/>
            <rFont val="Tahoma"/>
            <family val="2"/>
          </rPr>
          <t xml:space="preserve"> point of fins attachment on the rocket.</t>
        </r>
      </text>
    </comment>
    <comment ref="S18" authorId="1" shapeId="0" xr:uid="{00000000-0006-0000-0000-000010000000}">
      <text>
        <r>
          <rPr>
            <sz val="8"/>
            <color indexed="8"/>
            <rFont val="Tahoma"/>
            <family val="2"/>
          </rPr>
          <t>Longueur de l'</t>
        </r>
        <r>
          <rPr>
            <b/>
            <sz val="8"/>
            <color indexed="8"/>
            <rFont val="Tahoma"/>
            <family val="2"/>
          </rPr>
          <t>e</t>
        </r>
        <r>
          <rPr>
            <b/>
            <u/>
            <sz val="8"/>
            <color indexed="8"/>
            <rFont val="Tahoma"/>
            <family val="2"/>
          </rPr>
          <t>m</t>
        </r>
        <r>
          <rPr>
            <b/>
            <sz val="8"/>
            <color indexed="8"/>
            <rFont val="Tahoma"/>
            <family val="2"/>
          </rPr>
          <t>planture</t>
        </r>
        <r>
          <rPr>
            <sz val="8"/>
            <color indexed="8"/>
            <rFont val="Tahoma"/>
            <family val="2"/>
          </rPr>
          <t xml:space="preserve"> d'un aileron.
</t>
        </r>
        <r>
          <rPr>
            <i/>
            <sz val="8"/>
            <color indexed="8"/>
            <rFont val="Tahoma"/>
            <family val="2"/>
          </rPr>
          <t>Root edge length of one fin.</t>
        </r>
      </text>
    </comment>
    <comment ref="B19" authorId="0" shapeId="0" xr:uid="{00000000-0006-0000-0000-00000F000000}">
      <text>
        <r>
          <rPr>
            <sz val="8"/>
            <color indexed="8"/>
            <rFont val="Tahoma"/>
            <family val="2"/>
          </rPr>
          <t xml:space="preserve">Distance entre la pointe de l'ogive et le </t>
        </r>
        <r>
          <rPr>
            <b/>
            <sz val="8"/>
            <color indexed="8"/>
            <rFont val="Tahoma"/>
            <family val="2"/>
          </rPr>
          <t>bas</t>
        </r>
        <r>
          <rPr>
            <sz val="8"/>
            <color indexed="8"/>
            <rFont val="Tahoma"/>
            <family val="2"/>
          </rPr>
          <t xml:space="preserve"> du propulseur (hors tuyère).
</t>
        </r>
        <r>
          <rPr>
            <i/>
            <sz val="8"/>
            <color indexed="8"/>
            <rFont val="Tahoma"/>
            <family val="2"/>
          </rPr>
          <t xml:space="preserve">Distance between the tip of the nose cone and the </t>
        </r>
        <r>
          <rPr>
            <b/>
            <i/>
            <sz val="8"/>
            <color indexed="8"/>
            <rFont val="Tahoma"/>
            <family val="2"/>
          </rPr>
          <t>bottom</t>
        </r>
        <r>
          <rPr>
            <i/>
            <sz val="8"/>
            <color indexed="8"/>
            <rFont val="Tahoma"/>
            <family val="2"/>
          </rPr>
          <t xml:space="preserve"> of the motor.</t>
        </r>
      </text>
    </comment>
    <comment ref="S19" authorId="0" shapeId="0" xr:uid="{00000000-0006-0000-0000-000011000000}">
      <text>
        <r>
          <rPr>
            <sz val="8"/>
            <color indexed="8"/>
            <rFont val="Tahoma"/>
            <family val="2"/>
          </rPr>
          <t xml:space="preserve">Distance entre la pointe de l'ogive et le point </t>
        </r>
        <r>
          <rPr>
            <b/>
            <sz val="8"/>
            <color indexed="8"/>
            <rFont val="Tahoma"/>
            <family val="2"/>
          </rPr>
          <t>inférieur</t>
        </r>
        <r>
          <rPr>
            <sz val="8"/>
            <color indexed="8"/>
            <rFont val="Tahoma"/>
            <family val="2"/>
          </rPr>
          <t xml:space="preserve"> de l'encastrement des ailerons.
</t>
        </r>
        <r>
          <rPr>
            <i/>
            <sz val="8"/>
            <color indexed="8"/>
            <rFont val="Tahoma"/>
            <family val="2"/>
          </rPr>
          <t xml:space="preserve">Distance between the tip of the nose and the </t>
        </r>
        <r>
          <rPr>
            <b/>
            <i/>
            <sz val="8"/>
            <color indexed="8"/>
            <rFont val="Tahoma"/>
            <family val="2"/>
          </rPr>
          <t>lower</t>
        </r>
        <r>
          <rPr>
            <i/>
            <sz val="8"/>
            <color indexed="8"/>
            <rFont val="Tahoma"/>
            <family val="2"/>
          </rPr>
          <t xml:space="preserve"> point of fins attachment on the rocket.</t>
        </r>
      </text>
    </comment>
    <comment ref="B24" authorId="0" shapeId="0" xr:uid="{00000000-0006-0000-0000-000012000000}">
      <text>
        <r>
          <rPr>
            <sz val="8"/>
            <color indexed="8"/>
            <rFont val="Tahoma"/>
            <family val="2"/>
          </rPr>
          <t xml:space="preserve">Diamètre à la base de l'ogive.
</t>
        </r>
        <r>
          <rPr>
            <i/>
            <sz val="8"/>
            <color indexed="8"/>
            <rFont val="Tahoma"/>
            <family val="2"/>
          </rPr>
          <t>Diameter at the basement of the nose cone.</t>
        </r>
      </text>
    </comment>
    <comment ref="E25" authorId="1" shapeId="0" xr:uid="{00000000-0006-0000-0000-000013000000}">
      <text>
        <r>
          <rPr>
            <sz val="8"/>
            <color indexed="8"/>
            <rFont val="Tahoma"/>
            <family val="2"/>
          </rPr>
          <t xml:space="preserve">Les parties masquées des ailerons du bas sont représentées 
sur le schéma de la fusée par des </t>
        </r>
        <r>
          <rPr>
            <sz val="8"/>
            <color indexed="10"/>
            <rFont val="Tahoma"/>
            <family val="2"/>
          </rPr>
          <t>zones en rouge</t>
        </r>
        <r>
          <rPr>
            <sz val="8"/>
            <color indexed="8"/>
            <rFont val="Tahoma"/>
            <family val="2"/>
          </rPr>
          <t xml:space="preserve">.
Ce sont les parties situées juste en dessous des ailerons du haut.
</t>
        </r>
        <r>
          <rPr>
            <i/>
            <sz val="8"/>
            <color indexed="8"/>
            <rFont val="Tahoma"/>
            <family val="2"/>
          </rPr>
          <t xml:space="preserve">The fin-fin interaction zone is located just below the upper fins,
shown in </t>
        </r>
        <r>
          <rPr>
            <i/>
            <sz val="8"/>
            <color indexed="10"/>
            <rFont val="Tahoma"/>
            <family val="2"/>
          </rPr>
          <t>red</t>
        </r>
        <r>
          <rPr>
            <i/>
            <sz val="8"/>
            <color indexed="8"/>
            <rFont val="Tahoma"/>
            <family val="2"/>
          </rPr>
          <t xml:space="preserve"> in the Rocket schematic.</t>
        </r>
      </text>
    </comment>
    <comment ref="F27" authorId="0" shapeId="0" xr:uid="{00000000-0006-0000-0000-000015000000}">
      <text>
        <r>
          <rPr>
            <sz val="8"/>
            <color indexed="8"/>
            <rFont val="Tahoma"/>
            <family val="2"/>
          </rPr>
          <t xml:space="preserve">La </t>
        </r>
        <r>
          <rPr>
            <b/>
            <sz val="8"/>
            <color indexed="8"/>
            <rFont val="Tahoma"/>
            <family val="2"/>
          </rPr>
          <t>Finesse</t>
        </r>
        <r>
          <rPr>
            <sz val="8"/>
            <color indexed="8"/>
            <rFont val="Tahoma"/>
            <family val="2"/>
          </rPr>
          <t xml:space="preserve"> représente l'allongement de la fusée, rapport Longueur/Diamètre.
</t>
        </r>
        <r>
          <rPr>
            <i/>
            <sz val="8"/>
            <color indexed="8"/>
            <rFont val="Tahoma"/>
            <family val="2"/>
          </rPr>
          <t>Finesse represents the relative length of the rocket. Finesse = L/D</t>
        </r>
      </text>
    </comment>
    <comment ref="B28" authorId="1" shapeId="0" xr:uid="{00000000-0006-0000-0000-000014000000}">
      <text>
        <r>
          <rPr>
            <sz val="8"/>
            <color indexed="8"/>
            <rFont val="Tahoma"/>
            <family val="2"/>
          </rPr>
          <t>Longueur de l'</t>
        </r>
        <r>
          <rPr>
            <b/>
            <sz val="8"/>
            <color indexed="8"/>
            <rFont val="Tahoma"/>
            <family val="2"/>
          </rPr>
          <t>e</t>
        </r>
        <r>
          <rPr>
            <b/>
            <u/>
            <sz val="8"/>
            <color indexed="8"/>
            <rFont val="Tahoma"/>
            <family val="2"/>
          </rPr>
          <t>m</t>
        </r>
        <r>
          <rPr>
            <b/>
            <sz val="8"/>
            <color indexed="8"/>
            <rFont val="Tahoma"/>
            <family val="2"/>
          </rPr>
          <t>planture</t>
        </r>
        <r>
          <rPr>
            <sz val="8"/>
            <color indexed="8"/>
            <rFont val="Tahoma"/>
            <family val="2"/>
          </rPr>
          <t xml:space="preserve"> d'un aileron.
</t>
        </r>
        <r>
          <rPr>
            <i/>
            <sz val="8"/>
            <color indexed="8"/>
            <rFont val="Tahoma"/>
            <family val="2"/>
          </rPr>
          <t>Root edge length of one fin.</t>
        </r>
      </text>
    </comment>
    <comment ref="F28" authorId="0" shapeId="0" xr:uid="{00000000-0006-0000-0000-000017000000}">
      <text>
        <r>
          <rPr>
            <sz val="8"/>
            <color indexed="8"/>
            <rFont val="Tahoma"/>
            <family val="2"/>
          </rPr>
          <t xml:space="preserve">Le gradient de </t>
        </r>
        <r>
          <rPr>
            <b/>
            <sz val="8"/>
            <color indexed="16"/>
            <rFont val="Tahoma"/>
            <family val="2"/>
          </rPr>
          <t>Portance</t>
        </r>
        <r>
          <rPr>
            <sz val="8"/>
            <color indexed="8"/>
            <rFont val="Tahoma"/>
            <family val="2"/>
          </rPr>
          <t xml:space="preserve"> Cnα indique l'efficacité des ailerons.
Pour l'augmenter, il faut augmenter la taille des ailerons, et inversement.
</t>
        </r>
        <r>
          <rPr>
            <i/>
            <sz val="8"/>
            <color indexed="16"/>
            <rFont val="Tahoma"/>
            <family val="2"/>
          </rPr>
          <t>Lift</t>
        </r>
        <r>
          <rPr>
            <i/>
            <sz val="8"/>
            <color indexed="8"/>
            <rFont val="Tahoma"/>
            <family val="2"/>
          </rPr>
          <t xml:space="preserve"> gradient, Cnα, represents the fins efficiency. 
To increase it, one must increase the size of the fins, and conversely.</t>
        </r>
      </text>
    </comment>
    <comment ref="B29" authorId="1" shapeId="0" xr:uid="{00000000-0006-0000-0000-000016000000}">
      <text>
        <r>
          <rPr>
            <sz val="8"/>
            <color indexed="8"/>
            <rFont val="Tahoma"/>
            <family val="2"/>
          </rPr>
          <t xml:space="preserve">Longueur du </t>
        </r>
        <r>
          <rPr>
            <b/>
            <sz val="8"/>
            <color indexed="8"/>
            <rFont val="Tahoma"/>
            <family val="2"/>
          </rPr>
          <t>saumo</t>
        </r>
        <r>
          <rPr>
            <b/>
            <u/>
            <sz val="8"/>
            <color indexed="8"/>
            <rFont val="Tahoma"/>
            <family val="2"/>
          </rPr>
          <t>n</t>
        </r>
        <r>
          <rPr>
            <sz val="8"/>
            <color indexed="8"/>
            <rFont val="Tahoma"/>
            <family val="2"/>
          </rPr>
          <t xml:space="preserve"> d'un aileron.
</t>
        </r>
        <r>
          <rPr>
            <i/>
            <sz val="8"/>
            <color indexed="8"/>
            <rFont val="Tahoma"/>
            <family val="2"/>
          </rPr>
          <t>Tip edge length of one fin.</t>
        </r>
      </text>
    </comment>
    <comment ref="F29" authorId="0" shapeId="0" xr:uid="{00000000-0006-0000-0000-000019000000}">
      <text>
        <r>
          <rPr>
            <sz val="8"/>
            <color indexed="8"/>
            <rFont val="Tahoma"/>
            <family val="2"/>
          </rPr>
          <t xml:space="preserve">La </t>
        </r>
        <r>
          <rPr>
            <b/>
            <sz val="8"/>
            <color indexed="8"/>
            <rFont val="Tahoma"/>
            <family val="2"/>
          </rPr>
          <t>Marge Statique</t>
        </r>
        <r>
          <rPr>
            <sz val="8"/>
            <color indexed="8"/>
            <rFont val="Tahoma"/>
            <family val="2"/>
          </rPr>
          <t xml:space="preserve">, MS, est la distance entre le Centre de Masse et le Centre de Pression, 
exprimée en nombre de Diamètre de Référence, pour une fusée avec propulseur plein puis vide.
Pour augmenter la MS, il faut soit :
- abaisser le Centre de Portance (position des ailerons)
- rehausser le Centre de Masse
</t>
        </r>
        <r>
          <rPr>
            <i/>
            <sz val="8"/>
            <color indexed="8"/>
            <rFont val="Tahoma"/>
            <family val="2"/>
          </rPr>
          <t>Static Margin, MS, is the distance between the Center of Mass and the Center of Pressure, 
measured in number of reference diameter, for a rocket with loaded motor, then empty motor.
In order to increase MS, one must either:
- lower the Center of Pressure (position of fins)
- Move up the Center of Mass</t>
        </r>
      </text>
    </comment>
    <comment ref="B30" authorId="1" shapeId="0" xr:uid="{00000000-0006-0000-0000-000018000000}">
      <text>
        <r>
          <rPr>
            <b/>
            <sz val="8"/>
            <color indexed="8"/>
            <rFont val="Tahoma"/>
            <family val="2"/>
          </rPr>
          <t>Flèche</t>
        </r>
        <r>
          <rPr>
            <sz val="8"/>
            <color indexed="8"/>
            <rFont val="Tahoma"/>
            <family val="2"/>
          </rPr>
          <t xml:space="preserve"> du bord d'attaque (négatif si besoin).
</t>
        </r>
        <r>
          <rPr>
            <i/>
            <sz val="8"/>
            <color indexed="8"/>
            <rFont val="Tahoma"/>
            <family val="2"/>
          </rPr>
          <t>Offset of the Leading edge.</t>
        </r>
      </text>
    </comment>
    <comment ref="F30" authorId="0" shapeId="0" xr:uid="{00000000-0006-0000-0000-00001B000000}">
      <text>
        <r>
          <rPr>
            <sz val="8"/>
            <color indexed="8"/>
            <rFont val="Tahoma"/>
            <family val="2"/>
          </rPr>
          <t xml:space="preserve">Le </t>
        </r>
        <r>
          <rPr>
            <b/>
            <sz val="8"/>
            <color indexed="8"/>
            <rFont val="Tahoma"/>
            <family val="2"/>
          </rPr>
          <t>produit</t>
        </r>
        <r>
          <rPr>
            <sz val="8"/>
            <color indexed="8"/>
            <rFont val="Tahoma"/>
            <family val="2"/>
          </rPr>
          <t xml:space="preserve"> MS*Cnα représente le </t>
        </r>
        <r>
          <rPr>
            <b/>
            <sz val="8"/>
            <color indexed="8"/>
            <rFont val="Tahoma"/>
            <family val="2"/>
          </rPr>
          <t>couple</t>
        </r>
        <r>
          <rPr>
            <sz val="8"/>
            <color indexed="8"/>
            <rFont val="Tahoma"/>
            <family val="2"/>
          </rPr>
          <t xml:space="preserve"> de rappel de la Portance.
Pour augmenter le produit, il faut augmenter la MS et/ou le Cnα, et inversement.
</t>
        </r>
        <r>
          <rPr>
            <i/>
            <sz val="8"/>
            <color indexed="8"/>
            <rFont val="Tahoma"/>
            <family val="2"/>
          </rPr>
          <t>The product MS*Cnα represents the lift torque.
To increase it, one must increase the Static Margin and/or the Cnα, and conversely.</t>
        </r>
      </text>
    </comment>
    <comment ref="B31" authorId="1" shapeId="0" xr:uid="{00000000-0006-0000-0000-00001A000000}">
      <text>
        <r>
          <rPr>
            <b/>
            <u/>
            <sz val="8"/>
            <color indexed="8"/>
            <rFont val="Tahoma"/>
            <family val="2"/>
          </rPr>
          <t>E</t>
        </r>
        <r>
          <rPr>
            <b/>
            <sz val="8"/>
            <color indexed="8"/>
            <rFont val="Tahoma"/>
            <family val="2"/>
          </rPr>
          <t>nvergure</t>
        </r>
        <r>
          <rPr>
            <sz val="8"/>
            <color indexed="8"/>
            <rFont val="Tahoma"/>
            <family val="2"/>
          </rPr>
          <t xml:space="preserve"> d'un aileron.
</t>
        </r>
        <r>
          <rPr>
            <i/>
            <sz val="8"/>
            <color indexed="8"/>
            <rFont val="Tahoma"/>
            <family val="2"/>
          </rPr>
          <t>Span of one fin.</t>
        </r>
      </text>
    </comment>
    <comment ref="F31" authorId="0" shapeId="0" xr:uid="{00000000-0006-0000-0000-00001C000000}">
      <text>
        <r>
          <rPr>
            <sz val="8"/>
            <color indexed="8"/>
            <rFont val="Tahoma"/>
            <family val="2"/>
          </rPr>
          <t xml:space="preserve">Le Xcp est la </t>
        </r>
        <r>
          <rPr>
            <b/>
            <sz val="8"/>
            <color indexed="16"/>
            <rFont val="Tahoma"/>
            <family val="2"/>
          </rPr>
          <t>position du Centre de Poussée Aérodynamique</t>
        </r>
        <r>
          <rPr>
            <sz val="8"/>
            <color indexed="8"/>
            <rFont val="Tahoma"/>
            <family val="2"/>
          </rPr>
          <t xml:space="preserve"> (CPA), 
aussi appelé Centre de Pression (CP), Centre Latéral de Poussée (CLP), 
ou Foyer, exprimée par rapport à la pointe de l'ogive.
</t>
        </r>
        <r>
          <rPr>
            <i/>
            <sz val="8"/>
            <color indexed="8"/>
            <rFont val="Tahoma"/>
            <family val="2"/>
          </rPr>
          <t>Xcp is the location of the Aerodynamics Center of Pressure, 
measured from the tip of the nose cone.</t>
        </r>
      </text>
    </comment>
    <comment ref="F32" authorId="2" shapeId="0" xr:uid="{00000000-0006-0000-0000-00001D000000}">
      <text>
        <r>
          <rPr>
            <sz val="8"/>
            <color indexed="8"/>
            <rFont val="Tahoma"/>
            <family val="2"/>
          </rPr>
          <t xml:space="preserve">Cette Marge Statique est la distance entre le Centre de Masse et le Centre de Pression, 
exprimée en </t>
        </r>
        <r>
          <rPr>
            <b/>
            <sz val="8"/>
            <color indexed="8"/>
            <rFont val="Tahoma"/>
            <family val="2"/>
          </rPr>
          <t>% de la Longueur</t>
        </r>
        <r>
          <rPr>
            <sz val="8"/>
            <color indexed="8"/>
            <rFont val="Tahoma"/>
            <family val="2"/>
          </rPr>
          <t xml:space="preserve"> de la fusée, pour une fusée avec propulseur plein puis vide.
</t>
        </r>
        <r>
          <rPr>
            <i/>
            <sz val="8"/>
            <color indexed="8"/>
            <rFont val="Tahoma"/>
            <family val="2"/>
          </rPr>
          <t>This Static Margin is the distance between the Center of Mass and the Center of Pressure, 
measured in % of rocket length, for a rocket with loaded motor, then empty motor.</t>
        </r>
      </text>
    </comment>
    <comment ref="B34" authorId="0" shapeId="0" xr:uid="{00000000-0006-0000-0000-00001E000000}">
      <text>
        <r>
          <rPr>
            <sz val="8"/>
            <color indexed="8"/>
            <rFont val="Tahoma"/>
            <family val="2"/>
          </rPr>
          <t xml:space="preserve">Distance entre la pointe de l'ogive et le point </t>
        </r>
        <r>
          <rPr>
            <b/>
            <sz val="8"/>
            <color indexed="8"/>
            <rFont val="Tahoma"/>
            <family val="2"/>
          </rPr>
          <t>inférieur</t>
        </r>
        <r>
          <rPr>
            <sz val="8"/>
            <color indexed="8"/>
            <rFont val="Tahoma"/>
            <family val="2"/>
          </rPr>
          <t xml:space="preserve"> de l'encastrement des ailerons.
</t>
        </r>
        <r>
          <rPr>
            <i/>
            <sz val="8"/>
            <color indexed="8"/>
            <rFont val="Tahoma"/>
            <family val="2"/>
          </rPr>
          <t xml:space="preserve">Distance between the tip of the nose and the </t>
        </r>
        <r>
          <rPr>
            <b/>
            <i/>
            <sz val="8"/>
            <color indexed="8"/>
            <rFont val="Tahoma"/>
            <family val="2"/>
          </rPr>
          <t>lower</t>
        </r>
        <r>
          <rPr>
            <i/>
            <sz val="8"/>
            <color indexed="8"/>
            <rFont val="Tahoma"/>
            <family val="2"/>
          </rPr>
          <t xml:space="preserve"> point of fins attachment on the rocket.</t>
        </r>
      </text>
    </comment>
    <comment ref="B35" authorId="0" shapeId="0" xr:uid="{00000000-0006-0000-0000-00001F000000}">
      <text>
        <r>
          <rPr>
            <sz val="8"/>
            <color indexed="8"/>
            <rFont val="Tahoma"/>
            <family val="2"/>
          </rPr>
          <t xml:space="preserve">Diamètre du fuselage au niveau des ailerons.
</t>
        </r>
        <r>
          <rPr>
            <i/>
            <sz val="8"/>
            <color indexed="8"/>
            <rFont val="Tahoma"/>
            <family val="2"/>
          </rPr>
          <t>Diameter of the body at the level of the fins.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xml:space="preserve"> </author>
    <author>Léo Côme</author>
    <author>Léo</author>
    <author>Sylvain Besson</author>
    <author>collectif</author>
  </authors>
  <commentList>
    <comment ref="B11" authorId="0" shapeId="0" xr:uid="{00000000-0006-0000-0100-000001000000}">
      <text>
        <r>
          <rPr>
            <sz val="8"/>
            <color indexed="8"/>
            <rFont val="Tahoma"/>
            <family val="2"/>
          </rPr>
          <t xml:space="preserve">Masse au décollage, à changer dans la feuille Stabilito,
ou à l'aide des boutons (revérifiez alors la stabilité).
</t>
        </r>
        <r>
          <rPr>
            <i/>
            <sz val="8"/>
            <color indexed="8"/>
            <rFont val="Tahoma"/>
            <family val="2"/>
          </rPr>
          <t>Lift-Off mass, to be changed in Stabilito sheet,
or with the buttons (then recheck stability).</t>
        </r>
      </text>
    </comment>
    <comment ref="B12" authorId="0" shapeId="0" xr:uid="{00000000-0006-0000-0100-000002000000}">
      <text>
        <r>
          <rPr>
            <sz val="8"/>
            <color indexed="8"/>
            <rFont val="Tahoma"/>
            <family val="2"/>
          </rPr>
          <t xml:space="preserve">Le propulseur doit être sélectionné dans l'onglet Stabilito.
</t>
        </r>
        <r>
          <rPr>
            <i/>
            <sz val="8"/>
            <color indexed="8"/>
            <rFont val="Tahoma"/>
            <family val="2"/>
          </rPr>
          <t>Motor must be selected in Stabilito sheet.</t>
        </r>
      </text>
    </comment>
    <comment ref="B15" authorId="1" shapeId="0" xr:uid="{00000000-0006-0000-0100-000003000000}">
      <text>
        <r>
          <rPr>
            <sz val="8"/>
            <color indexed="8"/>
            <rFont val="Tahoma"/>
            <family val="2"/>
          </rPr>
          <t xml:space="preserve">La Surface de Référence utilisée pour le calcul de la Traînée est la surface projetée dans l'axe de la fusée. Ce </t>
        </r>
        <r>
          <rPr>
            <b/>
            <sz val="8"/>
            <color indexed="8"/>
            <rFont val="Tahoma"/>
            <family val="2"/>
          </rPr>
          <t>Maître Couple</t>
        </r>
        <r>
          <rPr>
            <sz val="8"/>
            <color indexed="8"/>
            <rFont val="Tahoma"/>
            <family val="2"/>
          </rPr>
          <t xml:space="preserve"> inclut donc l'épaisseur des ailerons.
</t>
        </r>
        <r>
          <rPr>
            <i/>
            <sz val="8"/>
            <color indexed="8"/>
            <rFont val="Tahoma"/>
            <family val="2"/>
          </rPr>
          <t>Reference Surface used to compute the Drag. It includes Fin thickness.</t>
        </r>
      </text>
    </comment>
    <comment ref="B16" authorId="1" shapeId="0" xr:uid="{00000000-0006-0000-0100-000004000000}">
      <text>
        <r>
          <rPr>
            <sz val="8"/>
            <color indexed="8"/>
            <rFont val="Tahoma"/>
            <family val="2"/>
          </rPr>
          <t xml:space="preserve">Coefficient de Traînée de la fusée. Par défaut, le </t>
        </r>
        <r>
          <rPr>
            <b/>
            <sz val="8"/>
            <color indexed="8"/>
            <rFont val="Tahoma"/>
            <family val="2"/>
          </rPr>
          <t>Cx</t>
        </r>
        <r>
          <rPr>
            <sz val="8"/>
            <color indexed="8"/>
            <rFont val="Tahoma"/>
            <family val="2"/>
          </rPr>
          <t xml:space="preserve"> vaut 0.6. On peut ajouter ou retrancher 0.2 en fonction des aspérités de la fusée, du profilage des ailerons…
</t>
        </r>
        <r>
          <rPr>
            <i/>
            <sz val="8"/>
            <color indexed="8"/>
            <rFont val="Tahoma"/>
            <family val="2"/>
          </rPr>
          <t>Rocket Drag Coefficient is generally between 0.4 and 0.8, with a default value of 0.6.</t>
        </r>
      </text>
    </comment>
    <comment ref="B19" authorId="1" shapeId="0" xr:uid="{00000000-0006-0000-0100-000005000000}">
      <text>
        <r>
          <rPr>
            <b/>
            <sz val="8"/>
            <color indexed="8"/>
            <rFont val="Tahoma"/>
            <family val="2"/>
          </rPr>
          <t>Longueur de la rampe de lancement.</t>
        </r>
        <r>
          <rPr>
            <sz val="8"/>
            <color indexed="8"/>
            <rFont val="Tahoma"/>
            <family val="2"/>
          </rPr>
          <t xml:space="preserve">
</t>
        </r>
        <r>
          <rPr>
            <i/>
            <sz val="8"/>
            <color indexed="8"/>
            <rFont val="Tahoma"/>
            <family val="2"/>
          </rPr>
          <t xml:space="preserve">                                          Length of the launch pad.</t>
        </r>
        <r>
          <rPr>
            <sz val="8"/>
            <color indexed="8"/>
            <rFont val="Tahoma"/>
            <family val="2"/>
          </rPr>
          <t xml:space="preserve">
Valeurs courantes :                       C</t>
        </r>
        <r>
          <rPr>
            <i/>
            <sz val="8"/>
            <color indexed="8"/>
            <rFont val="Tahoma"/>
            <family val="2"/>
          </rPr>
          <t>ommon values :</t>
        </r>
        <r>
          <rPr>
            <sz val="8"/>
            <color indexed="8"/>
            <rFont val="Tahoma"/>
            <family val="2"/>
          </rPr>
          <t xml:space="preserve">
MicroFusée               : 1m             </t>
        </r>
        <r>
          <rPr>
            <i/>
            <sz val="8"/>
            <color indexed="8"/>
            <rFont val="Tahoma"/>
            <family val="2"/>
          </rPr>
          <t>Micro-rocket</t>
        </r>
        <r>
          <rPr>
            <sz val="8"/>
            <color indexed="8"/>
            <rFont val="Tahoma"/>
            <family val="2"/>
          </rPr>
          <t xml:space="preserve">
MiniFusée                 : 2m -&gt; 3m </t>
        </r>
        <r>
          <rPr>
            <i/>
            <sz val="8"/>
            <color indexed="8"/>
            <rFont val="Tahoma"/>
            <family val="2"/>
          </rPr>
          <t xml:space="preserve">  Mini-rocket</t>
        </r>
        <r>
          <rPr>
            <sz val="8"/>
            <color indexed="8"/>
            <rFont val="Tahoma"/>
            <family val="2"/>
          </rPr>
          <t xml:space="preserve">
Fusée Expérimentale  : 4m -&gt; 7m   </t>
        </r>
        <r>
          <rPr>
            <i/>
            <sz val="8"/>
            <color indexed="8"/>
            <rFont val="Tahoma"/>
            <family val="2"/>
          </rPr>
          <t>Experimental Rocket</t>
        </r>
      </text>
    </comment>
    <comment ref="B20" authorId="1" shapeId="0" xr:uid="{00000000-0006-0000-0100-000006000000}">
      <text>
        <r>
          <rPr>
            <sz val="8"/>
            <color indexed="8"/>
            <rFont val="Tahoma"/>
            <family val="2"/>
          </rPr>
          <t xml:space="preserve">Elévation de la rampe, angle par rapport à l'horizontale, "site" de la rampe, par défaut cet angle est à 80°.
</t>
        </r>
        <r>
          <rPr>
            <i/>
            <sz val="8"/>
            <color indexed="8"/>
            <rFont val="Tahoma"/>
            <family val="2"/>
          </rPr>
          <t>Angle of the lauch pad versus horizontal.</t>
        </r>
      </text>
    </comment>
    <comment ref="B21" authorId="1" shapeId="0" xr:uid="{00000000-0006-0000-0100-000007000000}">
      <text>
        <r>
          <rPr>
            <sz val="8"/>
            <color indexed="8"/>
            <rFont val="Tahoma"/>
            <family val="2"/>
          </rPr>
          <t xml:space="preserve">L'Altitude de la rampe est utilisée pour calculer la densité de l'air.
</t>
        </r>
        <r>
          <rPr>
            <i/>
            <sz val="8"/>
            <color indexed="8"/>
            <rFont val="Tahoma"/>
            <family val="2"/>
          </rPr>
          <t>Launch Pad Altitude is used to compute the air density.</t>
        </r>
      </text>
    </comment>
    <comment ref="D24" authorId="2" shapeId="0" xr:uid="{00000000-0006-0000-0100-000008000000}">
      <text>
        <r>
          <rPr>
            <b/>
            <sz val="8"/>
            <color indexed="8"/>
            <rFont val="Tahoma"/>
            <family val="2"/>
          </rPr>
          <t>Objet largué</t>
        </r>
        <r>
          <rPr>
            <sz val="8"/>
            <color indexed="8"/>
            <rFont val="Tahoma"/>
            <family val="2"/>
          </rPr>
          <t xml:space="preserve"> (CanSat, quasi-satellite, partie contenant l'œuf...)
</t>
        </r>
        <r>
          <rPr>
            <i/>
            <sz val="8"/>
            <color indexed="8"/>
            <rFont val="Tahoma"/>
            <family val="2"/>
          </rPr>
          <t>Separated object (CanSat, quasi-satellite, payload/egg...)</t>
        </r>
      </text>
    </comment>
    <comment ref="K24" authorId="1" shapeId="0" xr:uid="{00000000-0006-0000-0100-000009000000}">
      <text>
        <r>
          <rPr>
            <sz val="8"/>
            <color indexed="8"/>
            <rFont val="Tahoma"/>
            <family val="2"/>
          </rPr>
          <t xml:space="preserve">La Vitesse en Sortie de Rampe doit être supérieure à 18m/s (MiniFusée) ou 20m/s (Fusée Exp.).
Alléger la fusée ou choisir un propu plus puissant.
</t>
        </r>
        <r>
          <rPr>
            <i/>
            <sz val="8"/>
            <color indexed="8"/>
            <rFont val="Tahoma"/>
            <family val="2"/>
          </rPr>
          <t>Speed at Launch Pad Exit must by higher than 18m/s (mini-rocket) or 20m/s (experimental rocket).
Lighten the rocket or choose a bigger motor.</t>
        </r>
      </text>
    </comment>
    <comment ref="C25" authorId="2" shapeId="0" xr:uid="{00000000-0006-0000-0100-00000A000000}">
      <text>
        <r>
          <rPr>
            <sz val="8"/>
            <color indexed="8"/>
            <rFont val="Tahoma"/>
            <family val="2"/>
          </rPr>
          <t xml:space="preserve">Masse de la fusée (sans satellite) sous parachute.
</t>
        </r>
        <r>
          <rPr>
            <i/>
            <sz val="8"/>
            <color indexed="8"/>
            <rFont val="Tahoma"/>
            <family val="2"/>
          </rPr>
          <t>Mass of the rocket (w/o sat) when it fall with a parachute.</t>
        </r>
      </text>
    </comment>
    <comment ref="M28" authorId="3" shapeId="0" xr:uid="{00000000-0006-0000-0100-00000B000000}">
      <text>
        <r>
          <rPr>
            <sz val="8"/>
            <color indexed="81"/>
            <rFont val="Tahoma"/>
            <family val="2"/>
          </rPr>
          <t xml:space="preserve">Efforts sur les fixations du parachute lors de sont ouverture.
</t>
        </r>
        <r>
          <rPr>
            <i/>
            <sz val="8"/>
            <color indexed="81"/>
            <rFont val="Tahoma"/>
            <family val="2"/>
          </rPr>
          <t>Stress on the parachute's bindings when it opened.</t>
        </r>
      </text>
    </comment>
    <comment ref="M29" authorId="3" shapeId="0" xr:uid="{00000000-0006-0000-0100-00000D000000}">
      <text>
        <r>
          <rPr>
            <sz val="8"/>
            <color indexed="81"/>
            <rFont val="Tahoma"/>
            <family val="2"/>
          </rPr>
          <t>Energie libérée lors de l'impact balistique.</t>
        </r>
        <r>
          <rPr>
            <b/>
            <sz val="8"/>
            <color indexed="81"/>
            <rFont val="Tahoma"/>
            <family val="2"/>
          </rPr>
          <t xml:space="preserve">
</t>
        </r>
        <r>
          <rPr>
            <i/>
            <sz val="8"/>
            <color indexed="81"/>
            <rFont val="Tahoma"/>
            <family val="2"/>
          </rPr>
          <t>Balistic impact energy</t>
        </r>
      </text>
    </comment>
    <comment ref="B30" authorId="1" shapeId="0" xr:uid="{00000000-0006-0000-0100-00000C000000}">
      <text>
        <r>
          <rPr>
            <sz val="8"/>
            <color indexed="8"/>
            <rFont val="Tahoma"/>
            <family val="2"/>
          </rPr>
          <t xml:space="preserve">Le Coefficient de Traînée </t>
        </r>
        <r>
          <rPr>
            <b/>
            <sz val="8"/>
            <color indexed="8"/>
            <rFont val="Tahoma"/>
            <family val="2"/>
          </rPr>
          <t>Cx</t>
        </r>
        <r>
          <rPr>
            <sz val="8"/>
            <color indexed="8"/>
            <rFont val="Tahoma"/>
            <family val="2"/>
          </rPr>
          <t xml:space="preserve"> (ou Cd) d'un parachute est généralement compris entre 0.7 et 1.4 (1 par défaut).
</t>
        </r>
        <r>
          <rPr>
            <i/>
            <sz val="8"/>
            <color indexed="8"/>
            <rFont val="Tahoma"/>
            <family val="2"/>
          </rPr>
          <t xml:space="preserve">Parachute Drag Coefficient </t>
        </r>
        <r>
          <rPr>
            <b/>
            <i/>
            <sz val="8"/>
            <color indexed="8"/>
            <rFont val="Tahoma"/>
            <family val="2"/>
          </rPr>
          <t>Cx</t>
        </r>
        <r>
          <rPr>
            <i/>
            <sz val="8"/>
            <color indexed="8"/>
            <rFont val="Tahoma"/>
            <family val="2"/>
          </rPr>
          <t xml:space="preserve"> (or Cd) should be between 0.7 and 1.4, with a default value of 1.</t>
        </r>
      </text>
    </comment>
    <comment ref="B32" authorId="4" shapeId="0" xr:uid="{00000000-0006-0000-0100-00000E000000}">
      <text>
        <r>
          <rPr>
            <sz val="8"/>
            <color indexed="81"/>
            <rFont val="Tahoma"/>
            <family val="2"/>
          </rPr>
          <t xml:space="preserve">La Vitesse de descente sous parachute doit être comprise entre 5 &amp; 15m/s.
</t>
        </r>
        <r>
          <rPr>
            <i/>
            <sz val="8"/>
            <color indexed="81"/>
            <rFont val="Tahoma"/>
            <family val="2"/>
          </rPr>
          <t>Fall Velocity with parachute must be between 5 &amp; 15 m/s.</t>
        </r>
      </text>
    </comment>
    <comment ref="B35" authorId="0" shapeId="0" xr:uid="{00000000-0006-0000-0100-00000F000000}">
      <text>
        <r>
          <rPr>
            <sz val="8"/>
            <color indexed="8"/>
            <rFont val="Tahoma"/>
            <family val="2"/>
          </rPr>
          <t xml:space="preserve">Déviation due au vent lors de la descente sous parachute.
</t>
        </r>
        <r>
          <rPr>
            <i/>
            <sz val="8"/>
            <color indexed="8"/>
            <rFont val="Tahoma"/>
            <family val="2"/>
          </rPr>
          <t>Deviation due to wind during the fall over parachute.</t>
        </r>
      </text>
    </comment>
    <comment ref="F42" authorId="1" shapeId="0" xr:uid="{00000000-0006-0000-0100-000010000000}">
      <text>
        <r>
          <rPr>
            <sz val="8"/>
            <color indexed="8"/>
            <rFont val="Tahoma"/>
            <family val="2"/>
          </rPr>
          <t xml:space="preserve">Les Conditions Initiales permettent de simuler le 2e boost des fusée bi-étage ou des fusées larguant une masse (CanSat, bi-inerte). Laisser à 0 dans les autres cas.
</t>
        </r>
        <r>
          <rPr>
            <i/>
            <sz val="8"/>
            <color indexed="8"/>
            <rFont val="Tahoma"/>
            <family val="2"/>
          </rPr>
          <t>Initial Conditions can be used to simulate the 2nd boost of 2-stages rockets, or rocket releasing mass (Quasi-Satellites). Set them to 0 otherwise.</t>
        </r>
      </text>
    </comment>
    <comment ref="I42" authorId="1" shapeId="0" xr:uid="{00000000-0006-0000-0100-000011000000}">
      <text>
        <r>
          <rPr>
            <sz val="8"/>
            <color indexed="8"/>
            <rFont val="Tahoma"/>
            <family val="2"/>
          </rPr>
          <t xml:space="preserve">Altitude par rapport à la rampe, par rapport au sol.
</t>
        </r>
        <r>
          <rPr>
            <i/>
            <sz val="8"/>
            <color indexed="8"/>
            <rFont val="Tahoma"/>
            <family val="2"/>
          </rPr>
          <t>Altitude with respect to the earth surface.</t>
        </r>
      </text>
    </comment>
    <comment ref="K42" authorId="1" shapeId="0" xr:uid="{00000000-0006-0000-0100-000012000000}">
      <text>
        <r>
          <rPr>
            <sz val="8"/>
            <color indexed="8"/>
            <rFont val="Tahoma"/>
            <family val="2"/>
          </rPr>
          <t xml:space="preserve">La vitesse initiale doit être non-nulle dans le cas d'un 2e boost (allumage hors de la rampe, Portée et Altitude non-nulles).
</t>
        </r>
        <r>
          <rPr>
            <i/>
            <sz val="8"/>
            <color indexed="8"/>
            <rFont val="Tahoma"/>
            <family val="2"/>
          </rPr>
          <t>Initial Velocity must be non-zero in case of 2nd boost (ignition without launch pad, non-zero Range and Altitude).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xml:space="preserve"> </author>
    <author>M363040</author>
    <author>Léo Côme</author>
  </authors>
  <commentList>
    <comment ref="B11" authorId="0" shapeId="0" xr:uid="{00000000-0006-0000-0500-000001000000}">
      <text>
        <r>
          <rPr>
            <sz val="8"/>
            <color indexed="8"/>
            <rFont val="Tahoma"/>
            <family val="2"/>
          </rPr>
          <t xml:space="preserve">Masse sans propu, à changer dans la feuille Stabilito,
ou à l'aide des boutons (revérifiez alors la stabilité).
</t>
        </r>
        <r>
          <rPr>
            <i/>
            <sz val="8"/>
            <color indexed="8"/>
            <rFont val="Tahoma"/>
            <family val="2"/>
          </rPr>
          <t>Rocket mass without motor, to be changed in Stabilito sheet,
or with the buttons (then recheck stability).</t>
        </r>
      </text>
    </comment>
    <comment ref="B12" authorId="0" shapeId="0" xr:uid="{00000000-0006-0000-0500-000002000000}">
      <text>
        <r>
          <rPr>
            <sz val="8"/>
            <color indexed="8"/>
            <rFont val="Tahoma"/>
            <family val="2"/>
          </rPr>
          <t>Masse totale, à changer dans la feuille Stabilito,
ou à l'aide des boutons (revérifiez alors la stabilité).
Rocket total mass, to be changed in Stabilito sheet,
or with the buttons (then recheck stability).</t>
        </r>
      </text>
    </comment>
    <comment ref="B13" authorId="0" shapeId="0" xr:uid="{00000000-0006-0000-0500-000003000000}">
      <text>
        <r>
          <rPr>
            <sz val="8"/>
            <color indexed="8"/>
            <rFont val="Tahoma"/>
            <family val="2"/>
          </rPr>
          <t xml:space="preserve">Le propulseur doit être sélectionné dans l'onglet Stabilito.
</t>
        </r>
        <r>
          <rPr>
            <i/>
            <sz val="8"/>
            <color indexed="8"/>
            <rFont val="Tahoma"/>
            <family val="2"/>
          </rPr>
          <t>Motor must be selected in Stabilito sheet.</t>
        </r>
      </text>
    </comment>
    <comment ref="B16" authorId="1" shapeId="0" xr:uid="{00000000-0006-0000-0500-000004000000}">
      <text>
        <r>
          <rPr>
            <sz val="8"/>
            <color indexed="8"/>
            <rFont val="Tahoma"/>
            <family val="2"/>
          </rPr>
          <t xml:space="preserve">Diamètre de référence. D_réf = D_ogive ou le diamètre "principal".
</t>
        </r>
        <r>
          <rPr>
            <i/>
            <sz val="8"/>
            <color indexed="8"/>
            <rFont val="Tahoma"/>
            <family val="2"/>
          </rPr>
          <t>Reference Diameter. D_ref = D_ogive or the "main" diameter.</t>
        </r>
      </text>
    </comment>
    <comment ref="B17" authorId="2" shapeId="0" xr:uid="{00000000-0006-0000-0500-000005000000}">
      <text>
        <r>
          <rPr>
            <sz val="8"/>
            <color indexed="8"/>
            <rFont val="Tahoma"/>
            <family val="2"/>
          </rPr>
          <t xml:space="preserve">Coefficient de Traînée de la fusée. Par défaut, le </t>
        </r>
        <r>
          <rPr>
            <b/>
            <sz val="8"/>
            <color indexed="8"/>
            <rFont val="Tahoma"/>
            <family val="2"/>
          </rPr>
          <t>Cx</t>
        </r>
        <r>
          <rPr>
            <sz val="8"/>
            <color indexed="8"/>
            <rFont val="Tahoma"/>
            <family val="2"/>
          </rPr>
          <t xml:space="preserve"> vaut 0.6. On peut ajouter ou retrancher 0.2 en fonction des aspérités de la fusée, du profilage des ailerons…
</t>
        </r>
        <r>
          <rPr>
            <i/>
            <sz val="8"/>
            <color indexed="8"/>
            <rFont val="Tahoma"/>
            <family val="2"/>
          </rPr>
          <t>Rocket Drag Coefficient is generally between 0.4 and 0.8, with a default value of 0.6.</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xml:space="preserve"> Léo</author>
  </authors>
  <commentList>
    <comment ref="E55" authorId="0" shapeId="0" xr:uid="{00000000-0006-0000-0600-000001000000}">
      <text>
        <r>
          <rPr>
            <sz val="8"/>
            <color indexed="81"/>
            <rFont val="Tahoma"/>
            <family val="2"/>
          </rPr>
          <t xml:space="preserve">Masse volumique de l'air (ρ) à P=1013,25hPa &amp; T=15°C.
Utilisée tel quel pour la descente sous parachute,
utilisée comme référence (z=0) pour le calcul de ρ en fonction de l'altitude dans le calcul de la trajectoire pas à pas.
Idéalement, valeur à adapter aux conditions atmosphériques au moment du lancement.
</t>
        </r>
        <r>
          <rPr>
            <i/>
            <sz val="8"/>
            <color indexed="81"/>
            <rFont val="Tahoma"/>
            <family val="2"/>
          </rPr>
          <t>Air density (ρ) at P=1013,25hPa &amp; T=15°C.</t>
        </r>
      </text>
    </comment>
  </commentList>
</comments>
</file>

<file path=xl/sharedStrings.xml><?xml version="1.0" encoding="utf-8"?>
<sst xmlns="http://schemas.openxmlformats.org/spreadsheetml/2006/main" count="1732" uniqueCount="573">
  <si>
    <t>TRAJECTO</t>
  </si>
  <si>
    <t>Français</t>
  </si>
  <si>
    <t>t</t>
  </si>
  <si>
    <t>x</t>
  </si>
  <si>
    <t>Club</t>
  </si>
  <si>
    <t>Cx</t>
  </si>
  <si>
    <t>Altitude</t>
  </si>
  <si>
    <t>m/s²</t>
  </si>
  <si>
    <t>kg/m3</t>
  </si>
  <si>
    <t>Surface para</t>
  </si>
  <si>
    <t>Cx parachute</t>
  </si>
  <si>
    <t>Temps</t>
  </si>
  <si>
    <t>Altitude z</t>
  </si>
  <si>
    <t>Accélération</t>
  </si>
  <si>
    <t>-</t>
  </si>
  <si>
    <t>Culmination, Apogée</t>
  </si>
  <si>
    <t>~0</t>
  </si>
  <si>
    <t>Forces</t>
  </si>
  <si>
    <t>Accélération longitudinale</t>
  </si>
  <si>
    <t>pas</t>
  </si>
  <si>
    <t>Beta</t>
  </si>
  <si>
    <t>BetaD</t>
  </si>
  <si>
    <t>Débit</t>
  </si>
  <si>
    <t>Trainée</t>
  </si>
  <si>
    <t>Rho</t>
  </si>
  <si>
    <t>Poussée</t>
  </si>
  <si>
    <t>i_P</t>
  </si>
  <si>
    <t>Poids</t>
  </si>
  <si>
    <t>R_rampe</t>
  </si>
  <si>
    <t>z</t>
  </si>
  <si>
    <t>non-gravit.</t>
  </si>
  <si>
    <t>gravitationnelle</t>
  </si>
  <si>
    <t>Ligne</t>
  </si>
  <si>
    <t>Temps (en s)</t>
  </si>
  <si>
    <t>Poussée (en N)</t>
  </si>
  <si>
    <t>Isard</t>
  </si>
  <si>
    <t>Chamois</t>
  </si>
  <si>
    <t>espace@planete-sciences.org</t>
  </si>
  <si>
    <t>m</t>
  </si>
  <si>
    <t>http://www.planete-sciences.org/espace/basedoc/</t>
  </si>
  <si>
    <t>Surface Réf.</t>
  </si>
  <si>
    <t>Angle</t>
  </si>
  <si>
    <t>Léo Côme</t>
  </si>
  <si>
    <t>Notes :</t>
  </si>
  <si>
    <t>Aucun (2e ét. inerte)</t>
  </si>
  <si>
    <t>z para</t>
  </si>
  <si>
    <t>z sat</t>
  </si>
  <si>
    <t>xz max</t>
  </si>
  <si>
    <t>t para</t>
  </si>
  <si>
    <t>x para</t>
  </si>
  <si>
    <t>t sat</t>
  </si>
  <si>
    <t>x sat</t>
  </si>
  <si>
    <t>Moteurs Rocketry-Challenge, bug Surface_parachute, Satellite, bug Ooo</t>
  </si>
  <si>
    <t>STABILITO</t>
  </si>
  <si>
    <t>Type</t>
  </si>
  <si>
    <t>XCp</t>
  </si>
  <si>
    <t>MpropuPlein</t>
  </si>
  <si>
    <t>XpropuPlein</t>
  </si>
  <si>
    <t>MpropuVide</t>
  </si>
  <si>
    <t>XpropuVide</t>
  </si>
  <si>
    <t>Longueur</t>
  </si>
  <si>
    <t>Diamètre</t>
  </si>
  <si>
    <t>Min</t>
  </si>
  <si>
    <t>Max</t>
  </si>
  <si>
    <t>Finesse</t>
  </si>
  <si>
    <t>Cnα</t>
  </si>
  <si>
    <t>MS /L</t>
  </si>
  <si>
    <t>English</t>
  </si>
  <si>
    <t>X longi</t>
  </si>
  <si>
    <t>Y latéral</t>
  </si>
  <si>
    <t>- Y latéral</t>
  </si>
  <si>
    <t>Pointe</t>
  </si>
  <si>
    <t>Ogive</t>
  </si>
  <si>
    <t>chmt1 pt1</t>
  </si>
  <si>
    <t>chmt1 pt2</t>
  </si>
  <si>
    <t>chmt2 pt1</t>
  </si>
  <si>
    <t>chmt2 pt2</t>
  </si>
  <si>
    <t>culot</t>
  </si>
  <si>
    <t>aileron pt1</t>
  </si>
  <si>
    <t>aileron pt2</t>
  </si>
  <si>
    <t>aileron pt3</t>
  </si>
  <si>
    <t>aileron pt4</t>
  </si>
  <si>
    <t>Xcg plein</t>
  </si>
  <si>
    <t>Xcg vide</t>
  </si>
  <si>
    <t>Xcp</t>
  </si>
  <si>
    <t>canard pt1</t>
  </si>
  <si>
    <t>canard pt2</t>
  </si>
  <si>
    <t>canard pt3</t>
  </si>
  <si>
    <t>canard pt4</t>
  </si>
  <si>
    <t>masquage pt1</t>
  </si>
  <si>
    <t>masquage pt2</t>
  </si>
  <si>
    <t>masquage pt3</t>
  </si>
  <si>
    <t>masquage pt4</t>
  </si>
  <si>
    <t>cadre</t>
  </si>
  <si>
    <t>propu pt1</t>
  </si>
  <si>
    <t>propu pt2</t>
  </si>
  <si>
    <t>propu pt3</t>
  </si>
  <si>
    <t>propu pt4</t>
  </si>
  <si>
    <t>propu pt5</t>
  </si>
  <si>
    <t>MS (X)</t>
  </si>
  <si>
    <t>Cna (Y)</t>
  </si>
  <si>
    <t>2002-2007</t>
  </si>
  <si>
    <t>Stabilito V1.x</t>
  </si>
  <si>
    <t>Stabilito V2.0</t>
  </si>
  <si>
    <t>Stabilito V2.1</t>
  </si>
  <si>
    <t>Stabilito V2.2</t>
  </si>
  <si>
    <t>Trajecto V1.x</t>
  </si>
  <si>
    <t>Trajecto V2.x</t>
  </si>
  <si>
    <t>Trajecto V2.4</t>
  </si>
  <si>
    <t>Trajecto V2.5</t>
  </si>
  <si>
    <t>OpenOffice Calc</t>
  </si>
  <si>
    <t>µ-propu A8-3</t>
  </si>
  <si>
    <t>µ-propu B4-4</t>
  </si>
  <si>
    <t>µ-propu C6-3</t>
  </si>
  <si>
    <t>ISP</t>
  </si>
  <si>
    <t>I_total</t>
  </si>
  <si>
    <t>I_total_i (en N.s)</t>
  </si>
  <si>
    <t>Micro</t>
  </si>
  <si>
    <t>Fusex</t>
  </si>
  <si>
    <t>Mini</t>
  </si>
  <si>
    <t>0 satellite</t>
  </si>
  <si>
    <t>1 satellite</t>
  </si>
  <si>
    <t>http://creativecommons.org/licenses/by-sa/3.0/</t>
  </si>
  <si>
    <t>VL4</t>
  </si>
  <si>
    <t>Vsortie de rampe (&gt; 18 m/s)</t>
  </si>
  <si>
    <t>10 &lt; finesse &lt; 20</t>
  </si>
  <si>
    <t>15 &lt; Cn &lt; 30</t>
  </si>
  <si>
    <t>30 &lt; Ms x Cn &lt; 100</t>
  </si>
  <si>
    <t>RC1</t>
  </si>
  <si>
    <t>5 &lt; Vc &lt; 15 m/s</t>
  </si>
  <si>
    <t>RC2</t>
  </si>
  <si>
    <t>Temps de retard ralentisseur</t>
  </si>
  <si>
    <t>RC5</t>
  </si>
  <si>
    <t>Portée balistique (m)</t>
  </si>
  <si>
    <t>Temps de vol avec parachute (s)</t>
  </si>
  <si>
    <t>Culmination</t>
  </si>
  <si>
    <t>Accélération max (m/s²)</t>
  </si>
  <si>
    <t>Vmax (m/s)</t>
  </si>
  <si>
    <t>Altitude (m)</t>
  </si>
  <si>
    <t>Temps (s)</t>
  </si>
  <si>
    <t>Vitesse (m/s)</t>
  </si>
  <si>
    <t>Inclinaison</t>
  </si>
  <si>
    <t>Longueur totale</t>
  </si>
  <si>
    <t>Longueur rampe</t>
  </si>
  <si>
    <t>Epaisseur ailerons</t>
  </si>
  <si>
    <t>Nombre ailerons</t>
  </si>
  <si>
    <t>Type d'ogive</t>
  </si>
  <si>
    <t>Longueur ogive "l"</t>
  </si>
  <si>
    <t>Haut du propu "Prop"</t>
  </si>
  <si>
    <t>Diamètre "D"</t>
  </si>
  <si>
    <t>Position ailerons "L"</t>
  </si>
  <si>
    <t>M</t>
  </si>
  <si>
    <t>Microsoft Excel 2003 ou +</t>
  </si>
  <si>
    <t>s</t>
  </si>
  <si>
    <t>m/s</t>
  </si>
  <si>
    <t>°</t>
  </si>
  <si>
    <t>Transition A</t>
  </si>
  <si>
    <t>Transition B</t>
  </si>
  <si>
    <t>Jaune</t>
  </si>
  <si>
    <t>conique</t>
  </si>
  <si>
    <t>ogive</t>
  </si>
  <si>
    <t>parabole</t>
  </si>
  <si>
    <t>env pt4</t>
  </si>
  <si>
    <t>flèche pt2</t>
  </si>
  <si>
    <t>saumon pt3</t>
  </si>
  <si>
    <t>flèche milieu</t>
  </si>
  <si>
    <t>env milieu</t>
  </si>
  <si>
    <t>saumon milieu</t>
  </si>
  <si>
    <t>empl milieu</t>
  </si>
  <si>
    <t>empl pt4</t>
  </si>
  <si>
    <t>MS milieu</t>
  </si>
  <si>
    <t>MS Xcp</t>
  </si>
  <si>
    <t>1s</t>
  </si>
  <si>
    <t>t/T</t>
  </si>
  <si>
    <t>z/Z</t>
  </si>
  <si>
    <t>vertical</t>
  </si>
  <si>
    <t>horizontal</t>
  </si>
  <si>
    <t>flèches</t>
  </si>
  <si>
    <t>StabTraj</t>
  </si>
  <si>
    <t>StabTraj V3.0</t>
  </si>
  <si>
    <t>Trajecto</t>
  </si>
  <si>
    <t>µ-propu</t>
  </si>
  <si>
    <t>Minif</t>
  </si>
  <si>
    <t xml:space="preserve"> </t>
  </si>
  <si>
    <t>Événements</t>
  </si>
  <si>
    <t>Sous-échantillon 1Hz</t>
  </si>
  <si>
    <t>pos_x</t>
  </si>
  <si>
    <t>pos_z</t>
  </si>
  <si>
    <t>pos_xz</t>
  </si>
  <si>
    <t>vit_x</t>
  </si>
  <si>
    <t>vit_z</t>
  </si>
  <si>
    <t>vit_xz</t>
  </si>
  <si>
    <t>acc_x</t>
  </si>
  <si>
    <t>acc_z</t>
  </si>
  <si>
    <t>acc_xz</t>
  </si>
  <si>
    <t>Donneés au format des fiches de contrôles Fusex :</t>
  </si>
  <si>
    <t>Diamètre max</t>
  </si>
  <si>
    <t>Envergure totale</t>
  </si>
  <si>
    <t>sans</t>
  </si>
  <si>
    <t>vide</t>
  </si>
  <si>
    <t>plein</t>
  </si>
  <si>
    <t>Masse</t>
  </si>
  <si>
    <t>STAB 1</t>
  </si>
  <si>
    <t>STAB 2</t>
  </si>
  <si>
    <t>STAB 3</t>
  </si>
  <si>
    <t>STAB 4</t>
  </si>
  <si>
    <t>STAB 5</t>
  </si>
  <si>
    <t>Vsortie de rampe (&gt; 20 m/s)</t>
  </si>
  <si>
    <t>10 &lt; finesse &lt; 35</t>
  </si>
  <si>
    <t>15 &lt; Portance &lt; 40</t>
  </si>
  <si>
    <t>2*D &lt; Ms &lt; 6*D</t>
  </si>
  <si>
    <t>40 &lt; Ms x Cn &lt; 100</t>
  </si>
  <si>
    <t>Maître couple (m²)</t>
  </si>
  <si>
    <t>Site</t>
  </si>
  <si>
    <t>Temps balistique (s)</t>
  </si>
  <si>
    <t>Temps culmi (s)</t>
  </si>
  <si>
    <t>Altitude culmi (m)</t>
  </si>
  <si>
    <t>Vitesse culmi (m/s)</t>
  </si>
  <si>
    <t>CdG</t>
  </si>
  <si>
    <t>Diamètre max (40à200)</t>
  </si>
  <si>
    <t>Envergure totale &lt;720</t>
  </si>
  <si>
    <t>Masse &lt;15</t>
  </si>
  <si>
    <t>Pensez à modifier l'inclinaison pour avoir les 2 valeurs.</t>
  </si>
  <si>
    <t>Resist long aileron</t>
  </si>
  <si>
    <t>Resist transv aileron</t>
  </si>
  <si>
    <t>Compression 2.Acc.M</t>
  </si>
  <si>
    <t>N</t>
  </si>
  <si>
    <t>kg</t>
  </si>
  <si>
    <t>Surface aileron (m²)</t>
  </si>
  <si>
    <t>Masse aileron (kg)</t>
  </si>
  <si>
    <t>T dépotage +/-2s /appogée</t>
  </si>
  <si>
    <t>REC 2</t>
  </si>
  <si>
    <t>SEQ 5</t>
  </si>
  <si>
    <t>CR 1</t>
  </si>
  <si>
    <t>CR 2</t>
  </si>
  <si>
    <t>MEC 3</t>
  </si>
  <si>
    <t>Vitesse à l'ouverture m/s</t>
  </si>
  <si>
    <t>Surface parachute m²</t>
  </si>
  <si>
    <t xml:space="preserve">Choc à l'ouverture   N </t>
  </si>
  <si>
    <t>Choc à l'ouverture   kg</t>
  </si>
  <si>
    <t>Compression porte</t>
  </si>
  <si>
    <t>Masse au-dessus porte</t>
  </si>
  <si>
    <t>REC 8</t>
  </si>
  <si>
    <t>rad</t>
  </si>
  <si>
    <t>kg/s</t>
  </si>
  <si>
    <t>Méthodes d'intégration maison</t>
  </si>
  <si>
    <t>Wikipedia</t>
  </si>
  <si>
    <t>Pour se limiter à 1000 lignes, pas variable (les transitions sont-elles rigoureuses ?).</t>
  </si>
  <si>
    <t>Le Vol de la Fusée</t>
  </si>
  <si>
    <t>Beeman (2nd order, explicit variant)</t>
  </si>
  <si>
    <t>Newmark-beta (with γ=1/2 &amp; β=1/4) (2nd order)</t>
  </si>
  <si>
    <t>Spécificités de notre problème (2nd order mechanical ODE) :</t>
  </si>
  <si>
    <t>Verlet (2-stage 2nd order, symplectic, explicit)</t>
  </si>
  <si>
    <t>Trajec 2.x utililse un mélange douteux de différentes méthodes :</t>
  </si>
  <si>
    <t>Méthodes d'intégration explicites officielles</t>
  </si>
  <si>
    <t>On peut anticiper la Poussée (force qui varie le +) et la masse.</t>
  </si>
  <si>
    <t>L'Acc dépend de la vitesse (et peu de la position).</t>
  </si>
  <si>
    <t>Semi-implicit Euler (1st order, symplectic) [§ "Euler modifié" dans Le Vol de La Fusée]</t>
  </si>
  <si>
    <t>Explicit Euler (1st order, non-symplectic) [RK1]</t>
  </si>
  <si>
    <t>Velocity Verlet, Leapfrog variant (2nd order, symplectic, explicit)</t>
  </si>
  <si>
    <t>Midpoint, Modified Euler (2nd order, explicit) [§ "RK2" dans Le Vol de La Fusée]</t>
  </si>
  <si>
    <t>Heun, Improved Euler (2-stage 2nd-order, explicit, predictor-corrector) [Trapezoidal] [RK2]</t>
  </si>
  <si>
    <t>Les méthodes symplectic (conserve l'énergie) gardent-elles leur avantage quand la masse varie (ph propu) ?</t>
  </si>
  <si>
    <t>Sous Excel, on a les pas précédent (linear multistep possible), mais ordre élevé ou implicite sont à exclure.</t>
  </si>
  <si>
    <t>Multi{sub}step (RK), linear multi{previous}step (ADAMS), predictor-corrector, implicit …</t>
  </si>
  <si>
    <t>Dynamique de la fusée (repère sol)</t>
  </si>
  <si>
    <t>Brun/Orange…</t>
  </si>
  <si>
    <t>Rouge…</t>
  </si>
  <si>
    <t>Trajecto/StabTraj corrige l'erreur de Trajec sur Xn+1 en utilisant la vitesse moyenne :</t>
  </si>
  <si>
    <t>Idéalement, il serait préférable de tout calculer à n+0.5 (m, V, β, ρ).</t>
  </si>
  <si>
    <t>Checksum :</t>
  </si>
  <si>
    <t>M_éjecté</t>
  </si>
  <si>
    <t>M_burnout</t>
  </si>
  <si>
    <t>m_poudre</t>
  </si>
  <si>
    <t>Wapiti</t>
  </si>
  <si>
    <t>Cariacou</t>
  </si>
  <si>
    <t>H2O</t>
  </si>
  <si>
    <t>H2O 2.0L 400g 6bar</t>
  </si>
  <si>
    <t>H2O 2.0L 600g 6bar</t>
  </si>
  <si>
    <t>H2O 2.0L 800g 6bar</t>
  </si>
  <si>
    <t>H2O 2.0L 1000g 6bar</t>
  </si>
  <si>
    <t>ABACO</t>
  </si>
  <si>
    <t>Masse totale</t>
  </si>
  <si>
    <t>Traînée prop</t>
  </si>
  <si>
    <t>Traînée bal</t>
  </si>
  <si>
    <t>1/2.ρ.S.Cx</t>
  </si>
  <si>
    <t>M ph prop</t>
  </si>
  <si>
    <t>M ph bal</t>
  </si>
  <si>
    <t>alt_prop</t>
  </si>
  <si>
    <t>V_prop</t>
  </si>
  <si>
    <t>t_culmi</t>
  </si>
  <si>
    <t>D_var</t>
  </si>
  <si>
    <t>Q_var</t>
  </si>
  <si>
    <t>m_var</t>
  </si>
  <si>
    <t>m_prop</t>
  </si>
  <si>
    <t>m_bal</t>
  </si>
  <si>
    <t>a_prop</t>
  </si>
  <si>
    <t>b_prop</t>
  </si>
  <si>
    <t>b_bal</t>
  </si>
  <si>
    <t>Alt prop</t>
  </si>
  <si>
    <t>V max</t>
  </si>
  <si>
    <t>LibreOffice Calc 3.4 ou +</t>
  </si>
  <si>
    <t>alt_culmi</t>
  </si>
  <si>
    <t>x_triomphe</t>
  </si>
  <si>
    <t>z_triomphe</t>
  </si>
  <si>
    <t>Arc de triomphe</t>
  </si>
  <si>
    <t>z_Eiffel</t>
  </si>
  <si>
    <t>x_Eiffel</t>
  </si>
  <si>
    <t>Tour Eiffel</t>
  </si>
  <si>
    <t>H2O 1.5L 300g 6bar</t>
  </si>
  <si>
    <t>H2O 1.5L 450g 6bar</t>
  </si>
  <si>
    <t>H2O 1.5L 600g 6bar</t>
  </si>
  <si>
    <t>H2O 1.5L 750g 6bar</t>
  </si>
  <si>
    <t>FUSEX</t>
  </si>
  <si>
    <t>MINIF PRO29-1G</t>
  </si>
  <si>
    <t>MINIF PRO24-3G</t>
  </si>
  <si>
    <t>MINIF PRO29-2G</t>
  </si>
  <si>
    <t>MINIF PRO24-1G</t>
  </si>
  <si>
    <t>Pro98-3G WT</t>
  </si>
  <si>
    <t>p24-1G 24E22</t>
  </si>
  <si>
    <t>p24-1G 26E31</t>
  </si>
  <si>
    <t>p24-3G 60F50</t>
  </si>
  <si>
    <t>p24-3G 68F79</t>
  </si>
  <si>
    <t>p24-3G 68F240</t>
  </si>
  <si>
    <t>p24-3G 73F30</t>
  </si>
  <si>
    <t>p24-3G 74F85</t>
  </si>
  <si>
    <t>p24-3G 75F51</t>
  </si>
  <si>
    <t>StabTraj V3.1</t>
  </si>
  <si>
    <t>StabTraj V3.2</t>
  </si>
  <si>
    <t>µ-propu C6-3 x2</t>
  </si>
  <si>
    <t>µ-propu C6-3 x3</t>
  </si>
  <si>
    <t>Propu : +RC &amp; +Tintin 2013 : 3 p24-1G, p24-3G 75F51 &amp; 60F50, Pro98-2G &amp; 3G WT</t>
  </si>
  <si>
    <t>Propu : +multi-µ-fu, -Wapiti, warning Cariacou, "Rufina"</t>
  </si>
  <si>
    <t>Donneés au format des fiches de lancement Fusex :</t>
  </si>
  <si>
    <t>Projet</t>
  </si>
  <si>
    <t>Chef de projet</t>
  </si>
  <si>
    <t>Date</t>
  </si>
  <si>
    <t>Moteur</t>
  </si>
  <si>
    <t>Virole</t>
  </si>
  <si>
    <t>MECANIQUE</t>
  </si>
  <si>
    <t xml:space="preserve">l = </t>
  </si>
  <si>
    <t xml:space="preserve">D = </t>
  </si>
  <si>
    <t>Dj =</t>
  </si>
  <si>
    <t xml:space="preserve">Dr = </t>
  </si>
  <si>
    <t xml:space="preserve">m = </t>
  </si>
  <si>
    <t>Epaisseur :</t>
  </si>
  <si>
    <t>Nb Aileron</t>
  </si>
  <si>
    <t>Type ogive</t>
  </si>
  <si>
    <t>ogivale</t>
  </si>
  <si>
    <t>parabolique</t>
  </si>
  <si>
    <t>X_plaque de poussée</t>
  </si>
  <si>
    <t>Masse fusée</t>
  </si>
  <si>
    <t>X_CdG</t>
  </si>
  <si>
    <t>Propu plein</t>
  </si>
  <si>
    <t>Sans propu</t>
  </si>
  <si>
    <t>Masse avec propu vide</t>
  </si>
  <si>
    <t>Simulation de vol</t>
  </si>
  <si>
    <t>Tenue mécanique</t>
  </si>
  <si>
    <t>masse d'un aileron</t>
  </si>
  <si>
    <t>superficie d'un aileron</t>
  </si>
  <si>
    <t>fleche acceptable(mm)</t>
  </si>
  <si>
    <t>compression</t>
  </si>
  <si>
    <t>Resistance longitudinale d'un aileron</t>
  </si>
  <si>
    <t>Resistance transversale d'un aileron</t>
  </si>
  <si>
    <t>Récupération</t>
  </si>
  <si>
    <t>Ralentisseur</t>
  </si>
  <si>
    <t>nombre de suspentes</t>
  </si>
  <si>
    <t>surface parachute</t>
  </si>
  <si>
    <t>force à tester totale</t>
  </si>
  <si>
    <t>force sur suspente</t>
  </si>
  <si>
    <t>Séparation latérale</t>
  </si>
  <si>
    <t>masse au dessus case para</t>
  </si>
  <si>
    <t>Force de compression</t>
  </si>
  <si>
    <t>MINIF PRO24-6G</t>
  </si>
  <si>
    <t>MINIF PRO38-1G</t>
  </si>
  <si>
    <t>p29-2G 84G88</t>
  </si>
  <si>
    <t>p29-2G 93G80</t>
  </si>
  <si>
    <t>p29-2G 110G250</t>
  </si>
  <si>
    <t>p29-2G 116G126</t>
  </si>
  <si>
    <t>p38-1G 137G58</t>
  </si>
  <si>
    <t>p38-1G 128G185</t>
  </si>
  <si>
    <t>p29-1G 41F36</t>
  </si>
  <si>
    <t>p29-1G 51F36</t>
  </si>
  <si>
    <t>p29-1G 55F29</t>
  </si>
  <si>
    <t>p29-1G 56F120</t>
  </si>
  <si>
    <t>p29-1G 57F59</t>
  </si>
  <si>
    <t>MINIF PRO29-3G</t>
  </si>
  <si>
    <t>p29-3G 125G131</t>
  </si>
  <si>
    <t>p38-1G 141G78</t>
  </si>
  <si>
    <t>MINIF PRO24-2G</t>
  </si>
  <si>
    <t>p24-2G 50E51</t>
  </si>
  <si>
    <t>p24-1G 53E70</t>
  </si>
  <si>
    <t>p29-3G 159G125</t>
  </si>
  <si>
    <t>Dépotage</t>
  </si>
  <si>
    <t>Combustion</t>
  </si>
  <si>
    <t>Sylvain Besson</t>
  </si>
  <si>
    <t>Minif Test</t>
  </si>
  <si>
    <t>Rocketry Challenge</t>
  </si>
  <si>
    <t>,Minif Tests</t>
  </si>
  <si>
    <t>MiniR</t>
  </si>
  <si>
    <t>MiniRN</t>
  </si>
  <si>
    <t>MiniN</t>
  </si>
  <si>
    <t>H20</t>
  </si>
  <si>
    <t>micro</t>
  </si>
  <si>
    <t>minif N</t>
  </si>
  <si>
    <t>Verification moteur</t>
  </si>
  <si>
    <t>Minif RC</t>
  </si>
  <si>
    <t>N/A</t>
  </si>
  <si>
    <t>T_para =</t>
  </si>
  <si>
    <t>-9</t>
  </si>
  <si>
    <t>-7</t>
  </si>
  <si>
    <t>-5</t>
  </si>
  <si>
    <t>-3</t>
  </si>
  <si>
    <t>-0</t>
  </si>
  <si>
    <t>Délais dépotage</t>
  </si>
  <si>
    <t>Propu : +ProX, Stabilito : séparation minif/RC, Trajecto : dépotage +rampe RC 3m</t>
  </si>
  <si>
    <t>StabTraj V3.3a</t>
  </si>
  <si>
    <t>p24-1G 25E75 (Rufina)</t>
  </si>
  <si>
    <t>Modification des alertes, +Effort subit par les parachutes</t>
  </si>
  <si>
    <t>Pour prendre en compte plsu de moteurs, il faut changer les variables "menu_type" et "liste"propu" dans le gestionnaire de noms.</t>
  </si>
  <si>
    <t>StabTraj V3.3e</t>
  </si>
  <si>
    <t>Efforts</t>
  </si>
  <si>
    <t>Xcp0</t>
  </si>
  <si>
    <t>sans propu</t>
  </si>
  <si>
    <t>Mono-empennage</t>
  </si>
  <si>
    <t>Bi-empennage</t>
  </si>
  <si>
    <t>Portée balistique &lt; 200 m</t>
  </si>
  <si>
    <t>Indication dépotage lanceur</t>
  </si>
  <si>
    <t>~0 m</t>
  </si>
  <si>
    <t>Données au format des fiches de contrôles minif :</t>
  </si>
  <si>
    <t xml:space="preserve">n = </t>
  </si>
  <si>
    <t xml:space="preserve">E = </t>
  </si>
  <si>
    <t xml:space="preserve">p = </t>
  </si>
  <si>
    <t>1,5.D &lt; Ms &lt; 6.D</t>
  </si>
  <si>
    <t xml:space="preserve">ailrons haut </t>
  </si>
  <si>
    <t>nombre</t>
  </si>
  <si>
    <t xml:space="preserve">ep = </t>
  </si>
  <si>
    <t>Fusée</t>
  </si>
  <si>
    <t>D</t>
  </si>
  <si>
    <t>L ogive</t>
  </si>
  <si>
    <t>L tot</t>
  </si>
  <si>
    <t>X prop</t>
  </si>
  <si>
    <t>Ailerons</t>
  </si>
  <si>
    <t>n</t>
  </si>
  <si>
    <t>p</t>
  </si>
  <si>
    <t>E</t>
  </si>
  <si>
    <t>X ail</t>
  </si>
  <si>
    <t>Bi empennage</t>
  </si>
  <si>
    <t>L</t>
  </si>
  <si>
    <t>D 1</t>
  </si>
  <si>
    <t>D 2</t>
  </si>
  <si>
    <t>X</t>
  </si>
  <si>
    <t>X cg (sans)</t>
  </si>
  <si>
    <t>(mm)</t>
  </si>
  <si>
    <t>Masse sans propu (kg)</t>
  </si>
  <si>
    <t>Couleur de la fusée</t>
  </si>
  <si>
    <t>Type d'éjection du para.</t>
  </si>
  <si>
    <t>Couleur du ralentisseur</t>
  </si>
  <si>
    <t>Surface ralentisseur (m²)</t>
  </si>
  <si>
    <t>Masse sans prop. (kg)</t>
  </si>
  <si>
    <t>Diamètre max (mm)</t>
  </si>
  <si>
    <t>Longeur de la rampe (m)</t>
  </si>
  <si>
    <t>Propulseur</t>
  </si>
  <si>
    <t>module rocket(){</t>
  </si>
  <si>
    <t>}</t>
  </si>
  <si>
    <t>//--------------------------------coiffe</t>
  </si>
  <si>
    <t>if (coiffe_type   == "conique"){</t>
  </si>
  <si>
    <t>//--------------------------------corps</t>
  </si>
  <si>
    <t>if (plusieur_diametres == false){</t>
  </si>
  <si>
    <t>} else {</t>
  </si>
  <si>
    <t>//--------------------------------ailerons</t>
  </si>
  <si>
    <t>aileron(coiffe_diametre, aileron_m_emplature,</t>
  </si>
  <si>
    <t xml:space="preserve"> aileron_position_bas);</t>
  </si>
  <si>
    <t>if (bi_empennage == true){</t>
  </si>
  <si>
    <t xml:space="preserve"> aileron_sup_nombre,</t>
  </si>
  <si>
    <t>rocket();</t>
  </si>
  <si>
    <t xml:space="preserve">	module aileron(diam, m, n, p, e, ep, nb, pos, masque = true){</t>
  </si>
  <si>
    <t xml:space="preserve"> 		depha =   masque ? 0 : 45 ;</t>
  </si>
  <si>
    <t xml:space="preserve">		for (angle = [0 : 360/nb : 360] ){</t>
  </si>
  <si>
    <t xml:space="preserve">			translate ([-diam*sin(angle+depha), diam*cos(angle+depha), pos-m]) {</t>
  </si>
  <si>
    <t xml:space="preserve">				rotate( [0, 0, angle+depha] ){</t>
  </si>
  <si>
    <t xml:space="preserve">	</t>
  </si>
  <si>
    <t xml:space="preserve">					polyhedron</t>
  </si>
  <si>
    <t xml:space="preserve">						(points = [</t>
  </si>
  <si>
    <t xml:space="preserve">							[+ep, 0, 0], [+ep, 0, m], [+ep, e, p+n],  [+ep, e, p],</t>
  </si>
  <si>
    <t xml:space="preserve">							[-ep, 0, 0], [-ep, 0, m], [-ep, e, p+n],  [-ep, e, p]</t>
  </si>
  <si>
    <t xml:space="preserve">							],</t>
  </si>
  <si>
    <t xml:space="preserve">						triangles = [</t>
  </si>
  <si>
    <t xml:space="preserve">							[0, 2, 1], [0, 2, 3], //carre +</t>
  </si>
  <si>
    <t xml:space="preserve">							[4, 6, 5], [4, 6, 7], //carre -</t>
  </si>
  <si>
    <t xml:space="preserve">							[0, 5, 1], [0, 5, 4],</t>
  </si>
  <si>
    <t xml:space="preserve">							[1, 6, 2], [1, 6, 5],</t>
  </si>
  <si>
    <t xml:space="preserve">							[2, 7, 3], [2, 7, 6],</t>
  </si>
  <si>
    <t xml:space="preserve">							[0, 7, 3], [0, 7, 4]</t>
  </si>
  <si>
    <t xml:space="preserve">							]</t>
  </si>
  <si>
    <t xml:space="preserve">						);</t>
  </si>
  <si>
    <t xml:space="preserve">				}</t>
  </si>
  <si>
    <t xml:space="preserve">			}</t>
  </si>
  <si>
    <t xml:space="preserve">		}</t>
  </si>
  <si>
    <t xml:space="preserve">	}	</t>
  </si>
  <si>
    <t xml:space="preserve">	module coiffe(diam, hauteur, resolution = 20.0){</t>
  </si>
  <si>
    <t xml:space="preserve">		pas = hauteur/resolution;</t>
  </si>
  <si>
    <t xml:space="preserve">		for (x = [0: pas : hauteur] ){</t>
  </si>
  <si>
    <t xml:space="preserve">			translate( [0, 0, x+pas] ){</t>
  </si>
  <si>
    <t xml:space="preserve">				cylinder(pas, pow(x, 1.0/2.0), pow(x+pas, 1.0/2.0), false);</t>
  </si>
  <si>
    <t xml:space="preserve">	}</t>
  </si>
  <si>
    <t xml:space="preserve">	cylinder(coiffe_hauteur, 0, coiffe_diametre, false);</t>
  </si>
  <si>
    <t xml:space="preserve">	translate ([0, 0, coiffe_hauteur]) {</t>
  </si>
  <si>
    <t xml:space="preserve">		cylinder(longeur_total-coiffe_hauteur, coiffe_diametre, coiffe_diametre, false);</t>
  </si>
  <si>
    <t xml:space="preserve">	//Premier cylindre</t>
  </si>
  <si>
    <t xml:space="preserve">		cylinder(diam_A_X_implantation-coiffe_hauteur, coiffe_diametre, coiffe_diametre, false);</t>
  </si>
  <si>
    <t xml:space="preserve">	//Premier chanvrin</t>
  </si>
  <si>
    <t xml:space="preserve">	translate ([0, 0, diam_A_X_implantation]) {</t>
  </si>
  <si>
    <t xml:space="preserve">		cylinder(diam_A_L_longeur, diam_A_D1_diametre, diam_A_D2_diametre, false);</t>
  </si>
  <si>
    <t xml:space="preserve">		</t>
  </si>
  <si>
    <t xml:space="preserve">	//Second cylindre</t>
  </si>
  <si>
    <t xml:space="preserve">	translate ([0, 0, diam_A_X_implantation+diam_A_L_longeur]) {</t>
  </si>
  <si>
    <t xml:space="preserve">		cylinder(diam_B_X_implantation-(diam_A_X_implantation+diam_A_L_longeur), diam_A_D2_diametre, diam_B_D1_diametre, false);</t>
  </si>
  <si>
    <t xml:space="preserve">	//Second chanvrin</t>
  </si>
  <si>
    <t xml:space="preserve">	translate ([0, 0, diam_B_X_implantation]) {</t>
  </si>
  <si>
    <t xml:space="preserve">		cylinder(diam_B_L_longeur, diam_B_D1_diametre, diam_B_D2_diametre, false);</t>
  </si>
  <si>
    <t xml:space="preserve">	//Troisieme cylindre</t>
  </si>
  <si>
    <t xml:space="preserve">	translate ([0, 0, diam_B_X_implantation + diam_B_L_longeur]) {</t>
  </si>
  <si>
    <t xml:space="preserve">		cylinder(longeur_total-(diam_B_X_implantation + diam_B_L_longeur), diam_B_D2_diametre, diam_B_D2_diametre, false);</t>
  </si>
  <si>
    <t xml:space="preserve">	 aileron_n_saumon, </t>
  </si>
  <si>
    <t xml:space="preserve">	 aileron_p_fleche,</t>
  </si>
  <si>
    <t xml:space="preserve">	 aileron_e_envergure,</t>
  </si>
  <si>
    <t xml:space="preserve">	 aileron_epaisseur,</t>
  </si>
  <si>
    <t xml:space="preserve">	 aileron_nombre,</t>
  </si>
  <si>
    <t xml:space="preserve">	aileron(coiffe_diametre, aileron_sup_m_emplature,</t>
  </si>
  <si>
    <t xml:space="preserve">	 aileron_sup_n_saumon,</t>
  </si>
  <si>
    <t xml:space="preserve">	 aileron_sup_p_fleche,</t>
  </si>
  <si>
    <t xml:space="preserve">	 aileron_sup_e_envergure,</t>
  </si>
  <si>
    <t xml:space="preserve">	 aileron_sup_epaisseur,</t>
  </si>
  <si>
    <t xml:space="preserve">	 aileron_sup_position_bas,</t>
  </si>
  <si>
    <t xml:space="preserve">	 aileron_sup_masque);</t>
  </si>
  <si>
    <t>p24-6G 140G145 PK</t>
  </si>
  <si>
    <t>p24-6G 139G107 DT</t>
  </si>
  <si>
    <t>p24-6G 142G117 WT</t>
  </si>
  <si>
    <t>Klima D9-7 x2</t>
  </si>
  <si>
    <t>Klima D9-7 x3</t>
  </si>
  <si>
    <t>Klima D9-7</t>
  </si>
  <si>
    <t>StabTraj V3.4.1</t>
  </si>
  <si>
    <t>Propu : +Klima D9</t>
  </si>
  <si>
    <t>p29-1G 56F31</t>
  </si>
  <si>
    <t xml:space="preserve"> 143G150 BS</t>
  </si>
  <si>
    <t>StabTraj V3.4.2</t>
  </si>
  <si>
    <t>Ajout propu</t>
  </si>
  <si>
    <t>Pandora (Pro24-6G BS)</t>
  </si>
  <si>
    <t>Barasinga (Pro54-5G C)</t>
  </si>
  <si>
    <t>Orignal (Pro75-3G C)</t>
  </si>
  <si>
    <t>Blastocerus (Pro98-6GXL RL)</t>
  </si>
  <si>
    <t>Pro54-5G WT</t>
  </si>
  <si>
    <t>Flavien DENIS</t>
  </si>
  <si>
    <t>Ajout Pro54-5G WT et Pro98-6G Green</t>
  </si>
  <si>
    <t>StabTraj V3.4.3</t>
  </si>
  <si>
    <t>Pro98-6G Green</t>
  </si>
  <si>
    <t>StabTraj V3.4.4</t>
  </si>
  <si>
    <t>Type de para</t>
  </si>
  <si>
    <t>Rond</t>
  </si>
  <si>
    <t>Croix</t>
  </si>
  <si>
    <t>Autre</t>
  </si>
  <si>
    <t>Unification Type Minif et RC + liste déroulante pour le type de parachute.</t>
  </si>
  <si>
    <t>Matricule</t>
  </si>
  <si>
    <t>Matriucle</t>
  </si>
  <si>
    <t>Corrections mineurs</t>
  </si>
  <si>
    <t>StabTraj V3.4.5</t>
  </si>
  <si>
    <t>v3.4.5</t>
  </si>
  <si>
    <t>Fusée expérimentale.</t>
  </si>
  <si>
    <t>L'AéroIPSA</t>
  </si>
  <si>
    <t>Conique (droite)</t>
  </si>
  <si>
    <t>Plusieurs diamètres.</t>
  </si>
  <si>
    <t>SP02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</si>
</sst>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3">
    <numFmt numFmtId="164" formatCode="General&quot; kg&quot;"/>
    <numFmt numFmtId="165" formatCode="0.0"/>
    <numFmt numFmtId="166" formatCode="0.000000&quot; m²&quot;"/>
    <numFmt numFmtId="167" formatCode="General&quot; m&quot;"/>
    <numFmt numFmtId="168" formatCode="General&quot; °&quot;"/>
    <numFmt numFmtId="169" formatCode="0.000"/>
    <numFmt numFmtId="170" formatCode="General&quot; s&quot;"/>
    <numFmt numFmtId="171" formatCode="General&quot; m²&quot;"/>
    <numFmt numFmtId="172" formatCode="0&quot; m/s&quot;"/>
    <numFmt numFmtId="173" formatCode="0&quot; s&quot;"/>
    <numFmt numFmtId="174" formatCode="General&quot; m/s&quot;"/>
    <numFmt numFmtId="175" formatCode="0&quot; m&quot;"/>
    <numFmt numFmtId="176" formatCode="General\ &quot;kg&quot;"/>
    <numFmt numFmtId="177" formatCode="General\ &quot;mm&quot;"/>
    <numFmt numFmtId="178" formatCode="0&quot; mm&quot;"/>
    <numFmt numFmtId="179" formatCode="General\ &quot;D&quot;"/>
    <numFmt numFmtId="180" formatCode="0.00&quot; D&quot;"/>
    <numFmt numFmtId="181" formatCode="0&quot;% L&quot;"/>
    <numFmt numFmtId="182" formatCode="General\°"/>
    <numFmt numFmtId="183" formatCode="0.#"/>
    <numFmt numFmtId="184" formatCode="0.0&quot; N.s&quot;"/>
    <numFmt numFmtId="185" formatCode="\±\ 0&quot; m&quot;"/>
    <numFmt numFmtId="186" formatCode="0.0&quot; s&quot;"/>
    <numFmt numFmtId="187" formatCode="0.0&quot; m/s&quot;"/>
    <numFmt numFmtId="188" formatCode="0&quot; m/s²&quot;"/>
    <numFmt numFmtId="189" formatCode="0.00&quot; m²&quot;"/>
    <numFmt numFmtId="190" formatCode="General\ &quot;g&quot;"/>
    <numFmt numFmtId="191" formatCode="#,##0.0\ [$ N]"/>
    <numFmt numFmtId="192" formatCode="#,##0.000\ [$KG]"/>
    <numFmt numFmtId="193" formatCode="0.0&quot; mm&quot;"/>
    <numFmt numFmtId="194" formatCode="General&quot; kg ±100%&quot;"/>
    <numFmt numFmtId="195" formatCode="0&quot; mm ±50%&quot;"/>
    <numFmt numFmtId="196" formatCode="General\ &quot;m/s²&quot;"/>
    <numFmt numFmtId="197" formatCode="&quot;Ø = &quot;0&quot; mm&quot;"/>
    <numFmt numFmtId="198" formatCode="#,##0\ [$ mm²]"/>
    <numFmt numFmtId="199" formatCode="#,#00\ [$ mm]"/>
    <numFmt numFmtId="200" formatCode="#,##0\ [$mm]"/>
    <numFmt numFmtId="201" formatCode="#,##0.00000\ [$ m²]"/>
    <numFmt numFmtId="202" formatCode="#,##0.0\ [$ kg]"/>
    <numFmt numFmtId="203" formatCode="0.00&quot; s&quot;"/>
    <numFmt numFmtId="204" formatCode="0.0&quot; N&quot;"/>
    <numFmt numFmtId="205" formatCode="0&quot; J&quot;"/>
    <numFmt numFmtId="206" formatCode="0&quot; G&quot;"/>
  </numFmts>
  <fonts count="52" x14ac:knownFonts="1">
    <font>
      <sz val="10"/>
      <name val="Arial"/>
      <family val="2"/>
    </font>
    <font>
      <sz val="10"/>
      <name val="Arial"/>
      <family val="2"/>
    </font>
    <font>
      <b/>
      <sz val="10"/>
      <name val="Arial"/>
      <family val="2"/>
    </font>
    <font>
      <b/>
      <sz val="20"/>
      <color indexed="9"/>
      <name val="Arial"/>
      <family val="2"/>
    </font>
    <font>
      <b/>
      <sz val="12"/>
      <name val="Times New Roman"/>
      <family val="1"/>
    </font>
    <font>
      <b/>
      <sz val="9"/>
      <name val="Arial"/>
      <family val="2"/>
    </font>
    <font>
      <b/>
      <u/>
      <sz val="10"/>
      <name val="Arial"/>
      <family val="2"/>
    </font>
    <font>
      <sz val="10"/>
      <color indexed="9"/>
      <name val="Arial"/>
      <family val="2"/>
    </font>
    <font>
      <sz val="8"/>
      <name val="Arial"/>
      <family val="2"/>
    </font>
    <font>
      <u/>
      <sz val="10"/>
      <name val="Arial"/>
      <family val="2"/>
    </font>
    <font>
      <u/>
      <sz val="10"/>
      <color indexed="12"/>
      <name val="Arial"/>
      <family val="2"/>
    </font>
    <font>
      <b/>
      <sz val="10"/>
      <color indexed="18"/>
      <name val="Arial"/>
      <family val="2"/>
    </font>
    <font>
      <b/>
      <sz val="10"/>
      <color indexed="58"/>
      <name val="Arial"/>
      <family val="2"/>
    </font>
    <font>
      <b/>
      <sz val="10"/>
      <color indexed="17"/>
      <name val="Arial"/>
      <family val="2"/>
    </font>
    <font>
      <b/>
      <sz val="10"/>
      <color indexed="23"/>
      <name val="Arial"/>
      <family val="2"/>
    </font>
    <font>
      <sz val="10"/>
      <name val="Arial"/>
      <family val="2"/>
    </font>
    <font>
      <b/>
      <sz val="10"/>
      <color indexed="10"/>
      <name val="Arial"/>
      <family val="2"/>
    </font>
    <font>
      <b/>
      <sz val="14"/>
      <color indexed="10"/>
      <name val="Arial"/>
      <family val="2"/>
    </font>
    <font>
      <sz val="8"/>
      <color indexed="8"/>
      <name val="Tahoma"/>
      <family val="2"/>
    </font>
    <font>
      <i/>
      <sz val="8"/>
      <color indexed="8"/>
      <name val="Tahoma"/>
      <family val="2"/>
    </font>
    <font>
      <b/>
      <sz val="8"/>
      <color indexed="8"/>
      <name val="Tahoma"/>
      <family val="2"/>
    </font>
    <font>
      <sz val="8"/>
      <color indexed="10"/>
      <name val="Tahoma"/>
      <family val="2"/>
    </font>
    <font>
      <i/>
      <sz val="8"/>
      <color indexed="10"/>
      <name val="Tahoma"/>
      <family val="2"/>
    </font>
    <font>
      <b/>
      <u/>
      <sz val="8"/>
      <color indexed="8"/>
      <name val="Tahoma"/>
      <family val="2"/>
    </font>
    <font>
      <b/>
      <sz val="8"/>
      <color indexed="16"/>
      <name val="Tahoma"/>
      <family val="2"/>
    </font>
    <font>
      <i/>
      <sz val="8"/>
      <color indexed="16"/>
      <name val="Tahoma"/>
      <family val="2"/>
    </font>
    <font>
      <strike/>
      <sz val="10"/>
      <name val="Arial"/>
      <family val="2"/>
    </font>
    <font>
      <b/>
      <i/>
      <sz val="8"/>
      <color indexed="8"/>
      <name val="Tahoma"/>
      <family val="2"/>
    </font>
    <font>
      <b/>
      <sz val="10"/>
      <color indexed="23"/>
      <name val="Arial"/>
      <family val="2"/>
    </font>
    <font>
      <b/>
      <sz val="6"/>
      <name val="Arial"/>
      <family val="2"/>
    </font>
    <font>
      <sz val="8"/>
      <color indexed="23"/>
      <name val="Arial"/>
      <family val="2"/>
    </font>
    <font>
      <b/>
      <sz val="10"/>
      <color indexed="23"/>
      <name val="Arial"/>
      <family val="2"/>
    </font>
    <font>
      <b/>
      <sz val="10"/>
      <color indexed="23"/>
      <name val="Arial"/>
      <family val="2"/>
    </font>
    <font>
      <sz val="10"/>
      <color indexed="23"/>
      <name val="Arial"/>
      <family val="2"/>
    </font>
    <font>
      <sz val="10"/>
      <color indexed="12"/>
      <name val="Arial"/>
      <family val="2"/>
    </font>
    <font>
      <b/>
      <sz val="12"/>
      <name val="Arial"/>
      <family val="2"/>
    </font>
    <font>
      <b/>
      <sz val="8"/>
      <name val="Arial"/>
      <family val="2"/>
    </font>
    <font>
      <sz val="8"/>
      <color indexed="12"/>
      <name val="Tahoma"/>
      <family val="2"/>
    </font>
    <font>
      <i/>
      <sz val="8"/>
      <color indexed="12"/>
      <name val="Tahoma"/>
      <family val="2"/>
    </font>
    <font>
      <sz val="8"/>
      <color indexed="81"/>
      <name val="Tahoma"/>
      <family val="2"/>
    </font>
    <font>
      <i/>
      <sz val="8"/>
      <color indexed="81"/>
      <name val="Tahoma"/>
      <family val="2"/>
    </font>
    <font>
      <b/>
      <sz val="10"/>
      <color indexed="53"/>
      <name val="Arial"/>
      <family val="2"/>
    </font>
    <font>
      <b/>
      <u/>
      <sz val="12"/>
      <name val="Arial"/>
      <family val="2"/>
    </font>
    <font>
      <b/>
      <i/>
      <sz val="10"/>
      <name val="Arial"/>
      <family val="2"/>
    </font>
    <font>
      <b/>
      <sz val="8"/>
      <color indexed="81"/>
      <name val="Tahoma"/>
      <family val="2"/>
    </font>
    <font>
      <b/>
      <sz val="10"/>
      <color rgb="FFFF0000"/>
      <name val="Arial"/>
      <family val="2"/>
    </font>
    <font>
      <b/>
      <sz val="10"/>
      <color rgb="FF808080"/>
      <name val="Arial"/>
      <family val="2"/>
    </font>
    <font>
      <sz val="10"/>
      <color rgb="FF808080"/>
      <name val="Arial"/>
      <family val="2"/>
    </font>
    <font>
      <sz val="8"/>
      <color rgb="FF808080"/>
      <name val="Arial"/>
      <family val="2"/>
    </font>
    <font>
      <sz val="8"/>
      <color theme="0"/>
      <name val="Arial"/>
      <family val="2"/>
    </font>
    <font>
      <sz val="10"/>
      <color rgb="FFFF0000"/>
      <name val="Arial"/>
      <family val="2"/>
    </font>
    <font>
      <b/>
      <sz val="10"/>
      <color theme="1"/>
      <name val="Arial"/>
      <family val="2"/>
    </font>
  </fonts>
  <fills count="35">
    <fill>
      <patternFill patternType="none"/>
    </fill>
    <fill>
      <patternFill patternType="gray125"/>
    </fill>
    <fill>
      <patternFill patternType="solid">
        <fgColor indexed="9"/>
        <bgColor indexed="26"/>
      </patternFill>
    </fill>
    <fill>
      <patternFill patternType="solid">
        <fgColor indexed="43"/>
        <bgColor indexed="42"/>
      </patternFill>
    </fill>
    <fill>
      <patternFill patternType="solid">
        <fgColor indexed="43"/>
        <bgColor indexed="64"/>
      </patternFill>
    </fill>
    <fill>
      <patternFill patternType="solid">
        <fgColor indexed="27"/>
        <bgColor indexed="64"/>
      </patternFill>
    </fill>
    <fill>
      <patternFill patternType="solid">
        <fgColor indexed="44"/>
        <bgColor indexed="64"/>
      </patternFill>
    </fill>
    <fill>
      <patternFill patternType="solid">
        <fgColor indexed="27"/>
        <bgColor indexed="42"/>
      </patternFill>
    </fill>
    <fill>
      <patternFill patternType="solid">
        <fgColor indexed="44"/>
        <bgColor indexed="27"/>
      </patternFill>
    </fill>
    <fill>
      <patternFill patternType="solid">
        <fgColor indexed="44"/>
        <bgColor indexed="22"/>
      </patternFill>
    </fill>
    <fill>
      <patternFill patternType="solid">
        <fgColor indexed="47"/>
        <bgColor indexed="64"/>
      </patternFill>
    </fill>
    <fill>
      <patternFill patternType="solid">
        <fgColor indexed="47"/>
        <bgColor indexed="27"/>
      </patternFill>
    </fill>
    <fill>
      <patternFill patternType="solid">
        <fgColor indexed="47"/>
        <bgColor indexed="44"/>
      </patternFill>
    </fill>
    <fill>
      <patternFill patternType="solid">
        <fgColor indexed="42"/>
        <bgColor indexed="42"/>
      </patternFill>
    </fill>
    <fill>
      <patternFill patternType="solid">
        <fgColor indexed="42"/>
        <bgColor indexed="64"/>
      </patternFill>
    </fill>
    <fill>
      <patternFill patternType="solid">
        <fgColor indexed="43"/>
        <bgColor indexed="44"/>
      </patternFill>
    </fill>
    <fill>
      <patternFill patternType="solid">
        <fgColor indexed="26"/>
        <bgColor indexed="41"/>
      </patternFill>
    </fill>
    <fill>
      <patternFill patternType="solid">
        <fgColor indexed="42"/>
        <bgColor indexed="41"/>
      </patternFill>
    </fill>
    <fill>
      <patternFill patternType="solid">
        <fgColor indexed="43"/>
        <bgColor indexed="41"/>
      </patternFill>
    </fill>
    <fill>
      <patternFill patternType="solid">
        <fgColor indexed="8"/>
        <bgColor indexed="64"/>
      </patternFill>
    </fill>
    <fill>
      <patternFill patternType="solid">
        <fgColor indexed="8"/>
        <bgColor indexed="58"/>
      </patternFill>
    </fill>
    <fill>
      <patternFill patternType="solid">
        <fgColor rgb="FFCCFFFF"/>
        <bgColor indexed="41"/>
      </patternFill>
    </fill>
    <fill>
      <patternFill patternType="solid">
        <fgColor rgb="FF99CCFF"/>
        <bgColor indexed="31"/>
      </patternFill>
    </fill>
    <fill>
      <patternFill patternType="solid">
        <fgColor rgb="FFCCFFFF"/>
        <bgColor indexed="42"/>
      </patternFill>
    </fill>
    <fill>
      <patternFill patternType="solid">
        <fgColor rgb="FFCCFFCC"/>
        <bgColor indexed="42"/>
      </patternFill>
    </fill>
    <fill>
      <patternFill patternType="solid">
        <fgColor rgb="FFCCFFCC"/>
        <bgColor indexed="41"/>
      </patternFill>
    </fill>
    <fill>
      <patternFill patternType="solid">
        <fgColor rgb="FFFFCC99"/>
        <bgColor indexed="31"/>
      </patternFill>
    </fill>
    <fill>
      <patternFill patternType="solid">
        <fgColor rgb="FF99CCFF"/>
        <bgColor indexed="64"/>
      </patternFill>
    </fill>
    <fill>
      <patternFill patternType="solid">
        <fgColor rgb="FFFFCC99"/>
        <bgColor indexed="64"/>
      </patternFill>
    </fill>
    <fill>
      <patternFill patternType="solid">
        <fgColor rgb="FFCCFFCC"/>
        <bgColor indexed="64"/>
      </patternFill>
    </fill>
    <fill>
      <patternFill patternType="solid">
        <fgColor rgb="FFFFFF99"/>
        <bgColor indexed="64"/>
      </patternFill>
    </fill>
    <fill>
      <patternFill patternType="solid">
        <fgColor rgb="FFFFCC99"/>
        <bgColor indexed="42"/>
      </patternFill>
    </fill>
    <fill>
      <patternFill patternType="solid">
        <fgColor rgb="FFCCFFFF"/>
        <bgColor indexed="64"/>
      </patternFill>
    </fill>
    <fill>
      <patternFill patternType="solid">
        <fgColor rgb="FFFFFF99"/>
        <bgColor indexed="42"/>
      </patternFill>
    </fill>
    <fill>
      <patternFill patternType="solid">
        <fgColor theme="0" tint="-0.499984740745262"/>
        <bgColor indexed="64"/>
      </patternFill>
    </fill>
  </fills>
  <borders count="104">
    <border>
      <left/>
      <right/>
      <top/>
      <bottom/>
      <diagonal/>
    </border>
    <border>
      <left style="medium">
        <color indexed="8"/>
      </left>
      <right style="medium">
        <color indexed="8"/>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double">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8"/>
      </right>
      <top style="medium">
        <color indexed="8"/>
      </top>
      <bottom style="medium">
        <color indexed="8"/>
      </bottom>
      <diagonal/>
    </border>
    <border>
      <left style="hair">
        <color indexed="8"/>
      </left>
      <right style="hair">
        <color indexed="8"/>
      </right>
      <top style="hair">
        <color indexed="8"/>
      </top>
      <bottom style="hair">
        <color indexed="8"/>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23"/>
      </bottom>
      <diagonal/>
    </border>
    <border>
      <left style="thin">
        <color indexed="8"/>
      </left>
      <right style="thin">
        <color indexed="8"/>
      </right>
      <top style="thin">
        <color indexed="23"/>
      </top>
      <bottom style="thin">
        <color indexed="8"/>
      </bottom>
      <diagonal/>
    </border>
    <border>
      <left style="thin">
        <color indexed="8"/>
      </left>
      <right/>
      <top style="thin">
        <color indexed="8"/>
      </top>
      <bottom style="thin">
        <color indexed="8"/>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8"/>
      </right>
      <top style="thin">
        <color indexed="8"/>
      </top>
      <bottom style="thin">
        <color indexed="8"/>
      </bottom>
      <diagonal/>
    </border>
    <border>
      <left style="thick">
        <color indexed="11"/>
      </left>
      <right style="thick">
        <color indexed="11"/>
      </right>
      <top style="thick">
        <color indexed="11"/>
      </top>
      <bottom style="thick">
        <color indexed="11"/>
      </bottom>
      <diagonal/>
    </border>
    <border>
      <left style="thick">
        <color indexed="11"/>
      </left>
      <right style="thick">
        <color indexed="57"/>
      </right>
      <top style="thick">
        <color indexed="57"/>
      </top>
      <bottom style="thick">
        <color indexed="57"/>
      </bottom>
      <diagonal/>
    </border>
    <border>
      <left style="thick">
        <color indexed="57"/>
      </left>
      <right style="mediumDashed">
        <color indexed="10"/>
      </right>
      <top style="mediumDashed">
        <color indexed="10"/>
      </top>
      <bottom style="mediumDashed">
        <color indexed="10"/>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64"/>
      </bottom>
      <diagonal/>
    </border>
    <border>
      <left style="thin">
        <color indexed="8"/>
      </left>
      <right style="medium">
        <color indexed="8"/>
      </right>
      <top style="thin">
        <color indexed="8"/>
      </top>
      <bottom style="thin">
        <color indexed="64"/>
      </bottom>
      <diagonal/>
    </border>
    <border>
      <left style="medium">
        <color indexed="8"/>
      </left>
      <right style="thin">
        <color indexed="8"/>
      </right>
      <top/>
      <bottom style="thin">
        <color indexed="8"/>
      </bottom>
      <diagonal/>
    </border>
    <border>
      <left style="thin">
        <color indexed="8"/>
      </left>
      <right style="thin">
        <color indexed="8"/>
      </right>
      <top style="medium">
        <color indexed="8"/>
      </top>
      <bottom style="thin">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style="thin">
        <color indexed="64"/>
      </bottom>
      <diagonal/>
    </border>
    <border>
      <left style="medium">
        <color indexed="8"/>
      </left>
      <right style="medium">
        <color indexed="8"/>
      </right>
      <top/>
      <bottom style="thin">
        <color indexed="8"/>
      </bottom>
      <diagonal/>
    </border>
    <border>
      <left style="thin">
        <color indexed="8"/>
      </left>
      <right style="medium">
        <color indexed="8"/>
      </right>
      <top style="thin">
        <color indexed="8"/>
      </top>
      <bottom/>
      <diagonal/>
    </border>
    <border>
      <left style="thin">
        <color indexed="8"/>
      </left>
      <right style="thin">
        <color indexed="8"/>
      </right>
      <top style="thin">
        <color indexed="8"/>
      </top>
      <bottom/>
      <diagonal/>
    </border>
    <border>
      <left style="medium">
        <color indexed="8"/>
      </left>
      <right style="medium">
        <color indexed="8"/>
      </right>
      <top style="thin">
        <color indexed="8"/>
      </top>
      <bottom/>
      <diagonal/>
    </border>
    <border>
      <left style="medium">
        <color indexed="8"/>
      </left>
      <right/>
      <top style="thin">
        <color indexed="8"/>
      </top>
      <bottom/>
      <diagonal/>
    </border>
    <border>
      <left/>
      <right/>
      <top style="thin">
        <color indexed="8"/>
      </top>
      <bottom/>
      <diagonal/>
    </border>
    <border>
      <left/>
      <right style="medium">
        <color indexed="8"/>
      </right>
      <top style="thin">
        <color indexed="8"/>
      </top>
      <bottom/>
      <diagonal/>
    </border>
    <border>
      <left style="medium">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style="medium">
        <color indexed="8"/>
      </left>
      <right style="medium">
        <color indexed="8"/>
      </right>
      <top style="medium">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8"/>
      </left>
      <right/>
      <top/>
      <bottom/>
      <diagonal/>
    </border>
    <border>
      <left/>
      <right style="medium">
        <color indexed="8"/>
      </right>
      <top/>
      <bottom/>
      <diagonal/>
    </border>
    <border>
      <left/>
      <right style="thin">
        <color indexed="64"/>
      </right>
      <top style="thin">
        <color indexed="8"/>
      </top>
      <bottom/>
      <diagonal/>
    </border>
    <border>
      <left style="medium">
        <color indexed="64"/>
      </left>
      <right style="medium">
        <color indexed="64"/>
      </right>
      <top style="medium">
        <color indexed="64"/>
      </top>
      <bottom style="medium">
        <color indexed="64"/>
      </bottom>
      <diagonal/>
    </border>
    <border>
      <left/>
      <right/>
      <top style="medium">
        <color indexed="8"/>
      </top>
      <bottom style="medium">
        <color indexed="8"/>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style="thin">
        <color indexed="8"/>
      </right>
      <top style="thin">
        <color indexed="64"/>
      </top>
      <bottom style="thin">
        <color indexed="8"/>
      </bottom>
      <diagonal/>
    </border>
    <border>
      <left style="thin">
        <color indexed="8"/>
      </left>
      <right style="thin">
        <color indexed="64"/>
      </right>
      <top style="thin">
        <color indexed="64"/>
      </top>
      <bottom style="thin">
        <color indexed="8"/>
      </bottom>
      <diagonal/>
    </border>
    <border>
      <left style="thin">
        <color indexed="8"/>
      </left>
      <right style="thin">
        <color indexed="64"/>
      </right>
      <top style="thin">
        <color indexed="8"/>
      </top>
      <bottom style="thin">
        <color indexed="8"/>
      </bottom>
      <diagonal/>
    </border>
    <border>
      <left style="thin">
        <color indexed="8"/>
      </left>
      <right style="thin">
        <color indexed="64"/>
      </right>
      <top style="thin">
        <color indexed="8"/>
      </top>
      <bottom style="thin">
        <color indexed="23"/>
      </bottom>
      <diagonal/>
    </border>
    <border>
      <left style="thin">
        <color indexed="8"/>
      </left>
      <right style="thin">
        <color indexed="64"/>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top style="thin">
        <color indexed="8"/>
      </top>
      <bottom style="thin">
        <color indexed="64"/>
      </bottom>
      <diagonal/>
    </border>
    <border>
      <left style="thick">
        <color indexed="14"/>
      </left>
      <right style="thin">
        <color indexed="64"/>
      </right>
      <top style="thick">
        <color indexed="14"/>
      </top>
      <bottom style="thick">
        <color indexed="14"/>
      </bottom>
      <diagonal/>
    </border>
    <border>
      <left style="thin">
        <color indexed="64"/>
      </left>
      <right style="thick">
        <color indexed="14"/>
      </right>
      <top style="thick">
        <color indexed="14"/>
      </top>
      <bottom style="thick">
        <color indexed="14"/>
      </bottom>
      <diagonal/>
    </border>
    <border>
      <left style="thin">
        <color indexed="64"/>
      </left>
      <right style="double">
        <color indexed="64"/>
      </right>
      <top/>
      <bottom style="thin">
        <color indexed="64"/>
      </bottom>
      <diagonal/>
    </border>
    <border>
      <left style="thick">
        <color indexed="20"/>
      </left>
      <right/>
      <top style="thick">
        <color indexed="20"/>
      </top>
      <bottom style="thick">
        <color indexed="20"/>
      </bottom>
      <diagonal/>
    </border>
    <border>
      <left/>
      <right style="thick">
        <color indexed="20"/>
      </right>
      <top style="thick">
        <color indexed="20"/>
      </top>
      <bottom style="thick">
        <color indexed="20"/>
      </bottom>
      <diagonal/>
    </border>
    <border>
      <left style="thick">
        <color indexed="18"/>
      </left>
      <right/>
      <top style="thick">
        <color indexed="18"/>
      </top>
      <bottom style="thick">
        <color indexed="18"/>
      </bottom>
      <diagonal/>
    </border>
    <border>
      <left/>
      <right style="thick">
        <color indexed="18"/>
      </right>
      <top style="thick">
        <color indexed="18"/>
      </top>
      <bottom style="thick">
        <color indexed="18"/>
      </bottom>
      <diagonal/>
    </border>
    <border>
      <left/>
      <right style="double">
        <color indexed="64"/>
      </right>
      <top style="thin">
        <color indexed="64"/>
      </top>
      <bottom style="thin">
        <color indexed="64"/>
      </bottom>
      <diagonal/>
    </border>
    <border>
      <left/>
      <right/>
      <top style="thin">
        <color indexed="64"/>
      </top>
      <bottom style="thick">
        <color indexed="20"/>
      </bottom>
      <diagonal/>
    </border>
    <border>
      <left/>
      <right style="double">
        <color indexed="64"/>
      </right>
      <top/>
      <bottom style="thin">
        <color indexed="64"/>
      </bottom>
      <diagonal/>
    </border>
    <border>
      <left style="thin">
        <color indexed="8"/>
      </left>
      <right/>
      <top style="thin">
        <color indexed="23"/>
      </top>
      <bottom style="thin">
        <color indexed="8"/>
      </bottom>
      <diagonal/>
    </border>
    <border>
      <left/>
      <right style="thin">
        <color indexed="8"/>
      </right>
      <top style="thin">
        <color indexed="23"/>
      </top>
      <bottom style="thin">
        <color indexed="8"/>
      </bottom>
      <diagonal/>
    </border>
    <border>
      <left style="thin">
        <color indexed="8"/>
      </left>
      <right style="thin">
        <color indexed="8"/>
      </right>
      <top/>
      <bottom style="thin">
        <color indexed="8"/>
      </bottom>
      <diagonal/>
    </border>
    <border>
      <left style="thin">
        <color indexed="8"/>
      </left>
      <right/>
      <top style="thin">
        <color indexed="8"/>
      </top>
      <bottom style="thin">
        <color indexed="23"/>
      </bottom>
      <diagonal/>
    </border>
    <border>
      <left/>
      <right style="thin">
        <color indexed="8"/>
      </right>
      <top style="thin">
        <color indexed="8"/>
      </top>
      <bottom style="thin">
        <color indexed="23"/>
      </bottom>
      <diagonal/>
    </border>
    <border>
      <left style="thin">
        <color indexed="64"/>
      </left>
      <right style="thin">
        <color indexed="8"/>
      </right>
      <top style="thin">
        <color indexed="64"/>
      </top>
      <bottom style="thin">
        <color indexed="64"/>
      </bottom>
      <diagonal/>
    </border>
    <border>
      <left style="thin">
        <color indexed="8"/>
      </left>
      <right style="thin">
        <color indexed="64"/>
      </right>
      <top style="thin">
        <color indexed="64"/>
      </top>
      <bottom style="thin">
        <color indexed="64"/>
      </bottom>
      <diagonal/>
    </border>
    <border>
      <left style="thin">
        <color indexed="64"/>
      </left>
      <right style="double">
        <color indexed="8"/>
      </right>
      <top style="thin">
        <color indexed="64"/>
      </top>
      <bottom style="thin">
        <color indexed="64"/>
      </bottom>
      <diagonal/>
    </border>
    <border>
      <left/>
      <right style="thin">
        <color indexed="8"/>
      </right>
      <top style="thin">
        <color indexed="8"/>
      </top>
      <bottom/>
      <diagonal/>
    </border>
    <border>
      <left style="thin">
        <color indexed="64"/>
      </left>
      <right style="thin">
        <color indexed="8"/>
      </right>
      <top style="thin">
        <color indexed="64"/>
      </top>
      <bottom style="thin">
        <color indexed="8"/>
      </bottom>
      <diagonal/>
    </border>
    <border>
      <left style="thin">
        <color indexed="64"/>
      </left>
      <right style="thin">
        <color indexed="8"/>
      </right>
      <top style="thin">
        <color indexed="8"/>
      </top>
      <bottom style="thin">
        <color indexed="23"/>
      </bottom>
      <diagonal/>
    </border>
    <border>
      <left style="thin">
        <color indexed="64"/>
      </left>
      <right style="thin">
        <color indexed="8"/>
      </right>
      <top style="thin">
        <color indexed="8"/>
      </top>
      <bottom style="thin">
        <color indexed="8"/>
      </bottom>
      <diagonal/>
    </border>
    <border>
      <left style="thin">
        <color indexed="64"/>
      </left>
      <right/>
      <top style="thin">
        <color indexed="8"/>
      </top>
      <bottom style="thin">
        <color indexed="23"/>
      </bottom>
      <diagonal/>
    </border>
    <border>
      <left style="thin">
        <color indexed="64"/>
      </left>
      <right style="thin">
        <color indexed="8"/>
      </right>
      <top style="thin">
        <color indexed="8"/>
      </top>
      <bottom style="thin">
        <color indexed="64"/>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hair">
        <color indexed="8"/>
      </left>
      <right style="hair">
        <color indexed="8"/>
      </right>
      <top style="hair">
        <color indexed="8"/>
      </top>
      <bottom/>
      <diagonal/>
    </border>
    <border>
      <left style="thin">
        <color indexed="8"/>
      </left>
      <right style="thin">
        <color indexed="8"/>
      </right>
      <top/>
      <bottom/>
      <diagonal/>
    </border>
  </borders>
  <cellStyleXfs count="3">
    <xf numFmtId="0" fontId="0" fillId="0" borderId="0"/>
    <xf numFmtId="0" fontId="10" fillId="0" borderId="0" applyNumberFormat="0" applyFill="0" applyBorder="0" applyAlignment="0" applyProtection="0"/>
    <xf numFmtId="0" fontId="1" fillId="0" borderId="0"/>
  </cellStyleXfs>
  <cellXfs count="683">
    <xf numFmtId="0" fontId="0" fillId="0" borderId="0" xfId="0"/>
    <xf numFmtId="0" fontId="0" fillId="0" borderId="0" xfId="0" applyAlignment="1">
      <alignment vertical="center"/>
    </xf>
    <xf numFmtId="0" fontId="2" fillId="0" borderId="0" xfId="0" applyFont="1"/>
    <xf numFmtId="0" fontId="2" fillId="0" borderId="0" xfId="0" applyFont="1" applyAlignment="1">
      <alignment horizontal="center" vertical="center"/>
    </xf>
    <xf numFmtId="0" fontId="2" fillId="0" borderId="0" xfId="0" applyFont="1" applyAlignment="1">
      <alignment vertical="center"/>
    </xf>
    <xf numFmtId="0" fontId="0" fillId="0" borderId="0" xfId="0" applyAlignment="1">
      <alignment horizontal="center" vertical="center"/>
    </xf>
    <xf numFmtId="0" fontId="2" fillId="0" borderId="0" xfId="0" applyFont="1" applyAlignment="1">
      <alignment horizontal="center"/>
    </xf>
    <xf numFmtId="2" fontId="0" fillId="0" borderId="0" xfId="0" applyNumberFormat="1" applyAlignment="1">
      <alignment horizontal="center"/>
    </xf>
    <xf numFmtId="2" fontId="7" fillId="0" borderId="0" xfId="0" applyNumberFormat="1" applyFont="1" applyAlignment="1">
      <alignment horizontal="center"/>
    </xf>
    <xf numFmtId="2" fontId="0" fillId="2" borderId="0" xfId="0" applyNumberFormat="1" applyFill="1" applyAlignment="1">
      <alignment horizontal="center"/>
    </xf>
    <xf numFmtId="0" fontId="7" fillId="0" borderId="0" xfId="0" applyFont="1" applyAlignment="1">
      <alignment horizontal="center"/>
    </xf>
    <xf numFmtId="0" fontId="7" fillId="0" borderId="1" xfId="0" applyFont="1" applyBorder="1" applyAlignment="1">
      <alignment horizontal="center"/>
    </xf>
    <xf numFmtId="0" fontId="0" fillId="0" borderId="0" xfId="0" applyAlignment="1">
      <alignment horizontal="center"/>
    </xf>
    <xf numFmtId="0" fontId="6" fillId="0" borderId="0" xfId="0" applyFont="1"/>
    <xf numFmtId="0" fontId="9" fillId="0" borderId="0" xfId="0" applyFont="1"/>
    <xf numFmtId="0" fontId="10" fillId="0" borderId="0" xfId="1" applyNumberFormat="1" applyFill="1" applyBorder="1" applyAlignment="1" applyProtection="1"/>
    <xf numFmtId="14" fontId="0" fillId="0" borderId="0" xfId="0" applyNumberFormat="1" applyAlignment="1">
      <alignment horizontal="left"/>
    </xf>
    <xf numFmtId="171" fontId="2" fillId="3" borderId="2" xfId="0" applyNumberFormat="1" applyFont="1" applyFill="1" applyBorder="1" applyAlignment="1" applyProtection="1">
      <alignment horizontal="center" vertical="center"/>
      <protection locked="0"/>
    </xf>
    <xf numFmtId="0" fontId="16" fillId="0" borderId="0" xfId="0" applyFont="1" applyAlignment="1">
      <alignment vertical="center"/>
    </xf>
    <xf numFmtId="0" fontId="2" fillId="0" borderId="3" xfId="2" applyFont="1" applyBorder="1"/>
    <xf numFmtId="0" fontId="2" fillId="0" borderId="4" xfId="2" applyFont="1" applyBorder="1"/>
    <xf numFmtId="0" fontId="2" fillId="0" borderId="4" xfId="2" applyFont="1" applyBorder="1" applyAlignment="1">
      <alignment horizontal="center"/>
    </xf>
    <xf numFmtId="0" fontId="15" fillId="0" borderId="4" xfId="2" applyFont="1" applyBorder="1" applyProtection="1">
      <protection hidden="1"/>
    </xf>
    <xf numFmtId="0" fontId="1" fillId="0" borderId="5" xfId="2" applyBorder="1"/>
    <xf numFmtId="0" fontId="2" fillId="0" borderId="0" xfId="2" applyFont="1"/>
    <xf numFmtId="0" fontId="2" fillId="0" borderId="6" xfId="2" applyFont="1" applyBorder="1"/>
    <xf numFmtId="0" fontId="15" fillId="0" borderId="0" xfId="2" applyFont="1" applyProtection="1">
      <protection hidden="1"/>
    </xf>
    <xf numFmtId="0" fontId="1" fillId="0" borderId="7" xfId="2" applyBorder="1"/>
    <xf numFmtId="0" fontId="4" fillId="0" borderId="0" xfId="2" applyFont="1"/>
    <xf numFmtId="0" fontId="2" fillId="0" borderId="7" xfId="2" applyFont="1" applyBorder="1"/>
    <xf numFmtId="0" fontId="2" fillId="0" borderId="0" xfId="2" applyFont="1" applyAlignment="1" applyProtection="1">
      <alignment horizontal="center"/>
      <protection hidden="1"/>
    </xf>
    <xf numFmtId="0" fontId="2" fillId="0" borderId="0" xfId="2" applyFont="1" applyAlignment="1">
      <alignment horizontal="center"/>
    </xf>
    <xf numFmtId="0" fontId="16" fillId="0" borderId="0" xfId="2" applyFont="1"/>
    <xf numFmtId="0" fontId="2" fillId="0" borderId="0" xfId="2" applyFont="1" applyProtection="1">
      <protection hidden="1"/>
    </xf>
    <xf numFmtId="0" fontId="15" fillId="4" borderId="8" xfId="2" applyFont="1" applyFill="1" applyBorder="1" applyAlignment="1" applyProtection="1">
      <alignment horizontal="center"/>
      <protection locked="0"/>
    </xf>
    <xf numFmtId="177" fontId="2" fillId="4" borderId="2" xfId="2" applyNumberFormat="1" applyFont="1" applyFill="1" applyBorder="1" applyAlignment="1" applyProtection="1">
      <alignment horizontal="center"/>
      <protection locked="0"/>
    </xf>
    <xf numFmtId="0" fontId="2" fillId="4" borderId="2" xfId="2" applyFont="1" applyFill="1" applyBorder="1" applyAlignment="1" applyProtection="1">
      <alignment horizontal="center"/>
      <protection locked="0"/>
    </xf>
    <xf numFmtId="0" fontId="16" fillId="0" borderId="0" xfId="2" applyFont="1" applyProtection="1">
      <protection hidden="1"/>
    </xf>
    <xf numFmtId="0" fontId="15" fillId="0" borderId="0" xfId="2" applyFont="1"/>
    <xf numFmtId="14" fontId="15" fillId="0" borderId="0" xfId="2" applyNumberFormat="1" applyFont="1" applyAlignment="1" applyProtection="1">
      <alignment horizontal="center"/>
      <protection hidden="1"/>
    </xf>
    <xf numFmtId="0" fontId="2" fillId="0" borderId="9" xfId="2" applyFont="1" applyBorder="1"/>
    <xf numFmtId="0" fontId="2" fillId="0" borderId="10" xfId="2" applyFont="1" applyBorder="1" applyAlignment="1" applyProtection="1">
      <alignment horizontal="center"/>
      <protection locked="0"/>
    </xf>
    <xf numFmtId="0" fontId="2" fillId="0" borderId="10" xfId="2" applyFont="1" applyBorder="1" applyProtection="1">
      <protection locked="0"/>
    </xf>
    <xf numFmtId="0" fontId="2" fillId="0" borderId="0" xfId="2" applyFont="1" applyProtection="1">
      <protection locked="0"/>
    </xf>
    <xf numFmtId="0" fontId="2" fillId="0" borderId="0" xfId="2" applyFont="1" applyAlignment="1" applyProtection="1">
      <alignment horizontal="center"/>
      <protection locked="0"/>
    </xf>
    <xf numFmtId="0" fontId="15" fillId="0" borderId="0" xfId="2" applyFont="1" applyAlignment="1" applyProtection="1">
      <alignment horizontal="center"/>
      <protection hidden="1"/>
    </xf>
    <xf numFmtId="1" fontId="15" fillId="0" borderId="0" xfId="2" applyNumberFormat="1" applyFont="1" applyAlignment="1" applyProtection="1">
      <alignment horizontal="center"/>
      <protection hidden="1"/>
    </xf>
    <xf numFmtId="0" fontId="0" fillId="0" borderId="0" xfId="0" applyAlignment="1">
      <alignment horizontal="left"/>
    </xf>
    <xf numFmtId="0" fontId="15" fillId="0" borderId="0" xfId="0" applyFont="1"/>
    <xf numFmtId="0" fontId="26" fillId="0" borderId="0" xfId="0" applyFont="1"/>
    <xf numFmtId="14" fontId="0" fillId="0" borderId="0" xfId="0" applyNumberFormat="1" applyAlignment="1">
      <alignment horizontal="center" vertical="center"/>
    </xf>
    <xf numFmtId="0" fontId="2" fillId="0" borderId="3" xfId="0" applyFont="1" applyBorder="1"/>
    <xf numFmtId="0" fontId="2" fillId="0" borderId="4" xfId="0" applyFont="1" applyBorder="1"/>
    <xf numFmtId="0" fontId="2" fillId="0" borderId="4" xfId="0" applyFont="1" applyBorder="1" applyAlignment="1">
      <alignment horizontal="center"/>
    </xf>
    <xf numFmtId="0" fontId="0" fillId="0" borderId="4" xfId="0" applyBorder="1" applyAlignment="1">
      <alignment vertical="center"/>
    </xf>
    <xf numFmtId="0" fontId="0" fillId="0" borderId="5" xfId="0" applyBorder="1" applyAlignment="1">
      <alignment vertical="center"/>
    </xf>
    <xf numFmtId="0" fontId="2" fillId="0" borderId="6" xfId="0" applyFont="1" applyBorder="1"/>
    <xf numFmtId="0" fontId="2" fillId="0" borderId="7" xfId="0" applyFont="1" applyBorder="1" applyAlignment="1">
      <alignment vertical="center"/>
    </xf>
    <xf numFmtId="0" fontId="0" fillId="0" borderId="7" xfId="0" applyBorder="1" applyAlignment="1">
      <alignment vertical="center"/>
    </xf>
    <xf numFmtId="0" fontId="0" fillId="0" borderId="6" xfId="0" applyBorder="1" applyAlignment="1">
      <alignment vertical="center"/>
    </xf>
    <xf numFmtId="0" fontId="0" fillId="0" borderId="9" xfId="0" applyBorder="1" applyAlignment="1">
      <alignment vertical="center"/>
    </xf>
    <xf numFmtId="0" fontId="0" fillId="0" borderId="10" xfId="0" applyBorder="1" applyAlignment="1" applyProtection="1">
      <alignment vertical="center"/>
      <protection locked="0"/>
    </xf>
    <xf numFmtId="0" fontId="0" fillId="0" borderId="0" xfId="0" applyAlignment="1" applyProtection="1">
      <alignment vertical="center"/>
      <protection hidden="1"/>
    </xf>
    <xf numFmtId="169" fontId="0" fillId="0" borderId="0" xfId="0" applyNumberFormat="1" applyAlignment="1" applyProtection="1">
      <alignment vertical="center"/>
      <protection hidden="1"/>
    </xf>
    <xf numFmtId="164" fontId="0" fillId="3" borderId="11" xfId="0" applyNumberFormat="1" applyFill="1" applyBorder="1" applyAlignment="1">
      <alignment horizontal="center"/>
    </xf>
    <xf numFmtId="178" fontId="0" fillId="3" borderId="11" xfId="0" applyNumberFormat="1" applyFill="1" applyBorder="1" applyAlignment="1">
      <alignment horizontal="center"/>
    </xf>
    <xf numFmtId="0" fontId="0" fillId="3" borderId="11" xfId="0" applyFill="1" applyBorder="1" applyAlignment="1">
      <alignment horizontal="center"/>
    </xf>
    <xf numFmtId="0" fontId="15" fillId="0" borderId="10" xfId="2" applyFont="1" applyBorder="1" applyProtection="1">
      <protection locked="0"/>
    </xf>
    <xf numFmtId="0" fontId="10" fillId="0" borderId="0" xfId="1"/>
    <xf numFmtId="0" fontId="2" fillId="0" borderId="12" xfId="0" applyFont="1" applyBorder="1" applyAlignment="1">
      <alignment horizontal="center" vertical="center"/>
    </xf>
    <xf numFmtId="0" fontId="2" fillId="0" borderId="12" xfId="0" applyFont="1"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65" fontId="0" fillId="0" borderId="0" xfId="0" applyNumberFormat="1" applyAlignment="1">
      <alignment horizontal="center"/>
    </xf>
    <xf numFmtId="0" fontId="0" fillId="0" borderId="9" xfId="0" applyBorder="1"/>
    <xf numFmtId="0" fontId="0" fillId="0" borderId="10" xfId="0" applyBorder="1"/>
    <xf numFmtId="0" fontId="0" fillId="0" borderId="13" xfId="0" applyBorder="1"/>
    <xf numFmtId="1" fontId="0" fillId="0" borderId="0" xfId="0" applyNumberFormat="1" applyAlignment="1">
      <alignment horizontal="center"/>
    </xf>
    <xf numFmtId="165" fontId="0" fillId="0" borderId="0" xfId="0" applyNumberFormat="1" applyAlignment="1">
      <alignment horizontal="center" vertical="center"/>
    </xf>
    <xf numFmtId="1" fontId="0" fillId="0" borderId="0" xfId="0" applyNumberFormat="1" applyAlignment="1">
      <alignment horizontal="center" vertical="center"/>
    </xf>
    <xf numFmtId="182" fontId="2" fillId="0" borderId="12" xfId="0" applyNumberFormat="1" applyFont="1" applyBorder="1" applyAlignment="1">
      <alignment horizontal="center"/>
    </xf>
    <xf numFmtId="1" fontId="2" fillId="0" borderId="12" xfId="0" applyNumberFormat="1" applyFont="1" applyBorder="1" applyAlignment="1">
      <alignment horizontal="center"/>
    </xf>
    <xf numFmtId="165" fontId="2" fillId="0" borderId="12" xfId="0" applyNumberFormat="1" applyFont="1" applyBorder="1" applyAlignment="1">
      <alignment horizontal="center" vertical="center"/>
    </xf>
    <xf numFmtId="165" fontId="2" fillId="0" borderId="12" xfId="0" applyNumberFormat="1" applyFont="1" applyBorder="1" applyAlignment="1">
      <alignment horizontal="center"/>
    </xf>
    <xf numFmtId="0" fontId="0" fillId="0" borderId="0" xfId="2" applyFont="1" applyAlignment="1" applyProtection="1">
      <alignment horizontal="center"/>
      <protection hidden="1"/>
    </xf>
    <xf numFmtId="0" fontId="8" fillId="0" borderId="4" xfId="2" applyFont="1" applyBorder="1"/>
    <xf numFmtId="0" fontId="8" fillId="0" borderId="0" xfId="2" applyFont="1"/>
    <xf numFmtId="0" fontId="8" fillId="0" borderId="0" xfId="2" applyFont="1" applyProtection="1">
      <protection hidden="1"/>
    </xf>
    <xf numFmtId="0" fontId="8" fillId="0" borderId="10" xfId="2" applyFont="1" applyBorder="1" applyProtection="1">
      <protection locked="0"/>
    </xf>
    <xf numFmtId="0" fontId="8" fillId="0" borderId="0" xfId="2" applyFont="1" applyAlignment="1" applyProtection="1">
      <alignment horizontal="center"/>
      <protection hidden="1"/>
    </xf>
    <xf numFmtId="1" fontId="8" fillId="0" borderId="0" xfId="2" applyNumberFormat="1" applyFont="1" applyAlignment="1" applyProtection="1">
      <alignment horizontal="center"/>
      <protection hidden="1"/>
    </xf>
    <xf numFmtId="0" fontId="31" fillId="0" borderId="0" xfId="2" applyFont="1"/>
    <xf numFmtId="0" fontId="0" fillId="0" borderId="0" xfId="0" applyProtection="1">
      <protection locked="0"/>
    </xf>
    <xf numFmtId="165" fontId="2" fillId="5" borderId="14" xfId="2" applyNumberFormat="1" applyFont="1" applyFill="1" applyBorder="1" applyAlignment="1">
      <alignment horizontal="center"/>
    </xf>
    <xf numFmtId="180" fontId="2" fillId="5" borderId="2" xfId="2" applyNumberFormat="1" applyFont="1" applyFill="1" applyBorder="1" applyAlignment="1">
      <alignment horizontal="center"/>
    </xf>
    <xf numFmtId="180" fontId="2" fillId="5" borderId="14" xfId="2" applyNumberFormat="1" applyFont="1" applyFill="1" applyBorder="1" applyAlignment="1">
      <alignment horizontal="center"/>
    </xf>
    <xf numFmtId="165" fontId="2" fillId="5" borderId="2" xfId="2" applyNumberFormat="1" applyFont="1" applyFill="1" applyBorder="1" applyAlignment="1">
      <alignment horizontal="center"/>
    </xf>
    <xf numFmtId="181" fontId="28" fillId="5" borderId="2" xfId="2" applyNumberFormat="1" applyFont="1" applyFill="1" applyBorder="1" applyAlignment="1">
      <alignment horizontal="center"/>
    </xf>
    <xf numFmtId="181" fontId="28" fillId="5" borderId="14" xfId="2" applyNumberFormat="1" applyFont="1" applyFill="1" applyBorder="1" applyAlignment="1">
      <alignment horizontal="center"/>
    </xf>
    <xf numFmtId="0" fontId="2" fillId="5" borderId="2" xfId="2" applyFont="1" applyFill="1" applyBorder="1" applyAlignment="1" applyProtection="1">
      <alignment horizontal="center"/>
      <protection hidden="1"/>
    </xf>
    <xf numFmtId="0" fontId="28" fillId="5" borderId="2" xfId="2" applyFont="1" applyFill="1" applyBorder="1" applyAlignment="1" applyProtection="1">
      <alignment horizontal="center"/>
      <protection hidden="1"/>
    </xf>
    <xf numFmtId="0" fontId="32" fillId="5" borderId="2" xfId="2" applyFont="1" applyFill="1" applyBorder="1" applyAlignment="1" applyProtection="1">
      <alignment horizontal="center"/>
      <protection hidden="1"/>
    </xf>
    <xf numFmtId="0" fontId="2" fillId="6" borderId="2" xfId="2" applyFont="1" applyFill="1" applyBorder="1" applyAlignment="1">
      <alignment horizontal="center"/>
    </xf>
    <xf numFmtId="0" fontId="28" fillId="6" borderId="2" xfId="2" applyFont="1" applyFill="1" applyBorder="1" applyAlignment="1">
      <alignment horizontal="center"/>
    </xf>
    <xf numFmtId="0" fontId="33" fillId="0" borderId="0" xfId="2" applyFont="1"/>
    <xf numFmtId="0" fontId="33" fillId="6" borderId="2" xfId="2" applyFont="1" applyFill="1" applyBorder="1" applyAlignment="1" applyProtection="1">
      <alignment horizontal="center"/>
      <protection hidden="1"/>
    </xf>
    <xf numFmtId="176" fontId="33" fillId="5" borderId="2" xfId="2" applyNumberFormat="1" applyFont="1" applyFill="1" applyBorder="1" applyAlignment="1" applyProtection="1">
      <alignment horizontal="center"/>
      <protection hidden="1"/>
    </xf>
    <xf numFmtId="0" fontId="33" fillId="5" borderId="2" xfId="2" applyFont="1" applyFill="1" applyBorder="1" applyAlignment="1">
      <alignment horizontal="center"/>
    </xf>
    <xf numFmtId="177" fontId="33" fillId="5" borderId="2" xfId="2" applyNumberFormat="1" applyFont="1" applyFill="1" applyBorder="1" applyAlignment="1" applyProtection="1">
      <alignment horizontal="center"/>
      <protection hidden="1"/>
    </xf>
    <xf numFmtId="176" fontId="33" fillId="5" borderId="2" xfId="2" applyNumberFormat="1" applyFont="1" applyFill="1" applyBorder="1" applyAlignment="1">
      <alignment horizontal="center"/>
    </xf>
    <xf numFmtId="178" fontId="33" fillId="5" borderId="2" xfId="2" applyNumberFormat="1" applyFont="1" applyFill="1" applyBorder="1" applyAlignment="1" applyProtection="1">
      <alignment horizontal="center"/>
      <protection hidden="1"/>
    </xf>
    <xf numFmtId="0" fontId="33" fillId="0" borderId="0" xfId="2" applyFont="1" applyProtection="1">
      <protection hidden="1"/>
    </xf>
    <xf numFmtId="2" fontId="0" fillId="7" borderId="15" xfId="0" applyNumberFormat="1" applyFill="1" applyBorder="1" applyAlignment="1">
      <alignment horizontal="center" vertical="center"/>
    </xf>
    <xf numFmtId="165" fontId="0" fillId="7" borderId="15" xfId="0" applyNumberFormat="1" applyFill="1" applyBorder="1" applyAlignment="1">
      <alignment horizontal="center" vertical="center"/>
    </xf>
    <xf numFmtId="1" fontId="2" fillId="7" borderId="15" xfId="0" applyNumberFormat="1" applyFont="1" applyFill="1" applyBorder="1" applyAlignment="1">
      <alignment horizontal="center" vertical="center"/>
    </xf>
    <xf numFmtId="165" fontId="2" fillId="7" borderId="15" xfId="0" applyNumberFormat="1" applyFont="1" applyFill="1" applyBorder="1" applyAlignment="1">
      <alignment horizontal="center" vertical="center"/>
    </xf>
    <xf numFmtId="1" fontId="0" fillId="7" borderId="15" xfId="0" applyNumberFormat="1" applyFill="1" applyBorder="1" applyAlignment="1">
      <alignment horizontal="center" vertical="center"/>
    </xf>
    <xf numFmtId="1" fontId="15" fillId="7" borderId="15" xfId="0" applyNumberFormat="1" applyFont="1" applyFill="1" applyBorder="1" applyAlignment="1">
      <alignment horizontal="center" vertical="center"/>
    </xf>
    <xf numFmtId="165" fontId="15" fillId="7" borderId="15" xfId="0" applyNumberFormat="1" applyFont="1" applyFill="1" applyBorder="1" applyAlignment="1">
      <alignment horizontal="center" vertical="center"/>
    </xf>
    <xf numFmtId="165" fontId="0" fillId="7" borderId="16" xfId="0" applyNumberFormat="1" applyFill="1" applyBorder="1" applyAlignment="1">
      <alignment horizontal="center" vertical="center"/>
    </xf>
    <xf numFmtId="1" fontId="2" fillId="7" borderId="16" xfId="0" applyNumberFormat="1" applyFont="1" applyFill="1" applyBorder="1" applyAlignment="1">
      <alignment horizontal="center" vertical="center"/>
    </xf>
    <xf numFmtId="165" fontId="15" fillId="7" borderId="16" xfId="0" applyNumberFormat="1" applyFont="1" applyFill="1" applyBorder="1" applyAlignment="1">
      <alignment horizontal="center" vertical="center"/>
    </xf>
    <xf numFmtId="1" fontId="2" fillId="7" borderId="17" xfId="0" applyNumberFormat="1" applyFont="1" applyFill="1" applyBorder="1" applyAlignment="1">
      <alignment horizontal="center" vertical="center"/>
    </xf>
    <xf numFmtId="1" fontId="0" fillId="7" borderId="17" xfId="0" applyNumberFormat="1" applyFill="1" applyBorder="1" applyAlignment="1">
      <alignment horizontal="center" vertical="center"/>
    </xf>
    <xf numFmtId="0" fontId="0" fillId="7" borderId="17" xfId="0" applyFill="1" applyBorder="1" applyAlignment="1">
      <alignment horizontal="center" vertical="center"/>
    </xf>
    <xf numFmtId="165" fontId="0" fillId="7" borderId="17" xfId="0" applyNumberFormat="1" applyFill="1" applyBorder="1" applyAlignment="1">
      <alignment horizontal="center" vertical="center"/>
    </xf>
    <xf numFmtId="1" fontId="15" fillId="7" borderId="16" xfId="0" applyNumberFormat="1" applyFont="1" applyFill="1" applyBorder="1" applyAlignment="1">
      <alignment horizontal="center" vertical="center"/>
    </xf>
    <xf numFmtId="1" fontId="15" fillId="7" borderId="17" xfId="0" applyNumberFormat="1" applyFont="1" applyFill="1" applyBorder="1" applyAlignment="1">
      <alignment horizontal="center" vertical="center"/>
    </xf>
    <xf numFmtId="165" fontId="2" fillId="7" borderId="17" xfId="0" applyNumberFormat="1" applyFont="1" applyFill="1" applyBorder="1" applyAlignment="1">
      <alignment horizontal="center" vertical="center"/>
    </xf>
    <xf numFmtId="173" fontId="2" fillId="7" borderId="2" xfId="0" applyNumberFormat="1" applyFont="1" applyFill="1" applyBorder="1" applyAlignment="1">
      <alignment horizontal="center" vertical="center"/>
    </xf>
    <xf numFmtId="0" fontId="2" fillId="8" borderId="18" xfId="0" applyFont="1" applyFill="1" applyBorder="1" applyAlignment="1" applyProtection="1">
      <alignment horizontal="center" vertical="center"/>
      <protection hidden="1"/>
    </xf>
    <xf numFmtId="0" fontId="2" fillId="9" borderId="15" xfId="0" applyFont="1" applyFill="1" applyBorder="1" applyAlignment="1" applyProtection="1">
      <alignment horizontal="center" vertical="center"/>
      <protection hidden="1"/>
    </xf>
    <xf numFmtId="0" fontId="5" fillId="9" borderId="15" xfId="0" applyFont="1" applyFill="1" applyBorder="1" applyAlignment="1" applyProtection="1">
      <alignment horizontal="center" vertical="center"/>
      <protection hidden="1"/>
    </xf>
    <xf numFmtId="0" fontId="0" fillId="9" borderId="15" xfId="0" applyFill="1" applyBorder="1" applyAlignment="1" applyProtection="1">
      <alignment horizontal="center" vertical="center"/>
      <protection hidden="1"/>
    </xf>
    <xf numFmtId="0" fontId="2" fillId="6" borderId="2" xfId="2" applyFont="1" applyFill="1" applyBorder="1" applyAlignment="1" applyProtection="1">
      <alignment horizontal="center"/>
      <protection hidden="1"/>
    </xf>
    <xf numFmtId="0" fontId="2" fillId="10" borderId="2" xfId="2" applyFont="1" applyFill="1" applyBorder="1" applyAlignment="1" applyProtection="1">
      <alignment horizontal="center" vertical="center"/>
      <protection hidden="1"/>
    </xf>
    <xf numFmtId="0" fontId="2" fillId="10" borderId="2" xfId="2" applyFont="1" applyFill="1" applyBorder="1" applyAlignment="1" applyProtection="1">
      <alignment horizontal="center"/>
      <protection hidden="1"/>
    </xf>
    <xf numFmtId="0" fontId="2" fillId="11" borderId="15" xfId="0" applyFont="1" applyFill="1" applyBorder="1" applyAlignment="1" applyProtection="1">
      <alignment horizontal="center" vertical="center"/>
      <protection hidden="1"/>
    </xf>
    <xf numFmtId="0" fontId="2" fillId="11" borderId="18" xfId="0" applyFont="1" applyFill="1" applyBorder="1" applyAlignment="1" applyProtection="1">
      <alignment horizontal="center" vertical="center"/>
      <protection hidden="1"/>
    </xf>
    <xf numFmtId="0" fontId="13" fillId="12" borderId="2" xfId="0" applyFont="1" applyFill="1" applyBorder="1" applyAlignment="1" applyProtection="1">
      <alignment horizontal="center"/>
      <protection hidden="1"/>
    </xf>
    <xf numFmtId="0" fontId="2" fillId="13" borderId="2" xfId="0" applyFont="1" applyFill="1" applyBorder="1" applyAlignment="1" applyProtection="1">
      <alignment horizontal="center" vertical="center"/>
      <protection locked="0"/>
    </xf>
    <xf numFmtId="174" fontId="2" fillId="13" borderId="2" xfId="0" applyNumberFormat="1" applyFont="1" applyFill="1" applyBorder="1" applyAlignment="1" applyProtection="1">
      <alignment horizontal="center" vertical="center"/>
      <protection locked="0"/>
    </xf>
    <xf numFmtId="178" fontId="14" fillId="14" borderId="2" xfId="2" applyNumberFormat="1" applyFont="1" applyFill="1" applyBorder="1" applyAlignment="1">
      <alignment horizontal="center"/>
    </xf>
    <xf numFmtId="1" fontId="30" fillId="14" borderId="2" xfId="2" applyNumberFormat="1" applyFont="1" applyFill="1" applyBorder="1" applyAlignment="1">
      <alignment horizontal="center"/>
    </xf>
    <xf numFmtId="0" fontId="2" fillId="10" borderId="2" xfId="2" applyFont="1" applyFill="1" applyBorder="1" applyAlignment="1">
      <alignment horizontal="center"/>
    </xf>
    <xf numFmtId="0" fontId="0" fillId="7" borderId="15" xfId="0" applyFill="1" applyBorder="1" applyAlignment="1">
      <alignment horizontal="center" vertical="center"/>
    </xf>
    <xf numFmtId="0" fontId="2" fillId="7" borderId="15" xfId="0" applyFont="1" applyFill="1" applyBorder="1" applyAlignment="1">
      <alignment horizontal="center" vertical="center"/>
    </xf>
    <xf numFmtId="0" fontId="0" fillId="13" borderId="15" xfId="0" applyFill="1" applyBorder="1" applyAlignment="1" applyProtection="1">
      <alignment horizontal="center" vertical="center"/>
      <protection locked="0"/>
    </xf>
    <xf numFmtId="185" fontId="2" fillId="7" borderId="2" xfId="0" applyNumberFormat="1" applyFont="1" applyFill="1" applyBorder="1" applyAlignment="1">
      <alignment horizontal="center" vertical="center"/>
    </xf>
    <xf numFmtId="186" fontId="0" fillId="7" borderId="16" xfId="0" applyNumberFormat="1" applyFill="1" applyBorder="1" applyAlignment="1">
      <alignment horizontal="center" vertical="center"/>
    </xf>
    <xf numFmtId="186" fontId="2" fillId="7" borderId="15" xfId="0" applyNumberFormat="1" applyFont="1" applyFill="1" applyBorder="1" applyAlignment="1">
      <alignment horizontal="center" vertical="center"/>
    </xf>
    <xf numFmtId="175" fontId="15" fillId="7" borderId="16" xfId="0" applyNumberFormat="1" applyFont="1" applyFill="1" applyBorder="1" applyAlignment="1">
      <alignment horizontal="center" vertical="center"/>
    </xf>
    <xf numFmtId="175" fontId="15" fillId="7" borderId="15" xfId="0" applyNumberFormat="1" applyFont="1" applyFill="1" applyBorder="1" applyAlignment="1">
      <alignment horizontal="center" vertical="center"/>
    </xf>
    <xf numFmtId="175" fontId="2" fillId="7" borderId="16" xfId="0" applyNumberFormat="1" applyFont="1" applyFill="1" applyBorder="1" applyAlignment="1">
      <alignment horizontal="center" vertical="center"/>
    </xf>
    <xf numFmtId="175" fontId="2" fillId="7" borderId="15" xfId="0" applyNumberFormat="1" applyFont="1" applyFill="1" applyBorder="1" applyAlignment="1">
      <alignment horizontal="center" vertical="center"/>
    </xf>
    <xf numFmtId="172" fontId="2" fillId="7" borderId="15" xfId="0" applyNumberFormat="1" applyFont="1" applyFill="1" applyBorder="1" applyAlignment="1">
      <alignment horizontal="center" vertical="center"/>
    </xf>
    <xf numFmtId="172" fontId="2" fillId="7" borderId="16" xfId="0" applyNumberFormat="1" applyFont="1" applyFill="1" applyBorder="1" applyAlignment="1">
      <alignment horizontal="center" vertical="center"/>
    </xf>
    <xf numFmtId="172" fontId="15" fillId="7" borderId="15" xfId="0" applyNumberFormat="1" applyFont="1" applyFill="1" applyBorder="1" applyAlignment="1">
      <alignment horizontal="center" vertical="center"/>
    </xf>
    <xf numFmtId="0" fontId="0" fillId="0" borderId="19"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2" xfId="0" applyBorder="1" applyAlignment="1">
      <alignment vertical="center"/>
    </xf>
    <xf numFmtId="0" fontId="0" fillId="0" borderId="23" xfId="0" applyBorder="1" applyAlignment="1">
      <alignment vertical="center"/>
    </xf>
    <xf numFmtId="0" fontId="2" fillId="11" borderId="24" xfId="0" applyFont="1" applyFill="1" applyBorder="1" applyAlignment="1" applyProtection="1">
      <alignment horizontal="center" vertical="center"/>
      <protection hidden="1"/>
    </xf>
    <xf numFmtId="178" fontId="2" fillId="3" borderId="25" xfId="0" applyNumberFormat="1" applyFont="1" applyFill="1" applyBorder="1" applyAlignment="1" applyProtection="1">
      <alignment horizontal="center" vertical="center"/>
      <protection locked="0"/>
    </xf>
    <xf numFmtId="178" fontId="2" fillId="3" borderId="26" xfId="0" applyNumberFormat="1" applyFont="1" applyFill="1" applyBorder="1" applyAlignment="1" applyProtection="1">
      <alignment horizontal="center" vertical="center"/>
      <protection locked="0"/>
    </xf>
    <xf numFmtId="0" fontId="2" fillId="8" borderId="24" xfId="0" applyFont="1" applyFill="1" applyBorder="1" applyAlignment="1" applyProtection="1">
      <alignment horizontal="center" vertical="center"/>
      <protection hidden="1"/>
    </xf>
    <xf numFmtId="0" fontId="2" fillId="9" borderId="27" xfId="0" applyFont="1" applyFill="1" applyBorder="1" applyAlignment="1" applyProtection="1">
      <alignment horizontal="center" vertical="center"/>
      <protection hidden="1"/>
    </xf>
    <xf numFmtId="0" fontId="0" fillId="9" borderId="27" xfId="0" applyFill="1" applyBorder="1" applyAlignment="1" applyProtection="1">
      <alignment horizontal="center" vertical="center"/>
      <protection hidden="1"/>
    </xf>
    <xf numFmtId="0" fontId="2" fillId="0" borderId="21" xfId="0" applyFont="1" applyBorder="1" applyAlignment="1">
      <alignment vertical="center"/>
    </xf>
    <xf numFmtId="14" fontId="0" fillId="0" borderId="23" xfId="0" applyNumberFormat="1" applyBorder="1" applyAlignment="1">
      <alignment horizontal="center" vertical="center"/>
    </xf>
    <xf numFmtId="189" fontId="2" fillId="7" borderId="25" xfId="0" applyNumberFormat="1" applyFont="1" applyFill="1" applyBorder="1" applyAlignment="1">
      <alignment horizontal="center" vertical="center"/>
    </xf>
    <xf numFmtId="0" fontId="34" fillId="6" borderId="2" xfId="2" applyFont="1" applyFill="1" applyBorder="1" applyAlignment="1" applyProtection="1">
      <alignment horizontal="center"/>
      <protection hidden="1"/>
    </xf>
    <xf numFmtId="178" fontId="34" fillId="5" borderId="2" xfId="2" applyNumberFormat="1" applyFont="1" applyFill="1" applyBorder="1" applyAlignment="1">
      <alignment horizontal="center"/>
    </xf>
    <xf numFmtId="177" fontId="2" fillId="4" borderId="25" xfId="2" applyNumberFormat="1" applyFont="1" applyFill="1" applyBorder="1" applyAlignment="1" applyProtection="1">
      <alignment horizontal="center"/>
      <protection locked="0"/>
    </xf>
    <xf numFmtId="0" fontId="2" fillId="10" borderId="28" xfId="2" applyFont="1" applyFill="1" applyBorder="1" applyAlignment="1" applyProtection="1">
      <alignment horizontal="center"/>
      <protection hidden="1"/>
    </xf>
    <xf numFmtId="0" fontId="2" fillId="10" borderId="29" xfId="2" applyFont="1" applyFill="1" applyBorder="1" applyAlignment="1" applyProtection="1">
      <alignment horizontal="center"/>
      <protection hidden="1"/>
    </xf>
    <xf numFmtId="0" fontId="36" fillId="10" borderId="30" xfId="2" applyFont="1" applyFill="1" applyBorder="1" applyAlignment="1" applyProtection="1">
      <alignment horizontal="center"/>
      <protection hidden="1"/>
    </xf>
    <xf numFmtId="0" fontId="0" fillId="0" borderId="10" xfId="0" applyBorder="1" applyAlignment="1">
      <alignment vertical="center"/>
    </xf>
    <xf numFmtId="0" fontId="15" fillId="0" borderId="10" xfId="2" applyFont="1" applyBorder="1"/>
    <xf numFmtId="0" fontId="15" fillId="0" borderId="31" xfId="2" applyFont="1" applyBorder="1" applyAlignment="1" applyProtection="1">
      <alignment horizontal="center"/>
      <protection hidden="1"/>
    </xf>
    <xf numFmtId="0" fontId="15" fillId="0" borderId="32" xfId="2" applyFont="1" applyBorder="1" applyAlignment="1">
      <alignment horizontal="center"/>
    </xf>
    <xf numFmtId="0" fontId="15" fillId="0" borderId="19" xfId="2" applyFont="1" applyBorder="1" applyAlignment="1" applyProtection="1">
      <alignment horizontal="center"/>
      <protection hidden="1"/>
    </xf>
    <xf numFmtId="0" fontId="15" fillId="0" borderId="20" xfId="2" applyFont="1" applyBorder="1" applyAlignment="1">
      <alignment horizontal="center"/>
    </xf>
    <xf numFmtId="0" fontId="15" fillId="0" borderId="21" xfId="2" applyFont="1" applyBorder="1" applyAlignment="1" applyProtection="1">
      <alignment horizontal="center"/>
      <protection hidden="1"/>
    </xf>
    <xf numFmtId="0" fontId="15" fillId="0" borderId="23" xfId="2" applyFont="1" applyBorder="1" applyAlignment="1">
      <alignment horizontal="center"/>
    </xf>
    <xf numFmtId="0" fontId="15" fillId="0" borderId="20" xfId="2" applyFont="1" applyBorder="1" applyAlignment="1" applyProtection="1">
      <alignment horizontal="center"/>
      <protection hidden="1"/>
    </xf>
    <xf numFmtId="0" fontId="15" fillId="0" borderId="23" xfId="2" applyFont="1" applyBorder="1" applyAlignment="1" applyProtection="1">
      <alignment horizontal="center"/>
      <protection hidden="1"/>
    </xf>
    <xf numFmtId="2" fontId="15" fillId="0" borderId="31" xfId="2" applyNumberFormat="1" applyFont="1" applyBorder="1" applyAlignment="1" applyProtection="1">
      <alignment horizontal="center"/>
      <protection hidden="1"/>
    </xf>
    <xf numFmtId="0" fontId="0" fillId="0" borderId="31" xfId="2" applyFont="1" applyBorder="1" applyAlignment="1" applyProtection="1">
      <alignment horizontal="center"/>
      <protection hidden="1"/>
    </xf>
    <xf numFmtId="0" fontId="0" fillId="0" borderId="33" xfId="2" applyFont="1" applyBorder="1" applyAlignment="1" applyProtection="1">
      <alignment horizontal="center"/>
      <protection hidden="1"/>
    </xf>
    <xf numFmtId="0" fontId="0" fillId="0" borderId="32" xfId="2" applyFont="1" applyBorder="1" applyAlignment="1" applyProtection="1">
      <alignment horizontal="center"/>
      <protection hidden="1"/>
    </xf>
    <xf numFmtId="0" fontId="0" fillId="0" borderId="19" xfId="2" applyFont="1" applyBorder="1" applyAlignment="1" applyProtection="1">
      <alignment horizontal="center"/>
      <protection hidden="1"/>
    </xf>
    <xf numFmtId="0" fontId="15" fillId="0" borderId="22" xfId="2" applyFont="1" applyBorder="1" applyAlignment="1" applyProtection="1">
      <alignment horizontal="center"/>
      <protection hidden="1"/>
    </xf>
    <xf numFmtId="1" fontId="15" fillId="0" borderId="33" xfId="2" applyNumberFormat="1" applyFont="1" applyBorder="1" applyAlignment="1" applyProtection="1">
      <alignment horizontal="center"/>
      <protection hidden="1"/>
    </xf>
    <xf numFmtId="1" fontId="8" fillId="0" borderId="32" xfId="2" applyNumberFormat="1" applyFont="1" applyBorder="1" applyAlignment="1" applyProtection="1">
      <alignment horizontal="center"/>
      <protection hidden="1"/>
    </xf>
    <xf numFmtId="1" fontId="8" fillId="0" borderId="20" xfId="2" applyNumberFormat="1" applyFont="1" applyBorder="1" applyAlignment="1" applyProtection="1">
      <alignment horizontal="center"/>
      <protection hidden="1"/>
    </xf>
    <xf numFmtId="1" fontId="15" fillId="0" borderId="22" xfId="2" applyNumberFormat="1" applyFont="1" applyBorder="1" applyAlignment="1" applyProtection="1">
      <alignment horizontal="center"/>
      <protection hidden="1"/>
    </xf>
    <xf numFmtId="1" fontId="8" fillId="0" borderId="23" xfId="2" applyNumberFormat="1" applyFont="1" applyBorder="1" applyAlignment="1" applyProtection="1">
      <alignment horizontal="center"/>
      <protection hidden="1"/>
    </xf>
    <xf numFmtId="0" fontId="15" fillId="0" borderId="33" xfId="2" applyFont="1" applyBorder="1" applyAlignment="1" applyProtection="1">
      <alignment horizontal="center"/>
      <protection hidden="1"/>
    </xf>
    <xf numFmtId="2" fontId="15" fillId="0" borderId="33" xfId="2" applyNumberFormat="1" applyFont="1" applyBorder="1" applyAlignment="1" applyProtection="1">
      <alignment horizontal="center"/>
      <protection hidden="1"/>
    </xf>
    <xf numFmtId="0" fontId="8" fillId="0" borderId="32" xfId="2" applyFont="1" applyBorder="1" applyAlignment="1" applyProtection="1">
      <alignment horizontal="center"/>
      <protection hidden="1"/>
    </xf>
    <xf numFmtId="0" fontId="8" fillId="0" borderId="20" xfId="2" applyFont="1" applyBorder="1" applyAlignment="1" applyProtection="1">
      <alignment horizontal="center"/>
      <protection hidden="1"/>
    </xf>
    <xf numFmtId="0" fontId="8" fillId="0" borderId="23" xfId="2" applyFont="1" applyBorder="1" applyAlignment="1" applyProtection="1">
      <alignment horizontal="center"/>
      <protection hidden="1"/>
    </xf>
    <xf numFmtId="1" fontId="15" fillId="0" borderId="32" xfId="2" applyNumberFormat="1" applyFont="1" applyBorder="1" applyAlignment="1" applyProtection="1">
      <alignment horizontal="center"/>
      <protection hidden="1"/>
    </xf>
    <xf numFmtId="1" fontId="15" fillId="0" borderId="20" xfId="2" applyNumberFormat="1" applyFont="1" applyBorder="1" applyAlignment="1" applyProtection="1">
      <alignment horizontal="center"/>
      <protection hidden="1"/>
    </xf>
    <xf numFmtId="1" fontId="15" fillId="0" borderId="23" xfId="2" applyNumberFormat="1" applyFont="1" applyBorder="1" applyAlignment="1" applyProtection="1">
      <alignment horizontal="center"/>
      <protection hidden="1"/>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21" xfId="2" applyFont="1" applyBorder="1" applyAlignment="1" applyProtection="1">
      <alignment horizontal="center"/>
      <protection hidden="1"/>
    </xf>
    <xf numFmtId="165" fontId="0" fillId="0" borderId="19" xfId="0" applyNumberFormat="1" applyBorder="1" applyAlignment="1">
      <alignment horizontal="center" vertical="center"/>
    </xf>
    <xf numFmtId="1" fontId="0" fillId="0" borderId="20" xfId="0" applyNumberFormat="1" applyBorder="1" applyAlignment="1">
      <alignment horizontal="center" vertical="center"/>
    </xf>
    <xf numFmtId="165" fontId="0" fillId="0" borderId="21" xfId="0" applyNumberFormat="1" applyBorder="1" applyAlignment="1">
      <alignment horizontal="center" vertical="center"/>
    </xf>
    <xf numFmtId="1" fontId="0" fillId="0" borderId="23" xfId="0" applyNumberFormat="1" applyBorder="1" applyAlignment="1">
      <alignment horizontal="center" vertical="center"/>
    </xf>
    <xf numFmtId="1" fontId="0" fillId="0" borderId="19" xfId="0" applyNumberFormat="1" applyBorder="1" applyAlignment="1">
      <alignment horizontal="center" vertical="center"/>
    </xf>
    <xf numFmtId="1" fontId="0" fillId="0" borderId="21" xfId="0" applyNumberFormat="1" applyBorder="1" applyAlignment="1">
      <alignment horizontal="center" vertical="center"/>
    </xf>
    <xf numFmtId="0" fontId="0" fillId="0" borderId="23" xfId="0" applyBorder="1" applyAlignment="1">
      <alignment horizontal="center" vertical="center"/>
    </xf>
    <xf numFmtId="0" fontId="14" fillId="15" borderId="8" xfId="0" applyFont="1" applyFill="1" applyBorder="1" applyAlignment="1" applyProtection="1">
      <alignment horizontal="center"/>
      <protection locked="0"/>
    </xf>
    <xf numFmtId="0" fontId="0" fillId="0" borderId="0" xfId="0" applyAlignment="1">
      <alignment horizontal="right" vertical="center"/>
    </xf>
    <xf numFmtId="190" fontId="2" fillId="4" borderId="2" xfId="2" applyNumberFormat="1" applyFont="1" applyFill="1" applyBorder="1" applyAlignment="1" applyProtection="1">
      <alignment horizontal="center"/>
      <protection locked="0"/>
    </xf>
    <xf numFmtId="0" fontId="0" fillId="0" borderId="0" xfId="2" applyFont="1"/>
    <xf numFmtId="0" fontId="30" fillId="6" borderId="2" xfId="2" applyFont="1" applyFill="1" applyBorder="1" applyAlignment="1" applyProtection="1">
      <alignment horizontal="center"/>
      <protection hidden="1"/>
    </xf>
    <xf numFmtId="189" fontId="2" fillId="3" borderId="2" xfId="0" applyNumberFormat="1" applyFont="1" applyFill="1" applyBorder="1" applyAlignment="1" applyProtection="1">
      <alignment horizontal="center" vertical="center"/>
      <protection locked="0"/>
    </xf>
    <xf numFmtId="0" fontId="0" fillId="0" borderId="0" xfId="0" applyAlignment="1">
      <alignment horizontal="right"/>
    </xf>
    <xf numFmtId="0" fontId="2" fillId="11" borderId="18" xfId="1" applyFont="1" applyFill="1" applyBorder="1" applyAlignment="1" applyProtection="1">
      <alignment horizontal="center" vertical="center"/>
      <protection hidden="1"/>
    </xf>
    <xf numFmtId="0" fontId="0" fillId="0" borderId="33" xfId="0" applyBorder="1" applyAlignment="1">
      <alignment horizontal="center" vertical="center"/>
    </xf>
    <xf numFmtId="0" fontId="0" fillId="0" borderId="21" xfId="0" applyBorder="1" applyAlignment="1">
      <alignment horizontal="center" vertical="center"/>
    </xf>
    <xf numFmtId="1" fontId="0" fillId="0" borderId="22" xfId="0" applyNumberFormat="1" applyBorder="1" applyAlignment="1">
      <alignment horizontal="center" vertical="center"/>
    </xf>
    <xf numFmtId="0" fontId="0" fillId="0" borderId="19" xfId="0" applyBorder="1" applyAlignment="1">
      <alignment horizontal="center" vertical="center"/>
    </xf>
    <xf numFmtId="0" fontId="0" fillId="0" borderId="31" xfId="0" applyBorder="1" applyAlignment="1">
      <alignment vertical="center"/>
    </xf>
    <xf numFmtId="0" fontId="0" fillId="0" borderId="32" xfId="0" applyBorder="1" applyAlignment="1">
      <alignment horizontal="left" vertical="center"/>
    </xf>
    <xf numFmtId="0" fontId="0" fillId="0" borderId="20" xfId="0" applyBorder="1" applyAlignment="1">
      <alignment horizontal="left" vertical="center"/>
    </xf>
    <xf numFmtId="0" fontId="0" fillId="0" borderId="19" xfId="0" applyBorder="1" applyAlignment="1">
      <alignment horizontal="right" vertical="center"/>
    </xf>
    <xf numFmtId="2" fontId="0" fillId="0" borderId="20" xfId="0" applyNumberFormat="1" applyBorder="1" applyAlignment="1">
      <alignment horizontal="center" vertical="center"/>
    </xf>
    <xf numFmtId="0" fontId="0" fillId="0" borderId="21" xfId="0" applyBorder="1" applyAlignment="1">
      <alignment horizontal="right" vertical="center"/>
    </xf>
    <xf numFmtId="2" fontId="0" fillId="0" borderId="23" xfId="0" applyNumberFormat="1" applyBorder="1" applyAlignment="1">
      <alignment horizontal="center" vertical="center"/>
    </xf>
    <xf numFmtId="0" fontId="0" fillId="0" borderId="31" xfId="0" applyBorder="1" applyAlignment="1">
      <alignment horizontal="right" vertical="center"/>
    </xf>
    <xf numFmtId="2" fontId="0" fillId="0" borderId="32" xfId="0" applyNumberFormat="1" applyBorder="1" applyAlignment="1">
      <alignment horizontal="center" vertical="center"/>
    </xf>
    <xf numFmtId="0" fontId="2" fillId="0" borderId="20" xfId="0" applyFont="1" applyBorder="1" applyAlignment="1">
      <alignment horizontal="center" vertical="center"/>
    </xf>
    <xf numFmtId="1" fontId="2" fillId="0" borderId="0" xfId="0" applyNumberFormat="1" applyFont="1" applyAlignment="1">
      <alignment horizontal="center"/>
    </xf>
    <xf numFmtId="0" fontId="2" fillId="0" borderId="32" xfId="0" applyFont="1" applyBorder="1" applyAlignment="1">
      <alignment horizontal="center"/>
    </xf>
    <xf numFmtId="0" fontId="2" fillId="0" borderId="20" xfId="0" applyFont="1" applyBorder="1" applyAlignment="1">
      <alignment horizontal="center"/>
    </xf>
    <xf numFmtId="1" fontId="2" fillId="0" borderId="23" xfId="0" applyNumberFormat="1" applyFont="1" applyBorder="1" applyAlignment="1">
      <alignment horizontal="center"/>
    </xf>
    <xf numFmtId="0" fontId="2" fillId="0" borderId="33" xfId="0" applyFont="1" applyBorder="1" applyAlignment="1">
      <alignment horizontal="center"/>
    </xf>
    <xf numFmtId="165" fontId="2" fillId="0" borderId="0" xfId="0" applyNumberFormat="1" applyFont="1" applyAlignment="1">
      <alignment horizontal="center" vertical="center"/>
    </xf>
    <xf numFmtId="165" fontId="2" fillId="0" borderId="0" xfId="0" applyNumberFormat="1" applyFont="1" applyAlignment="1">
      <alignment horizontal="center"/>
    </xf>
    <xf numFmtId="0" fontId="2" fillId="0" borderId="33" xfId="0" applyFont="1" applyBorder="1"/>
    <xf numFmtId="165" fontId="2" fillId="0" borderId="33" xfId="0" applyNumberFormat="1" applyFont="1" applyBorder="1" applyAlignment="1">
      <alignment horizontal="center" vertical="center"/>
    </xf>
    <xf numFmtId="165" fontId="2" fillId="0" borderId="32" xfId="0" applyNumberFormat="1" applyFont="1" applyBorder="1" applyAlignment="1">
      <alignment horizontal="center" vertical="center"/>
    </xf>
    <xf numFmtId="0" fontId="2" fillId="0" borderId="20" xfId="0" applyFont="1" applyBorder="1"/>
    <xf numFmtId="165" fontId="2" fillId="0" borderId="20" xfId="0" applyNumberFormat="1" applyFont="1" applyBorder="1" applyAlignment="1">
      <alignment horizontal="center" vertical="center"/>
    </xf>
    <xf numFmtId="165" fontId="2" fillId="0" borderId="20" xfId="0" applyNumberFormat="1" applyFont="1" applyBorder="1" applyAlignment="1">
      <alignment horizontal="center"/>
    </xf>
    <xf numFmtId="0" fontId="2" fillId="0" borderId="22" xfId="0" applyFont="1" applyBorder="1"/>
    <xf numFmtId="165" fontId="2" fillId="0" borderId="22" xfId="0" applyNumberFormat="1" applyFont="1" applyBorder="1" applyAlignment="1">
      <alignment horizontal="center" vertical="center"/>
    </xf>
    <xf numFmtId="165" fontId="2" fillId="0" borderId="23" xfId="0" applyNumberFormat="1" applyFont="1" applyBorder="1" applyAlignment="1">
      <alignment horizontal="center" vertical="center"/>
    </xf>
    <xf numFmtId="165" fontId="0" fillId="0" borderId="0" xfId="0" applyNumberFormat="1" applyAlignment="1">
      <alignment horizontal="left"/>
    </xf>
    <xf numFmtId="0" fontId="2" fillId="4" borderId="0" xfId="0" applyFont="1" applyFill="1" applyAlignment="1" applyProtection="1">
      <alignment horizontal="center" vertical="center"/>
      <protection locked="0"/>
    </xf>
    <xf numFmtId="0" fontId="2" fillId="0" borderId="23" xfId="0" applyFont="1" applyBorder="1" applyAlignment="1">
      <alignment horizontal="center"/>
    </xf>
    <xf numFmtId="0" fontId="0" fillId="0" borderId="33" xfId="0" applyBorder="1" applyAlignment="1">
      <alignment horizontal="center"/>
    </xf>
    <xf numFmtId="0" fontId="0" fillId="0" borderId="32" xfId="0" applyBorder="1" applyAlignment="1">
      <alignment horizontal="center"/>
    </xf>
    <xf numFmtId="1" fontId="2" fillId="0" borderId="22" xfId="0" applyNumberFormat="1" applyFont="1" applyBorder="1" applyAlignment="1">
      <alignment horizontal="center"/>
    </xf>
    <xf numFmtId="165" fontId="2" fillId="0" borderId="23" xfId="0" applyNumberFormat="1" applyFont="1" applyBorder="1" applyAlignment="1">
      <alignment horizontal="center"/>
    </xf>
    <xf numFmtId="0" fontId="0" fillId="0" borderId="33" xfId="0" applyBorder="1"/>
    <xf numFmtId="0" fontId="0" fillId="0" borderId="32" xfId="0" applyBorder="1"/>
    <xf numFmtId="0" fontId="0" fillId="0" borderId="20" xfId="0" applyBorder="1"/>
    <xf numFmtId="0" fontId="2" fillId="4" borderId="20" xfId="0" applyFont="1" applyFill="1" applyBorder="1" applyAlignment="1" applyProtection="1">
      <alignment horizontal="center" vertical="center"/>
      <protection locked="0"/>
    </xf>
    <xf numFmtId="0" fontId="0" fillId="0" borderId="21" xfId="0" applyBorder="1"/>
    <xf numFmtId="0" fontId="0" fillId="0" borderId="22" xfId="0" applyBorder="1"/>
    <xf numFmtId="0" fontId="0" fillId="0" borderId="23" xfId="0" applyBorder="1"/>
    <xf numFmtId="0" fontId="29" fillId="0" borderId="20" xfId="0" applyFont="1" applyBorder="1" applyAlignment="1">
      <alignment horizontal="left"/>
    </xf>
    <xf numFmtId="0" fontId="2" fillId="0" borderId="0" xfId="0" applyFont="1" applyAlignment="1">
      <alignment horizontal="right"/>
    </xf>
    <xf numFmtId="0" fontId="2" fillId="0" borderId="22" xfId="0" applyFont="1" applyBorder="1" applyAlignment="1">
      <alignment horizontal="center"/>
    </xf>
    <xf numFmtId="0" fontId="2" fillId="0" borderId="31"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19" xfId="0" applyFont="1" applyBorder="1" applyAlignment="1">
      <alignment horizontal="center" vertical="center"/>
    </xf>
    <xf numFmtId="0" fontId="2" fillId="4" borderId="23" xfId="0" applyFont="1" applyFill="1" applyBorder="1" applyAlignment="1" applyProtection="1">
      <alignment horizontal="center" vertical="center"/>
      <protection locked="0"/>
    </xf>
    <xf numFmtId="1" fontId="2" fillId="0" borderId="20" xfId="0" applyNumberFormat="1" applyFont="1" applyBorder="1" applyAlignment="1">
      <alignment horizontal="center"/>
    </xf>
    <xf numFmtId="165" fontId="2" fillId="0" borderId="22" xfId="0" applyNumberFormat="1" applyFont="1" applyBorder="1" applyAlignment="1">
      <alignment horizontal="center"/>
    </xf>
    <xf numFmtId="0" fontId="2" fillId="0" borderId="34" xfId="0" applyFont="1" applyBorder="1" applyAlignment="1">
      <alignment horizontal="center"/>
    </xf>
    <xf numFmtId="1" fontId="2" fillId="0" borderId="0" xfId="0" applyNumberFormat="1" applyFont="1" applyAlignment="1">
      <alignment horizontal="center" vertical="center"/>
    </xf>
    <xf numFmtId="1" fontId="2" fillId="0" borderId="20" xfId="0" applyNumberFormat="1" applyFont="1" applyBorder="1" applyAlignment="1">
      <alignment horizontal="center" vertical="center"/>
    </xf>
    <xf numFmtId="0" fontId="2" fillId="0" borderId="35" xfId="0" applyFont="1" applyBorder="1"/>
    <xf numFmtId="1" fontId="2" fillId="0" borderId="35" xfId="0" applyNumberFormat="1" applyFont="1" applyBorder="1" applyAlignment="1">
      <alignment horizontal="center"/>
    </xf>
    <xf numFmtId="0" fontId="2" fillId="0" borderId="35" xfId="0" applyFont="1" applyBorder="1" applyAlignment="1">
      <alignment horizontal="center"/>
    </xf>
    <xf numFmtId="0" fontId="2" fillId="4" borderId="32" xfId="0" applyFont="1" applyFill="1" applyBorder="1" applyAlignment="1" applyProtection="1">
      <alignment horizontal="center" vertical="center"/>
      <protection locked="0"/>
    </xf>
    <xf numFmtId="0" fontId="2" fillId="0" borderId="23" xfId="0" applyFont="1" applyBorder="1"/>
    <xf numFmtId="0" fontId="30" fillId="0" borderId="13" xfId="0" applyFont="1" applyBorder="1" applyAlignment="1">
      <alignment horizontal="right" vertical="center"/>
    </xf>
    <xf numFmtId="0" fontId="30" fillId="0" borderId="13" xfId="2" applyFont="1" applyBorder="1" applyAlignment="1">
      <alignment horizontal="right"/>
    </xf>
    <xf numFmtId="2" fontId="0" fillId="16" borderId="31" xfId="0" applyNumberFormat="1" applyFill="1" applyBorder="1" applyAlignment="1">
      <alignment horizontal="center"/>
    </xf>
    <xf numFmtId="2" fontId="0" fillId="16" borderId="33" xfId="0" applyNumberFormat="1" applyFill="1" applyBorder="1" applyAlignment="1">
      <alignment horizontal="center"/>
    </xf>
    <xf numFmtId="2" fontId="0" fillId="16" borderId="32" xfId="0" applyNumberFormat="1" applyFill="1" applyBorder="1" applyAlignment="1">
      <alignment horizontal="center"/>
    </xf>
    <xf numFmtId="0" fontId="0" fillId="16" borderId="31" xfId="0" applyFill="1" applyBorder="1" applyAlignment="1">
      <alignment horizontal="center"/>
    </xf>
    <xf numFmtId="0" fontId="0" fillId="16" borderId="33" xfId="0" applyFill="1" applyBorder="1" applyAlignment="1">
      <alignment horizontal="center"/>
    </xf>
    <xf numFmtId="0" fontId="0" fillId="16" borderId="32" xfId="0" applyFill="1" applyBorder="1" applyAlignment="1">
      <alignment horizontal="center"/>
    </xf>
    <xf numFmtId="2" fontId="0" fillId="0" borderId="0" xfId="0" applyNumberFormat="1"/>
    <xf numFmtId="2" fontId="0" fillId="0" borderId="0" xfId="0" applyNumberFormat="1" applyAlignment="1">
      <alignment horizontal="left"/>
    </xf>
    <xf numFmtId="2" fontId="9" fillId="0" borderId="0" xfId="0" applyNumberFormat="1" applyFont="1" applyAlignment="1">
      <alignment horizontal="left"/>
    </xf>
    <xf numFmtId="2" fontId="10" fillId="0" borderId="0" xfId="1" applyNumberFormat="1" applyAlignment="1">
      <alignment horizontal="left"/>
    </xf>
    <xf numFmtId="2" fontId="10" fillId="0" borderId="0" xfId="1" applyNumberFormat="1" applyAlignment="1">
      <alignment horizontal="center"/>
    </xf>
    <xf numFmtId="2" fontId="0" fillId="0" borderId="0" xfId="0" quotePrefix="1" applyNumberFormat="1" applyAlignment="1">
      <alignment horizontal="center"/>
    </xf>
    <xf numFmtId="2" fontId="0" fillId="21" borderId="20" xfId="0" applyNumberFormat="1" applyFill="1" applyBorder="1" applyAlignment="1">
      <alignment horizontal="center"/>
    </xf>
    <xf numFmtId="2" fontId="0" fillId="21" borderId="23" xfId="0" applyNumberFormat="1" applyFill="1" applyBorder="1" applyAlignment="1">
      <alignment horizontal="center"/>
    </xf>
    <xf numFmtId="2" fontId="0" fillId="21" borderId="19" xfId="0" applyNumberFormat="1" applyFill="1" applyBorder="1" applyAlignment="1">
      <alignment horizontal="center"/>
    </xf>
    <xf numFmtId="2" fontId="0" fillId="21" borderId="0" xfId="0" applyNumberFormat="1" applyFill="1" applyAlignment="1">
      <alignment horizontal="center"/>
    </xf>
    <xf numFmtId="2" fontId="0" fillId="21" borderId="21" xfId="0" applyNumberFormat="1" applyFill="1" applyBorder="1" applyAlignment="1">
      <alignment horizontal="center"/>
    </xf>
    <xf numFmtId="2" fontId="0" fillId="21" borderId="22" xfId="0" applyNumberFormat="1" applyFill="1" applyBorder="1" applyAlignment="1">
      <alignment horizontal="center"/>
    </xf>
    <xf numFmtId="1" fontId="0" fillId="21" borderId="19" xfId="0" applyNumberFormat="1" applyFill="1" applyBorder="1" applyAlignment="1">
      <alignment horizontal="center"/>
    </xf>
    <xf numFmtId="2" fontId="0" fillId="21" borderId="26" xfId="0" applyNumberFormat="1" applyFill="1" applyBorder="1" applyAlignment="1">
      <alignment horizontal="center"/>
    </xf>
    <xf numFmtId="1" fontId="0" fillId="21" borderId="21" xfId="0" applyNumberFormat="1" applyFill="1" applyBorder="1" applyAlignment="1">
      <alignment horizontal="center"/>
    </xf>
    <xf numFmtId="2" fontId="0" fillId="21" borderId="25" xfId="0" applyNumberFormat="1" applyFill="1" applyBorder="1" applyAlignment="1">
      <alignment horizontal="center"/>
    </xf>
    <xf numFmtId="0" fontId="0" fillId="21" borderId="19" xfId="0" applyFill="1" applyBorder="1"/>
    <xf numFmtId="0" fontId="0" fillId="21" borderId="0" xfId="0" applyFill="1"/>
    <xf numFmtId="0" fontId="0" fillId="21" borderId="20" xfId="0" applyFill="1" applyBorder="1" applyAlignment="1">
      <alignment horizontal="center"/>
    </xf>
    <xf numFmtId="0" fontId="0" fillId="21" borderId="21" xfId="0" applyFill="1" applyBorder="1"/>
    <xf numFmtId="0" fontId="0" fillId="21" borderId="22" xfId="0" applyFill="1" applyBorder="1"/>
    <xf numFmtId="0" fontId="0" fillId="21" borderId="23" xfId="0" applyFill="1" applyBorder="1" applyAlignment="1">
      <alignment horizontal="center"/>
    </xf>
    <xf numFmtId="1" fontId="0" fillId="21" borderId="31" xfId="0" applyNumberFormat="1" applyFill="1" applyBorder="1" applyAlignment="1">
      <alignment horizontal="center"/>
    </xf>
    <xf numFmtId="1" fontId="0" fillId="21" borderId="33" xfId="0" applyNumberFormat="1" applyFill="1" applyBorder="1" applyAlignment="1">
      <alignment horizontal="center"/>
    </xf>
    <xf numFmtId="1" fontId="0" fillId="21" borderId="32" xfId="0" applyNumberFormat="1" applyFill="1" applyBorder="1" applyAlignment="1">
      <alignment horizontal="center"/>
    </xf>
    <xf numFmtId="1" fontId="0" fillId="21" borderId="0" xfId="0" applyNumberFormat="1" applyFill="1" applyAlignment="1">
      <alignment horizontal="center"/>
    </xf>
    <xf numFmtId="1" fontId="0" fillId="21" borderId="20" xfId="0" applyNumberFormat="1" applyFill="1" applyBorder="1" applyAlignment="1">
      <alignment horizontal="center"/>
    </xf>
    <xf numFmtId="1" fontId="0" fillId="21" borderId="22" xfId="0" applyNumberFormat="1" applyFill="1" applyBorder="1" applyAlignment="1">
      <alignment horizontal="center"/>
    </xf>
    <xf numFmtId="1" fontId="0" fillId="21" borderId="23" xfId="0" applyNumberFormat="1" applyFill="1" applyBorder="1" applyAlignment="1">
      <alignment horizontal="center"/>
    </xf>
    <xf numFmtId="2" fontId="0" fillId="21" borderId="32" xfId="0" applyNumberFormat="1" applyFill="1" applyBorder="1" applyAlignment="1">
      <alignment horizontal="center"/>
    </xf>
    <xf numFmtId="2" fontId="0" fillId="21" borderId="24" xfId="0" applyNumberFormat="1" applyFill="1" applyBorder="1" applyAlignment="1">
      <alignment horizontal="center"/>
    </xf>
    <xf numFmtId="2" fontId="0" fillId="21" borderId="31" xfId="0" applyNumberFormat="1" applyFill="1" applyBorder="1" applyAlignment="1">
      <alignment horizontal="center"/>
    </xf>
    <xf numFmtId="0" fontId="0" fillId="22" borderId="36" xfId="0" applyFill="1" applyBorder="1" applyAlignment="1">
      <alignment horizontal="center"/>
    </xf>
    <xf numFmtId="0" fontId="0" fillId="22" borderId="37" xfId="0" applyFill="1" applyBorder="1" applyAlignment="1">
      <alignment horizontal="center"/>
    </xf>
    <xf numFmtId="0" fontId="0" fillId="22" borderId="38" xfId="0" applyFill="1" applyBorder="1" applyAlignment="1">
      <alignment horizontal="center"/>
    </xf>
    <xf numFmtId="0" fontId="0" fillId="22" borderId="39" xfId="0" applyFill="1" applyBorder="1" applyAlignment="1">
      <alignment horizontal="center"/>
    </xf>
    <xf numFmtId="0" fontId="0" fillId="22" borderId="40" xfId="0" applyFill="1" applyBorder="1" applyAlignment="1">
      <alignment horizontal="center"/>
    </xf>
    <xf numFmtId="0" fontId="0" fillId="22" borderId="41" xfId="0" applyFill="1" applyBorder="1" applyAlignment="1">
      <alignment horizontal="center"/>
    </xf>
    <xf numFmtId="0" fontId="0" fillId="22" borderId="42" xfId="0" applyFill="1" applyBorder="1" applyAlignment="1">
      <alignment horizontal="center"/>
    </xf>
    <xf numFmtId="0" fontId="0" fillId="22" borderId="43" xfId="0" applyFill="1" applyBorder="1" applyAlignment="1">
      <alignment horizontal="center"/>
    </xf>
    <xf numFmtId="0" fontId="0" fillId="22" borderId="44" xfId="0" applyFill="1" applyBorder="1" applyAlignment="1">
      <alignment horizontal="center"/>
    </xf>
    <xf numFmtId="0" fontId="0" fillId="22" borderId="45" xfId="0" applyFill="1" applyBorder="1" applyAlignment="1">
      <alignment horizontal="center"/>
    </xf>
    <xf numFmtId="0" fontId="0" fillId="22" borderId="46" xfId="0" applyFill="1" applyBorder="1" applyAlignment="1">
      <alignment horizontal="center"/>
    </xf>
    <xf numFmtId="0" fontId="0" fillId="22" borderId="47" xfId="0" applyFill="1" applyBorder="1" applyAlignment="1">
      <alignment horizontal="center"/>
    </xf>
    <xf numFmtId="0" fontId="0" fillId="22" borderId="48" xfId="0" applyFill="1" applyBorder="1" applyAlignment="1">
      <alignment horizontal="center"/>
    </xf>
    <xf numFmtId="0" fontId="0" fillId="22" borderId="49" xfId="0" applyFill="1" applyBorder="1" applyAlignment="1">
      <alignment horizontal="center"/>
    </xf>
    <xf numFmtId="0" fontId="0" fillId="22" borderId="50" xfId="0" applyFill="1" applyBorder="1" applyAlignment="1">
      <alignment horizontal="center"/>
    </xf>
    <xf numFmtId="0" fontId="8" fillId="22" borderId="36" xfId="0" applyFont="1" applyFill="1" applyBorder="1" applyAlignment="1">
      <alignment horizontal="center"/>
    </xf>
    <xf numFmtId="0" fontId="15" fillId="22" borderId="37" xfId="0" applyFont="1" applyFill="1" applyBorder="1" applyAlignment="1">
      <alignment horizontal="center"/>
    </xf>
    <xf numFmtId="2" fontId="0" fillId="23" borderId="19" xfId="0" applyNumberFormat="1" applyFill="1" applyBorder="1" applyAlignment="1">
      <alignment horizontal="center"/>
    </xf>
    <xf numFmtId="2" fontId="0" fillId="23" borderId="21" xfId="0" applyNumberFormat="1" applyFill="1" applyBorder="1" applyAlignment="1">
      <alignment horizontal="center"/>
    </xf>
    <xf numFmtId="2" fontId="0" fillId="24" borderId="32" xfId="0" applyNumberFormat="1" applyFill="1" applyBorder="1" applyAlignment="1">
      <alignment horizontal="center"/>
    </xf>
    <xf numFmtId="2" fontId="0" fillId="24" borderId="31" xfId="0" applyNumberFormat="1" applyFill="1" applyBorder="1" applyAlignment="1">
      <alignment horizontal="center"/>
    </xf>
    <xf numFmtId="2" fontId="0" fillId="24" borderId="33" xfId="0" applyNumberFormat="1" applyFill="1" applyBorder="1" applyAlignment="1">
      <alignment horizontal="center"/>
    </xf>
    <xf numFmtId="0" fontId="0" fillId="25" borderId="51" xfId="0" applyFill="1" applyBorder="1" applyAlignment="1">
      <alignment horizontal="center"/>
    </xf>
    <xf numFmtId="184" fontId="0" fillId="25" borderId="11" xfId="0" applyNumberFormat="1" applyFill="1" applyBorder="1" applyAlignment="1">
      <alignment horizontal="center"/>
    </xf>
    <xf numFmtId="173" fontId="0" fillId="25" borderId="11" xfId="0" applyNumberFormat="1" applyFill="1" applyBorder="1" applyAlignment="1">
      <alignment horizontal="center"/>
    </xf>
    <xf numFmtId="164" fontId="0" fillId="24" borderId="11" xfId="0" applyNumberFormat="1" applyFill="1" applyBorder="1" applyAlignment="1">
      <alignment horizontal="center"/>
    </xf>
    <xf numFmtId="164" fontId="0" fillId="25" borderId="11" xfId="0" applyNumberFormat="1" applyFill="1" applyBorder="1" applyAlignment="1">
      <alignment horizontal="center"/>
    </xf>
    <xf numFmtId="178" fontId="0" fillId="24" borderId="11" xfId="0" applyNumberFormat="1" applyFill="1" applyBorder="1" applyAlignment="1">
      <alignment horizontal="center"/>
    </xf>
    <xf numFmtId="0" fontId="0" fillId="24" borderId="11" xfId="0" applyFill="1" applyBorder="1" applyAlignment="1">
      <alignment horizontal="center"/>
    </xf>
    <xf numFmtId="0" fontId="0" fillId="25" borderId="52" xfId="0" applyFill="1" applyBorder="1" applyAlignment="1">
      <alignment horizontal="center"/>
    </xf>
    <xf numFmtId="0" fontId="0" fillId="25" borderId="53" xfId="0" applyFill="1" applyBorder="1" applyAlignment="1">
      <alignment horizontal="center"/>
    </xf>
    <xf numFmtId="0" fontId="2" fillId="26" borderId="52" xfId="0" applyFont="1" applyFill="1" applyBorder="1" applyAlignment="1">
      <alignment horizontal="center"/>
    </xf>
    <xf numFmtId="0" fontId="0" fillId="26" borderId="54" xfId="0" applyFill="1" applyBorder="1" applyAlignment="1">
      <alignment horizontal="center"/>
    </xf>
    <xf numFmtId="0" fontId="0" fillId="26" borderId="53" xfId="0" applyFill="1" applyBorder="1" applyAlignment="1">
      <alignment horizontal="center"/>
    </xf>
    <xf numFmtId="0" fontId="0" fillId="25" borderId="55" xfId="0" applyFill="1" applyBorder="1" applyAlignment="1">
      <alignment horizontal="center"/>
    </xf>
    <xf numFmtId="0" fontId="0" fillId="25" borderId="56" xfId="0" applyFill="1" applyBorder="1" applyAlignment="1">
      <alignment horizontal="center"/>
    </xf>
    <xf numFmtId="0" fontId="0" fillId="25" borderId="57" xfId="0" applyFill="1" applyBorder="1" applyAlignment="1">
      <alignment horizontal="center"/>
    </xf>
    <xf numFmtId="0" fontId="0" fillId="25" borderId="58" xfId="0" applyFill="1" applyBorder="1" applyAlignment="1">
      <alignment horizontal="center"/>
    </xf>
    <xf numFmtId="0" fontId="0" fillId="25" borderId="59" xfId="0" applyFill="1" applyBorder="1" applyAlignment="1">
      <alignment horizontal="center"/>
    </xf>
    <xf numFmtId="0" fontId="0" fillId="25" borderId="60" xfId="0" applyFill="1" applyBorder="1" applyAlignment="1">
      <alignment horizontal="center"/>
    </xf>
    <xf numFmtId="0" fontId="0" fillId="3" borderId="55" xfId="0" applyFill="1" applyBorder="1" applyAlignment="1">
      <alignment horizontal="center"/>
    </xf>
    <xf numFmtId="0" fontId="0" fillId="3" borderId="56" xfId="0" applyFill="1" applyBorder="1" applyAlignment="1">
      <alignment horizontal="center"/>
    </xf>
    <xf numFmtId="0" fontId="0" fillId="3" borderId="61" xfId="0" applyFill="1" applyBorder="1" applyAlignment="1">
      <alignment horizontal="center"/>
    </xf>
    <xf numFmtId="0" fontId="0" fillId="3" borderId="0" xfId="0" applyFill="1" applyAlignment="1">
      <alignment horizontal="center"/>
    </xf>
    <xf numFmtId="183" fontId="0" fillId="25" borderId="58" xfId="0" applyNumberFormat="1" applyFill="1" applyBorder="1" applyAlignment="1">
      <alignment horizontal="center"/>
    </xf>
    <xf numFmtId="183" fontId="0" fillId="25" borderId="59" xfId="0" applyNumberFormat="1" applyFill="1" applyBorder="1" applyAlignment="1">
      <alignment horizontal="center"/>
    </xf>
    <xf numFmtId="2" fontId="0" fillId="3" borderId="0" xfId="0" applyNumberFormat="1" applyFill="1" applyAlignment="1">
      <alignment horizontal="center"/>
    </xf>
    <xf numFmtId="169" fontId="0" fillId="3" borderId="56" xfId="0" applyNumberFormat="1" applyFill="1" applyBorder="1" applyAlignment="1">
      <alignment horizontal="center"/>
    </xf>
    <xf numFmtId="0" fontId="0" fillId="26" borderId="1" xfId="0" applyFill="1" applyBorder="1" applyAlignment="1">
      <alignment horizontal="center"/>
    </xf>
    <xf numFmtId="0" fontId="0" fillId="26" borderId="51" xfId="0" applyFill="1" applyBorder="1" applyAlignment="1">
      <alignment horizontal="center"/>
    </xf>
    <xf numFmtId="183" fontId="0" fillId="26" borderId="51" xfId="0" applyNumberFormat="1" applyFill="1" applyBorder="1" applyAlignment="1">
      <alignment horizontal="center"/>
    </xf>
    <xf numFmtId="0" fontId="0" fillId="24" borderId="57" xfId="0" applyFill="1" applyBorder="1" applyAlignment="1">
      <alignment horizontal="center"/>
    </xf>
    <xf numFmtId="0" fontId="0" fillId="24" borderId="62" xfId="0" applyFill="1" applyBorder="1" applyAlignment="1">
      <alignment horizontal="center"/>
    </xf>
    <xf numFmtId="183" fontId="0" fillId="25" borderId="60" xfId="0" applyNumberFormat="1" applyFill="1" applyBorder="1" applyAlignment="1">
      <alignment horizontal="center"/>
    </xf>
    <xf numFmtId="0" fontId="45" fillId="0" borderId="0" xfId="0" applyFont="1" applyAlignment="1">
      <alignment vertical="center"/>
    </xf>
    <xf numFmtId="0" fontId="46" fillId="0" borderId="0" xfId="2" applyFont="1"/>
    <xf numFmtId="0" fontId="46" fillId="27" borderId="2" xfId="2" applyFont="1" applyFill="1" applyBorder="1" applyAlignment="1" applyProtection="1">
      <alignment horizontal="center"/>
      <protection hidden="1"/>
    </xf>
    <xf numFmtId="177" fontId="47" fillId="5" borderId="2" xfId="2" applyNumberFormat="1" applyFont="1" applyFill="1" applyBorder="1" applyAlignment="1" applyProtection="1">
      <alignment horizontal="center"/>
      <protection hidden="1"/>
    </xf>
    <xf numFmtId="0" fontId="45" fillId="0" borderId="0" xfId="2" applyFont="1"/>
    <xf numFmtId="0" fontId="48" fillId="0" borderId="10" xfId="2" applyFont="1" applyBorder="1" applyAlignment="1">
      <alignment horizontal="right"/>
    </xf>
    <xf numFmtId="0" fontId="46" fillId="0" borderId="10" xfId="2" applyFont="1" applyBorder="1"/>
    <xf numFmtId="0" fontId="49" fillId="0" borderId="10" xfId="2" applyFont="1" applyBorder="1" applyAlignment="1">
      <alignment horizontal="left"/>
    </xf>
    <xf numFmtId="0" fontId="48" fillId="0" borderId="10" xfId="2" applyFont="1" applyBorder="1"/>
    <xf numFmtId="0" fontId="48" fillId="0" borderId="7" xfId="0" applyFont="1" applyBorder="1" applyAlignment="1">
      <alignment horizontal="right" vertical="center"/>
    </xf>
    <xf numFmtId="0" fontId="49" fillId="0" borderId="7" xfId="0" applyFont="1" applyBorder="1" applyAlignment="1">
      <alignment horizontal="right" vertical="center"/>
    </xf>
    <xf numFmtId="166" fontId="0" fillId="0" borderId="7" xfId="0" applyNumberFormat="1" applyBorder="1" applyAlignment="1">
      <alignment horizontal="right" vertical="center"/>
    </xf>
    <xf numFmtId="193" fontId="0" fillId="3" borderId="11" xfId="0" applyNumberFormat="1" applyFill="1" applyBorder="1" applyAlignment="1">
      <alignment horizontal="center"/>
    </xf>
    <xf numFmtId="0" fontId="0" fillId="28" borderId="24" xfId="0" applyFill="1" applyBorder="1" applyAlignment="1">
      <alignment horizontal="center"/>
    </xf>
    <xf numFmtId="0" fontId="0" fillId="29" borderId="26" xfId="0" applyFill="1" applyBorder="1" applyAlignment="1">
      <alignment horizontal="center"/>
    </xf>
    <xf numFmtId="186" fontId="0" fillId="25" borderId="11" xfId="0" applyNumberFormat="1" applyFill="1" applyBorder="1" applyAlignment="1">
      <alignment horizontal="center"/>
    </xf>
    <xf numFmtId="176" fontId="33" fillId="5" borderId="24" xfId="2" applyNumberFormat="1" applyFont="1" applyFill="1" applyBorder="1" applyAlignment="1" applyProtection="1">
      <alignment horizontal="center"/>
      <protection hidden="1"/>
    </xf>
    <xf numFmtId="176" fontId="33" fillId="5" borderId="26" xfId="2" applyNumberFormat="1" applyFont="1" applyFill="1" applyBorder="1" applyAlignment="1" applyProtection="1">
      <alignment horizontal="center"/>
      <protection hidden="1"/>
    </xf>
    <xf numFmtId="176" fontId="33" fillId="5" borderId="25" xfId="2" applyNumberFormat="1" applyFont="1" applyFill="1" applyBorder="1" applyAlignment="1" applyProtection="1">
      <alignment horizontal="center"/>
      <protection hidden="1"/>
    </xf>
    <xf numFmtId="0" fontId="33" fillId="5" borderId="63" xfId="2" applyFont="1" applyFill="1" applyBorder="1" applyAlignment="1">
      <alignment horizontal="center"/>
    </xf>
    <xf numFmtId="0" fontId="33" fillId="5" borderId="20" xfId="2" applyFont="1" applyFill="1" applyBorder="1" applyAlignment="1">
      <alignment horizontal="center"/>
    </xf>
    <xf numFmtId="0" fontId="33" fillId="5" borderId="23" xfId="2" applyFont="1" applyFill="1" applyBorder="1" applyAlignment="1">
      <alignment horizontal="center"/>
    </xf>
    <xf numFmtId="176" fontId="33" fillId="5" borderId="63" xfId="2" applyNumberFormat="1" applyFont="1" applyFill="1" applyBorder="1" applyAlignment="1">
      <alignment horizontal="center"/>
    </xf>
    <xf numFmtId="196" fontId="33" fillId="5" borderId="63" xfId="2" applyNumberFormat="1" applyFont="1" applyFill="1" applyBorder="1" applyAlignment="1">
      <alignment horizontal="center"/>
    </xf>
    <xf numFmtId="196" fontId="33" fillId="5" borderId="20" xfId="2" applyNumberFormat="1" applyFont="1" applyFill="1" applyBorder="1" applyAlignment="1">
      <alignment horizontal="center"/>
    </xf>
    <xf numFmtId="196" fontId="33" fillId="5" borderId="23" xfId="2" applyNumberFormat="1" applyFont="1" applyFill="1" applyBorder="1" applyAlignment="1">
      <alignment horizontal="center"/>
    </xf>
    <xf numFmtId="174" fontId="33" fillId="5" borderId="63" xfId="2" applyNumberFormat="1" applyFont="1" applyFill="1" applyBorder="1" applyAlignment="1">
      <alignment horizontal="center"/>
    </xf>
    <xf numFmtId="174" fontId="33" fillId="5" borderId="20" xfId="2" applyNumberFormat="1" applyFont="1" applyFill="1" applyBorder="1" applyAlignment="1">
      <alignment horizontal="center"/>
    </xf>
    <xf numFmtId="174" fontId="33" fillId="5" borderId="23" xfId="2" applyNumberFormat="1" applyFont="1" applyFill="1" applyBorder="1" applyAlignment="1">
      <alignment horizontal="center"/>
    </xf>
    <xf numFmtId="167" fontId="33" fillId="5" borderId="63" xfId="2" applyNumberFormat="1" applyFont="1" applyFill="1" applyBorder="1" applyAlignment="1">
      <alignment horizontal="center"/>
    </xf>
    <xf numFmtId="167" fontId="33" fillId="5" borderId="20" xfId="2" applyNumberFormat="1" applyFont="1" applyFill="1" applyBorder="1" applyAlignment="1">
      <alignment horizontal="center"/>
    </xf>
    <xf numFmtId="167" fontId="33" fillId="5" borderId="23" xfId="2" applyNumberFormat="1" applyFont="1" applyFill="1" applyBorder="1" applyAlignment="1">
      <alignment horizontal="center"/>
    </xf>
    <xf numFmtId="170" fontId="33" fillId="5" borderId="63" xfId="2" applyNumberFormat="1" applyFont="1" applyFill="1" applyBorder="1" applyAlignment="1">
      <alignment horizontal="center"/>
    </xf>
    <xf numFmtId="170" fontId="33" fillId="5" borderId="20" xfId="2" applyNumberFormat="1" applyFont="1" applyFill="1" applyBorder="1" applyAlignment="1">
      <alignment horizontal="center"/>
    </xf>
    <xf numFmtId="170" fontId="33" fillId="5" borderId="23" xfId="2" applyNumberFormat="1" applyFont="1" applyFill="1" applyBorder="1" applyAlignment="1">
      <alignment horizontal="center"/>
    </xf>
    <xf numFmtId="0" fontId="2" fillId="9" borderId="2" xfId="0" applyFont="1" applyFill="1" applyBorder="1" applyAlignment="1" applyProtection="1">
      <alignment horizontal="center" vertical="center"/>
      <protection hidden="1"/>
    </xf>
    <xf numFmtId="0" fontId="0" fillId="9" borderId="2" xfId="0" applyFill="1" applyBorder="1" applyAlignment="1" applyProtection="1">
      <alignment horizontal="center" vertical="center"/>
      <protection hidden="1"/>
    </xf>
    <xf numFmtId="0" fontId="0" fillId="0" borderId="22" xfId="0" applyBorder="1" applyAlignment="1">
      <alignment horizontal="center" vertical="center"/>
    </xf>
    <xf numFmtId="0" fontId="8" fillId="0" borderId="33" xfId="0" applyFont="1" applyBorder="1" applyAlignment="1">
      <alignment horizontal="center" vertical="center"/>
    </xf>
    <xf numFmtId="0" fontId="8" fillId="0" borderId="32" xfId="0" applyFont="1" applyBorder="1" applyAlignment="1">
      <alignment horizontal="center" vertical="center"/>
    </xf>
    <xf numFmtId="187" fontId="2" fillId="7" borderId="2" xfId="0" applyNumberFormat="1" applyFont="1" applyFill="1" applyBorder="1" applyAlignment="1">
      <alignment horizontal="center" vertical="center"/>
    </xf>
    <xf numFmtId="197" fontId="33" fillId="5" borderId="24" xfId="2" applyNumberFormat="1" applyFont="1" applyFill="1" applyBorder="1" applyAlignment="1">
      <alignment horizontal="center"/>
    </xf>
    <xf numFmtId="197" fontId="33" fillId="5" borderId="26" xfId="2" applyNumberFormat="1" applyFont="1" applyFill="1" applyBorder="1" applyAlignment="1">
      <alignment horizontal="center"/>
    </xf>
    <xf numFmtId="197" fontId="33" fillId="5" borderId="25" xfId="2" applyNumberFormat="1" applyFont="1" applyFill="1" applyBorder="1" applyAlignment="1">
      <alignment horizontal="center"/>
    </xf>
    <xf numFmtId="0" fontId="45" fillId="0" borderId="0" xfId="2" applyFont="1" applyAlignment="1" applyProtection="1">
      <alignment horizontal="right"/>
      <protection hidden="1"/>
    </xf>
    <xf numFmtId="0" fontId="2" fillId="0" borderId="31" xfId="0" applyFont="1" applyBorder="1"/>
    <xf numFmtId="0" fontId="2" fillId="0" borderId="32" xfId="0" applyFont="1" applyBorder="1"/>
    <xf numFmtId="0" fontId="2" fillId="0" borderId="21" xfId="0" applyFont="1" applyBorder="1"/>
    <xf numFmtId="0" fontId="2" fillId="0" borderId="19" xfId="0" applyFont="1" applyBorder="1" applyAlignment="1">
      <alignment horizontal="left"/>
    </xf>
    <xf numFmtId="14" fontId="2" fillId="0" borderId="23" xfId="0" applyNumberFormat="1" applyFont="1" applyBorder="1" applyAlignment="1">
      <alignment horizontal="center"/>
    </xf>
    <xf numFmtId="0" fontId="15" fillId="0" borderId="0" xfId="0" applyFont="1" applyAlignment="1">
      <alignment horizontal="right"/>
    </xf>
    <xf numFmtId="0" fontId="42" fillId="0" borderId="0" xfId="0" applyFont="1" applyAlignment="1">
      <alignment horizontal="center"/>
    </xf>
    <xf numFmtId="0" fontId="15" fillId="0" borderId="0" xfId="0" applyFont="1" applyAlignment="1">
      <alignment horizontal="center"/>
    </xf>
    <xf numFmtId="0" fontId="2" fillId="0" borderId="19" xfId="0" applyFont="1" applyBorder="1"/>
    <xf numFmtId="0" fontId="2" fillId="0" borderId="34" xfId="0" applyFont="1" applyBorder="1"/>
    <xf numFmtId="0" fontId="2" fillId="0" borderId="14" xfId="0" applyFont="1" applyBorder="1" applyAlignment="1">
      <alignment horizontal="center"/>
    </xf>
    <xf numFmtId="0" fontId="15" fillId="0" borderId="2" xfId="0" applyFont="1" applyBorder="1" applyAlignment="1">
      <alignment horizontal="center"/>
    </xf>
    <xf numFmtId="0" fontId="15" fillId="0" borderId="64" xfId="0" applyFont="1" applyBorder="1" applyAlignment="1">
      <alignment horizontal="center"/>
    </xf>
    <xf numFmtId="201" fontId="15" fillId="0" borderId="0" xfId="0" applyNumberFormat="1" applyFont="1"/>
    <xf numFmtId="191" fontId="0" fillId="0" borderId="0" xfId="0" applyNumberFormat="1"/>
    <xf numFmtId="192" fontId="0" fillId="0" borderId="0" xfId="0" applyNumberFormat="1"/>
    <xf numFmtId="0" fontId="43" fillId="0" borderId="0" xfId="0" applyFont="1"/>
    <xf numFmtId="192" fontId="2" fillId="30" borderId="32" xfId="0" applyNumberFormat="1" applyFont="1" applyFill="1" applyBorder="1" applyProtection="1">
      <protection locked="0"/>
    </xf>
    <xf numFmtId="198" fontId="2" fillId="0" borderId="23" xfId="0" applyNumberFormat="1" applyFont="1" applyBorder="1"/>
    <xf numFmtId="0" fontId="42" fillId="0" borderId="0" xfId="0" applyFont="1"/>
    <xf numFmtId="3" fontId="2" fillId="30" borderId="32" xfId="0" applyNumberFormat="1" applyFont="1" applyFill="1" applyBorder="1" applyAlignment="1">
      <alignment horizontal="center"/>
    </xf>
    <xf numFmtId="191" fontId="2" fillId="0" borderId="33" xfId="0" applyNumberFormat="1" applyFont="1" applyBorder="1" applyAlignment="1">
      <alignment horizontal="center"/>
    </xf>
    <xf numFmtId="192" fontId="2" fillId="0" borderId="32" xfId="0" applyNumberFormat="1" applyFont="1" applyBorder="1" applyAlignment="1">
      <alignment horizontal="center"/>
    </xf>
    <xf numFmtId="191" fontId="2" fillId="0" borderId="22" xfId="0" applyNumberFormat="1" applyFont="1" applyBorder="1" applyAlignment="1">
      <alignment horizontal="center"/>
    </xf>
    <xf numFmtId="192" fontId="2" fillId="0" borderId="23" xfId="0" applyNumberFormat="1" applyFont="1" applyBorder="1" applyAlignment="1">
      <alignment horizontal="center"/>
    </xf>
    <xf numFmtId="192" fontId="2" fillId="30" borderId="32" xfId="0" applyNumberFormat="1" applyFont="1" applyFill="1" applyBorder="1" applyAlignment="1" applyProtection="1">
      <alignment horizontal="center"/>
      <protection locked="0"/>
    </xf>
    <xf numFmtId="202" fontId="2" fillId="0" borderId="23" xfId="0" applyNumberFormat="1" applyFont="1" applyBorder="1" applyAlignment="1">
      <alignment horizontal="center"/>
    </xf>
    <xf numFmtId="201" fontId="2" fillId="0" borderId="23" xfId="0" applyNumberFormat="1" applyFont="1" applyBorder="1" applyAlignment="1">
      <alignment horizontal="center"/>
    </xf>
    <xf numFmtId="199" fontId="2" fillId="0" borderId="33" xfId="0" applyNumberFormat="1" applyFont="1" applyBorder="1" applyAlignment="1">
      <alignment horizontal="center"/>
    </xf>
    <xf numFmtId="200" fontId="2" fillId="0" borderId="32" xfId="0" applyNumberFormat="1" applyFont="1" applyBorder="1" applyAlignment="1">
      <alignment horizontal="center"/>
    </xf>
    <xf numFmtId="191" fontId="2" fillId="0" borderId="0" xfId="0" applyNumberFormat="1" applyFont="1" applyAlignment="1">
      <alignment horizontal="center"/>
    </xf>
    <xf numFmtId="192" fontId="2" fillId="0" borderId="20" xfId="0" applyNumberFormat="1" applyFont="1" applyBorder="1" applyAlignment="1">
      <alignment horizontal="center"/>
    </xf>
    <xf numFmtId="0" fontId="15" fillId="0" borderId="10" xfId="0" applyFont="1" applyBorder="1"/>
    <xf numFmtId="0" fontId="0" fillId="29" borderId="20" xfId="0" applyFill="1" applyBorder="1" applyAlignment="1">
      <alignment horizontal="center"/>
    </xf>
    <xf numFmtId="0" fontId="0" fillId="31" borderId="65" xfId="0" applyFill="1" applyBorder="1" applyAlignment="1">
      <alignment horizontal="center"/>
    </xf>
    <xf numFmtId="186" fontId="0" fillId="24" borderId="11" xfId="0" applyNumberFormat="1" applyFill="1" applyBorder="1" applyAlignment="1">
      <alignment horizontal="center"/>
    </xf>
    <xf numFmtId="203" fontId="0" fillId="24" borderId="11" xfId="0" applyNumberFormat="1" applyFill="1" applyBorder="1" applyAlignment="1">
      <alignment horizontal="center"/>
    </xf>
    <xf numFmtId="0" fontId="2" fillId="11" borderId="66" xfId="0" applyFont="1" applyFill="1" applyBorder="1" applyAlignment="1" applyProtection="1">
      <alignment horizontal="center" vertical="center"/>
      <protection hidden="1"/>
    </xf>
    <xf numFmtId="164" fontId="2" fillId="17" borderId="24" xfId="0" applyNumberFormat="1" applyFont="1" applyFill="1" applyBorder="1" applyAlignment="1">
      <alignment horizontal="center" vertical="center"/>
    </xf>
    <xf numFmtId="0" fontId="2" fillId="11" borderId="67" xfId="0" applyFont="1" applyFill="1" applyBorder="1" applyAlignment="1" applyProtection="1">
      <alignment horizontal="center" vertical="center"/>
      <protection hidden="1"/>
    </xf>
    <xf numFmtId="0" fontId="2" fillId="28" borderId="2" xfId="0" applyFont="1" applyFill="1" applyBorder="1" applyAlignment="1">
      <alignment horizontal="center" vertical="center"/>
    </xf>
    <xf numFmtId="0" fontId="0" fillId="30" borderId="0" xfId="0" applyFill="1"/>
    <xf numFmtId="0" fontId="0" fillId="30" borderId="0" xfId="0" applyFill="1" applyAlignment="1">
      <alignment horizontal="center"/>
    </xf>
    <xf numFmtId="0" fontId="0" fillId="0" borderId="0" xfId="0" applyAlignment="1" applyProtection="1">
      <alignment horizontal="center"/>
      <protection locked="0"/>
    </xf>
    <xf numFmtId="0" fontId="0" fillId="29" borderId="25" xfId="0" applyFill="1" applyBorder="1" applyAlignment="1">
      <alignment horizontal="center"/>
    </xf>
    <xf numFmtId="0" fontId="1" fillId="0" borderId="0" xfId="2" applyProtection="1">
      <protection locked="0"/>
    </xf>
    <xf numFmtId="0" fontId="1" fillId="0" borderId="0" xfId="2"/>
    <xf numFmtId="0" fontId="36" fillId="0" borderId="0" xfId="2" applyFont="1"/>
    <xf numFmtId="186" fontId="0" fillId="0" borderId="0" xfId="0" applyNumberFormat="1" applyAlignment="1">
      <alignment vertical="center"/>
    </xf>
    <xf numFmtId="0" fontId="0" fillId="0" borderId="0" xfId="0" quotePrefix="1" applyAlignment="1">
      <alignment horizontal="center" vertical="center"/>
    </xf>
    <xf numFmtId="170" fontId="0" fillId="0" borderId="0" xfId="0" applyNumberFormat="1" applyAlignment="1">
      <alignment horizontal="right" vertical="center"/>
    </xf>
    <xf numFmtId="164" fontId="2" fillId="18" borderId="24" xfId="0" applyNumberFormat="1" applyFont="1" applyFill="1" applyBorder="1" applyAlignment="1" applyProtection="1">
      <alignment horizontal="center" vertical="center"/>
      <protection locked="0"/>
    </xf>
    <xf numFmtId="0" fontId="10" fillId="0" borderId="0" xfId="1" applyAlignment="1" applyProtection="1">
      <alignment horizontal="left"/>
      <protection hidden="1"/>
    </xf>
    <xf numFmtId="166" fontId="50" fillId="0" borderId="0" xfId="0" applyNumberFormat="1" applyFont="1" applyAlignment="1">
      <alignment vertical="center"/>
    </xf>
    <xf numFmtId="0" fontId="2" fillId="0" borderId="0" xfId="0" applyFont="1" applyAlignment="1" applyProtection="1">
      <alignment horizontal="center" vertical="center"/>
      <protection hidden="1"/>
    </xf>
    <xf numFmtId="186" fontId="2" fillId="0" borderId="0" xfId="0" applyNumberFormat="1" applyFont="1" applyAlignment="1">
      <alignment horizontal="center" vertical="center"/>
    </xf>
    <xf numFmtId="204" fontId="2" fillId="32" borderId="2" xfId="0" applyNumberFormat="1" applyFont="1" applyFill="1" applyBorder="1" applyAlignment="1">
      <alignment horizontal="center" vertical="center"/>
    </xf>
    <xf numFmtId="175" fontId="0" fillId="7" borderId="46" xfId="0" applyNumberFormat="1" applyFill="1" applyBorder="1" applyAlignment="1">
      <alignment horizontal="center" vertical="center"/>
    </xf>
    <xf numFmtId="175" fontId="2" fillId="7" borderId="2" xfId="0" applyNumberFormat="1" applyFont="1" applyFill="1" applyBorder="1" applyAlignment="1">
      <alignment horizontal="center" vertical="center"/>
    </xf>
    <xf numFmtId="166" fontId="2" fillId="0" borderId="0" xfId="0" applyNumberFormat="1" applyFont="1" applyAlignment="1">
      <alignment horizontal="right" vertical="center"/>
    </xf>
    <xf numFmtId="0" fontId="2" fillId="9" borderId="46" xfId="0" applyFont="1" applyFill="1" applyBorder="1" applyAlignment="1" applyProtection="1">
      <alignment horizontal="center" vertical="center"/>
      <protection hidden="1"/>
    </xf>
    <xf numFmtId="0" fontId="5" fillId="9" borderId="46" xfId="0" applyFont="1" applyFill="1" applyBorder="1" applyAlignment="1" applyProtection="1">
      <alignment horizontal="center" vertical="center"/>
      <protection hidden="1"/>
    </xf>
    <xf numFmtId="2" fontId="0" fillId="7" borderId="68" xfId="0" applyNumberFormat="1" applyFill="1" applyBorder="1" applyAlignment="1">
      <alignment horizontal="center" vertical="center"/>
    </xf>
    <xf numFmtId="187" fontId="2" fillId="7" borderId="68" xfId="0" applyNumberFormat="1" applyFont="1" applyFill="1" applyBorder="1" applyAlignment="1">
      <alignment horizontal="center" vertical="center"/>
    </xf>
    <xf numFmtId="165" fontId="0" fillId="7" borderId="69" xfId="0" applyNumberFormat="1" applyFill="1" applyBorder="1" applyAlignment="1">
      <alignment horizontal="center" vertical="center"/>
    </xf>
    <xf numFmtId="188" fontId="2" fillId="7" borderId="70" xfId="0" applyNumberFormat="1" applyFont="1" applyFill="1" applyBorder="1" applyAlignment="1">
      <alignment horizontal="center" vertical="center"/>
    </xf>
    <xf numFmtId="165" fontId="0" fillId="7" borderId="71" xfId="0" applyNumberFormat="1" applyFill="1" applyBorder="1" applyAlignment="1">
      <alignment horizontal="center" vertical="center"/>
    </xf>
    <xf numFmtId="165" fontId="0" fillId="7" borderId="70" xfId="0" applyNumberFormat="1" applyFill="1" applyBorder="1" applyAlignment="1">
      <alignment horizontal="center" vertical="center"/>
    </xf>
    <xf numFmtId="186" fontId="0" fillId="7" borderId="43" xfId="0" applyNumberFormat="1" applyFill="1" applyBorder="1" applyAlignment="1">
      <alignment horizontal="center" vertical="center"/>
    </xf>
    <xf numFmtId="165" fontId="0" fillId="7" borderId="72" xfId="0" applyNumberFormat="1" applyFill="1" applyBorder="1" applyAlignment="1">
      <alignment horizontal="center" vertical="center"/>
    </xf>
    <xf numFmtId="166" fontId="2" fillId="27" borderId="14" xfId="0" applyNumberFormat="1" applyFont="1" applyFill="1" applyBorder="1" applyAlignment="1">
      <alignment horizontal="center" vertical="center"/>
    </xf>
    <xf numFmtId="0" fontId="0" fillId="32" borderId="2" xfId="0" applyFill="1" applyBorder="1" applyAlignment="1">
      <alignment vertical="center"/>
    </xf>
    <xf numFmtId="187" fontId="0" fillId="7" borderId="73" xfId="0" applyNumberFormat="1" applyFill="1" applyBorder="1" applyAlignment="1">
      <alignment horizontal="center" vertical="center"/>
    </xf>
    <xf numFmtId="205" fontId="0" fillId="32" borderId="2" xfId="0" applyNumberFormat="1" applyFill="1" applyBorder="1" applyAlignment="1">
      <alignment horizontal="center" vertical="center"/>
    </xf>
    <xf numFmtId="206" fontId="15" fillId="0" borderId="0" xfId="2" applyNumberFormat="1" applyFont="1" applyProtection="1">
      <protection hidden="1"/>
    </xf>
    <xf numFmtId="175" fontId="2" fillId="0" borderId="0" xfId="2" applyNumberFormat="1" applyFont="1" applyProtection="1">
      <protection locked="0"/>
    </xf>
    <xf numFmtId="186" fontId="2" fillId="30" borderId="2" xfId="0" applyNumberFormat="1" applyFont="1" applyFill="1" applyBorder="1" applyAlignment="1">
      <alignment horizontal="center" vertical="center"/>
    </xf>
    <xf numFmtId="177" fontId="2" fillId="0" borderId="0" xfId="2" applyNumberFormat="1" applyFont="1"/>
    <xf numFmtId="170" fontId="2" fillId="33" borderId="25" xfId="0" applyNumberFormat="1" applyFont="1" applyFill="1" applyBorder="1" applyAlignment="1" applyProtection="1">
      <alignment horizontal="center" vertical="center"/>
      <protection locked="0"/>
    </xf>
    <xf numFmtId="165" fontId="2" fillId="5" borderId="34" xfId="2" applyNumberFormat="1" applyFont="1" applyFill="1" applyBorder="1" applyAlignment="1">
      <alignment horizontal="center"/>
    </xf>
    <xf numFmtId="178" fontId="14" fillId="5" borderId="34" xfId="2" applyNumberFormat="1" applyFont="1" applyFill="1" applyBorder="1"/>
    <xf numFmtId="179" fontId="32" fillId="5" borderId="24" xfId="2" applyNumberFormat="1" applyFont="1" applyFill="1" applyBorder="1" applyAlignment="1" applyProtection="1">
      <alignment horizontal="center" vertical="center"/>
      <protection hidden="1"/>
    </xf>
    <xf numFmtId="0" fontId="32" fillId="5" borderId="24" xfId="2" applyFont="1" applyFill="1" applyBorder="1" applyAlignment="1" applyProtection="1">
      <alignment horizontal="center" vertical="center"/>
      <protection hidden="1"/>
    </xf>
    <xf numFmtId="2" fontId="15" fillId="0" borderId="19" xfId="2" applyNumberFormat="1" applyFont="1" applyBorder="1" applyAlignment="1" applyProtection="1">
      <alignment horizontal="center"/>
      <protection hidden="1"/>
    </xf>
    <xf numFmtId="2" fontId="15" fillId="0" borderId="20" xfId="2" applyNumberFormat="1" applyFont="1" applyBorder="1" applyAlignment="1" applyProtection="1">
      <alignment horizontal="center"/>
      <protection hidden="1"/>
    </xf>
    <xf numFmtId="2" fontId="15" fillId="0" borderId="0" xfId="2" applyNumberFormat="1" applyFont="1" applyAlignment="1" applyProtection="1">
      <alignment horizontal="center"/>
      <protection hidden="1"/>
    </xf>
    <xf numFmtId="0" fontId="2" fillId="6" borderId="24" xfId="2" applyFont="1" applyFill="1" applyBorder="1" applyAlignment="1">
      <alignment vertical="center"/>
    </xf>
    <xf numFmtId="0" fontId="2" fillId="6" borderId="24" xfId="2" applyFont="1" applyFill="1" applyBorder="1" applyAlignment="1">
      <alignment horizontal="center" vertical="center"/>
    </xf>
    <xf numFmtId="0" fontId="0" fillId="7" borderId="74" xfId="0" applyFill="1" applyBorder="1" applyAlignment="1">
      <alignment horizontal="center" vertical="center"/>
    </xf>
    <xf numFmtId="175" fontId="2" fillId="0" borderId="0" xfId="0" applyNumberFormat="1" applyFont="1" applyAlignment="1">
      <alignment horizontal="center" vertical="center"/>
    </xf>
    <xf numFmtId="0" fontId="2" fillId="0" borderId="22" xfId="0" applyFont="1" applyBorder="1" applyAlignment="1">
      <alignment horizontal="center" vertical="center"/>
    </xf>
    <xf numFmtId="182" fontId="2" fillId="0" borderId="0" xfId="0" applyNumberFormat="1" applyFont="1" applyAlignment="1">
      <alignment horizontal="center"/>
    </xf>
    <xf numFmtId="14" fontId="2" fillId="0" borderId="0" xfId="0" applyNumberFormat="1" applyFont="1" applyAlignment="1">
      <alignment horizontal="center"/>
    </xf>
    <xf numFmtId="0" fontId="0" fillId="0" borderId="64" xfId="0" applyBorder="1" applyAlignment="1">
      <alignment horizontal="center"/>
    </xf>
    <xf numFmtId="0" fontId="0" fillId="0" borderId="2" xfId="0" applyBorder="1" applyAlignment="1">
      <alignment horizontal="center"/>
    </xf>
    <xf numFmtId="0" fontId="2" fillId="10" borderId="2" xfId="2" applyFont="1" applyFill="1" applyBorder="1" applyAlignment="1" applyProtection="1">
      <alignment horizontal="left"/>
      <protection hidden="1"/>
    </xf>
    <xf numFmtId="0" fontId="2" fillId="10" borderId="26" xfId="2" applyFont="1" applyFill="1" applyBorder="1" applyAlignment="1" applyProtection="1">
      <alignment horizontal="left"/>
      <protection hidden="1"/>
    </xf>
    <xf numFmtId="0" fontId="2" fillId="0" borderId="2" xfId="0" applyFont="1" applyBorder="1" applyAlignment="1">
      <alignment horizontal="center"/>
    </xf>
    <xf numFmtId="1" fontId="2" fillId="0" borderId="2" xfId="0" applyNumberFormat="1" applyFont="1" applyBorder="1" applyAlignment="1">
      <alignment horizontal="center"/>
    </xf>
    <xf numFmtId="0" fontId="2" fillId="0" borderId="2" xfId="0" applyFont="1" applyBorder="1" applyAlignment="1">
      <alignment horizontal="center" vertical="center"/>
    </xf>
    <xf numFmtId="175" fontId="2" fillId="0" borderId="2" xfId="0" applyNumberFormat="1" applyFont="1" applyBorder="1" applyAlignment="1">
      <alignment horizontal="center" vertical="center"/>
    </xf>
    <xf numFmtId="175" fontId="2" fillId="0" borderId="2" xfId="0" applyNumberFormat="1" applyFont="1" applyBorder="1" applyAlignment="1">
      <alignment horizontal="right" vertical="center"/>
    </xf>
    <xf numFmtId="0" fontId="0" fillId="0" borderId="20" xfId="0" applyBorder="1" applyAlignment="1">
      <alignment horizontal="center"/>
    </xf>
    <xf numFmtId="0" fontId="0" fillId="0" borderId="0" xfId="0" applyAlignment="1">
      <alignment horizontal="left" vertical="top"/>
    </xf>
    <xf numFmtId="0" fontId="0" fillId="3" borderId="4" xfId="0" applyFill="1" applyBorder="1" applyAlignment="1">
      <alignment horizontal="center"/>
    </xf>
    <xf numFmtId="0" fontId="51" fillId="11" borderId="67" xfId="0" applyFont="1" applyFill="1" applyBorder="1" applyAlignment="1" applyProtection="1">
      <alignment horizontal="center" vertical="center"/>
      <protection hidden="1"/>
    </xf>
    <xf numFmtId="0" fontId="0" fillId="34" borderId="2" xfId="0" applyFill="1" applyBorder="1" applyAlignment="1">
      <alignment vertical="center"/>
    </xf>
    <xf numFmtId="1" fontId="30" fillId="14" borderId="0" xfId="2" applyNumberFormat="1" applyFont="1" applyFill="1" applyAlignment="1">
      <alignment horizontal="center"/>
    </xf>
    <xf numFmtId="0" fontId="35" fillId="4" borderId="34" xfId="2" applyFont="1" applyFill="1" applyBorder="1" applyAlignment="1" applyProtection="1">
      <alignment horizontal="right" vertical="center"/>
      <protection locked="0"/>
    </xf>
    <xf numFmtId="0" fontId="35" fillId="30" borderId="14" xfId="2" applyFont="1" applyFill="1" applyBorder="1" applyAlignment="1" applyProtection="1">
      <alignment horizontal="left" vertical="center"/>
      <protection locked="0"/>
    </xf>
    <xf numFmtId="0" fontId="49" fillId="0" borderId="0" xfId="2" applyFont="1" applyProtection="1">
      <protection hidden="1"/>
    </xf>
    <xf numFmtId="0" fontId="45" fillId="0" borderId="0" xfId="2" applyFont="1" applyAlignment="1">
      <alignment horizontal="center"/>
    </xf>
    <xf numFmtId="0" fontId="2" fillId="6" borderId="2" xfId="2" applyFont="1" applyFill="1" applyBorder="1" applyAlignment="1" applyProtection="1">
      <alignment horizontal="center"/>
      <protection hidden="1"/>
    </xf>
    <xf numFmtId="0" fontId="2" fillId="10" borderId="75" xfId="2" applyFont="1" applyFill="1" applyBorder="1" applyAlignment="1" applyProtection="1">
      <alignment horizontal="center"/>
      <protection hidden="1"/>
    </xf>
    <xf numFmtId="0" fontId="2" fillId="10" borderId="76" xfId="2" applyFont="1" applyFill="1" applyBorder="1" applyAlignment="1" applyProtection="1">
      <alignment horizontal="center"/>
      <protection hidden="1"/>
    </xf>
    <xf numFmtId="0" fontId="45" fillId="4" borderId="25" xfId="2" applyFont="1" applyFill="1" applyBorder="1" applyAlignment="1" applyProtection="1">
      <alignment horizontal="center"/>
      <protection locked="0"/>
    </xf>
    <xf numFmtId="0" fontId="45" fillId="4" borderId="77" xfId="2" applyFont="1" applyFill="1" applyBorder="1" applyAlignment="1" applyProtection="1">
      <alignment horizontal="center"/>
      <protection locked="0"/>
    </xf>
    <xf numFmtId="165" fontId="33" fillId="5" borderId="2" xfId="2" applyNumberFormat="1" applyFont="1" applyFill="1" applyBorder="1" applyAlignment="1">
      <alignment horizontal="center"/>
    </xf>
    <xf numFmtId="178" fontId="33" fillId="5" borderId="34" xfId="2" applyNumberFormat="1" applyFont="1" applyFill="1" applyBorder="1" applyAlignment="1">
      <alignment horizontal="center"/>
    </xf>
    <xf numFmtId="178" fontId="33" fillId="5" borderId="14" xfId="2" applyNumberFormat="1" applyFont="1" applyFill="1" applyBorder="1" applyAlignment="1">
      <alignment horizontal="center"/>
    </xf>
    <xf numFmtId="165" fontId="33" fillId="5" borderId="34" xfId="2" applyNumberFormat="1" applyFont="1" applyFill="1" applyBorder="1" applyAlignment="1">
      <alignment horizontal="center"/>
    </xf>
    <xf numFmtId="165" fontId="33" fillId="5" borderId="14" xfId="2" applyNumberFormat="1" applyFont="1" applyFill="1" applyBorder="1" applyAlignment="1">
      <alignment horizontal="center"/>
    </xf>
    <xf numFmtId="0" fontId="2" fillId="10" borderId="78" xfId="2" applyFont="1" applyFill="1" applyBorder="1" applyAlignment="1" applyProtection="1">
      <alignment horizontal="center"/>
      <protection hidden="1"/>
    </xf>
    <xf numFmtId="0" fontId="2" fillId="10" borderId="79" xfId="2" applyFont="1" applyFill="1" applyBorder="1" applyAlignment="1" applyProtection="1">
      <alignment horizontal="center"/>
      <protection hidden="1"/>
    </xf>
    <xf numFmtId="0" fontId="2" fillId="0" borderId="0" xfId="2" applyFont="1" applyAlignment="1">
      <alignment horizontal="center"/>
    </xf>
    <xf numFmtId="177" fontId="2" fillId="4" borderId="34" xfId="2" applyNumberFormat="1" applyFont="1" applyFill="1" applyBorder="1" applyAlignment="1" applyProtection="1">
      <alignment horizontal="center"/>
      <protection locked="0"/>
    </xf>
    <xf numFmtId="177" fontId="2" fillId="4" borderId="14" xfId="2" applyNumberFormat="1" applyFont="1" applyFill="1" applyBorder="1" applyAlignment="1" applyProtection="1">
      <alignment horizontal="center"/>
      <protection locked="0"/>
    </xf>
    <xf numFmtId="0" fontId="35" fillId="4" borderId="25" xfId="2" applyFont="1" applyFill="1" applyBorder="1" applyAlignment="1" applyProtection="1">
      <alignment horizontal="center" vertical="center"/>
      <protection locked="0"/>
    </xf>
    <xf numFmtId="0" fontId="35" fillId="4" borderId="2" xfId="2" applyFont="1" applyFill="1" applyBorder="1" applyAlignment="1" applyProtection="1">
      <alignment horizontal="center" vertical="center"/>
      <protection locked="0"/>
    </xf>
    <xf numFmtId="0" fontId="3" fillId="19" borderId="0" xfId="2" applyFont="1" applyFill="1" applyAlignment="1">
      <alignment horizontal="center"/>
    </xf>
    <xf numFmtId="0" fontId="2" fillId="0" borderId="0" xfId="2" applyFont="1" applyAlignment="1" applyProtection="1">
      <alignment horizontal="center"/>
      <protection hidden="1"/>
    </xf>
    <xf numFmtId="178" fontId="33" fillId="5" borderId="2" xfId="2" applyNumberFormat="1" applyFont="1" applyFill="1" applyBorder="1" applyAlignment="1">
      <alignment horizontal="center"/>
    </xf>
    <xf numFmtId="0" fontId="2" fillId="10" borderId="80" xfId="2" applyFont="1" applyFill="1" applyBorder="1" applyAlignment="1" applyProtection="1">
      <alignment horizontal="center"/>
      <protection hidden="1"/>
    </xf>
    <xf numFmtId="0" fontId="2" fillId="10" borderId="81" xfId="2" applyFont="1" applyFill="1" applyBorder="1" applyAlignment="1" applyProtection="1">
      <alignment horizontal="center"/>
      <protection hidden="1"/>
    </xf>
    <xf numFmtId="0" fontId="2" fillId="4" borderId="34" xfId="2" applyFont="1" applyFill="1" applyBorder="1" applyAlignment="1" applyProtection="1">
      <alignment horizontal="center"/>
      <protection locked="0"/>
    </xf>
    <xf numFmtId="0" fontId="2" fillId="4" borderId="82" xfId="2" applyFont="1" applyFill="1" applyBorder="1" applyAlignment="1" applyProtection="1">
      <alignment horizontal="center"/>
      <protection locked="0"/>
    </xf>
    <xf numFmtId="0" fontId="2" fillId="10" borderId="34" xfId="2" applyFont="1" applyFill="1" applyBorder="1" applyAlignment="1" applyProtection="1">
      <alignment horizontal="center"/>
      <protection hidden="1"/>
    </xf>
    <xf numFmtId="0" fontId="2" fillId="10" borderId="14" xfId="2" applyFont="1" applyFill="1" applyBorder="1" applyAlignment="1" applyProtection="1">
      <alignment horizontal="center"/>
      <protection hidden="1"/>
    </xf>
    <xf numFmtId="176" fontId="33" fillId="5" borderId="34" xfId="2" applyNumberFormat="1" applyFont="1" applyFill="1" applyBorder="1" applyAlignment="1">
      <alignment horizontal="center"/>
    </xf>
    <xf numFmtId="176" fontId="33" fillId="5" borderId="14" xfId="2" applyNumberFormat="1" applyFont="1" applyFill="1" applyBorder="1" applyAlignment="1">
      <alignment horizontal="center"/>
    </xf>
    <xf numFmtId="178" fontId="34" fillId="5" borderId="34" xfId="2" applyNumberFormat="1" applyFont="1" applyFill="1" applyBorder="1" applyAlignment="1">
      <alignment horizontal="center"/>
    </xf>
    <xf numFmtId="178" fontId="34" fillId="5" borderId="14" xfId="2" applyNumberFormat="1" applyFont="1" applyFill="1" applyBorder="1" applyAlignment="1">
      <alignment horizontal="center"/>
    </xf>
    <xf numFmtId="0" fontId="33" fillId="6" borderId="34" xfId="2" applyFont="1" applyFill="1" applyBorder="1" applyAlignment="1">
      <alignment horizontal="center"/>
    </xf>
    <xf numFmtId="0" fontId="33" fillId="6" borderId="14" xfId="2" applyFont="1" applyFill="1" applyBorder="1" applyAlignment="1">
      <alignment horizontal="center"/>
    </xf>
    <xf numFmtId="20" fontId="2" fillId="4" borderId="34" xfId="2" applyNumberFormat="1" applyFont="1" applyFill="1" applyBorder="1" applyAlignment="1" applyProtection="1">
      <alignment horizontal="center"/>
      <protection locked="0"/>
    </xf>
    <xf numFmtId="20" fontId="2" fillId="4" borderId="82" xfId="2" applyNumberFormat="1" applyFont="1" applyFill="1" applyBorder="1" applyAlignment="1" applyProtection="1">
      <alignment horizontal="center"/>
      <protection locked="0"/>
    </xf>
    <xf numFmtId="177" fontId="2" fillId="4" borderId="2" xfId="2" applyNumberFormat="1" applyFont="1" applyFill="1" applyBorder="1" applyAlignment="1" applyProtection="1">
      <alignment horizontal="center"/>
      <protection locked="0"/>
    </xf>
    <xf numFmtId="0" fontId="45" fillId="0" borderId="83" xfId="2" applyFont="1" applyBorder="1" applyAlignment="1">
      <alignment horizontal="center"/>
    </xf>
    <xf numFmtId="0" fontId="2" fillId="4" borderId="21" xfId="2" applyFont="1" applyFill="1" applyBorder="1" applyAlignment="1" applyProtection="1">
      <alignment horizontal="center"/>
      <protection locked="0"/>
    </xf>
    <xf numFmtId="0" fontId="2" fillId="4" borderId="84" xfId="2" applyFont="1" applyFill="1" applyBorder="1" applyAlignment="1" applyProtection="1">
      <alignment horizontal="center"/>
      <protection locked="0"/>
    </xf>
    <xf numFmtId="0" fontId="17" fillId="5" borderId="31" xfId="2" applyFont="1" applyFill="1" applyBorder="1" applyAlignment="1">
      <alignment horizontal="center" vertical="center"/>
    </xf>
    <xf numFmtId="0" fontId="17" fillId="5" borderId="32" xfId="2" applyFont="1" applyFill="1" applyBorder="1" applyAlignment="1">
      <alignment horizontal="center" vertical="center"/>
    </xf>
    <xf numFmtId="0" fontId="17" fillId="5" borderId="21" xfId="2" applyFont="1" applyFill="1" applyBorder="1" applyAlignment="1">
      <alignment horizontal="center" vertical="center"/>
    </xf>
    <xf numFmtId="0" fontId="17" fillId="5" borderId="23" xfId="2" applyFont="1" applyFill="1" applyBorder="1" applyAlignment="1">
      <alignment horizontal="center" vertical="center"/>
    </xf>
    <xf numFmtId="0" fontId="2" fillId="4" borderId="2" xfId="2" applyFont="1" applyFill="1" applyBorder="1" applyAlignment="1" applyProtection="1">
      <alignment horizontal="center"/>
      <protection locked="0"/>
    </xf>
    <xf numFmtId="0" fontId="2" fillId="4" borderId="8" xfId="2" applyFont="1" applyFill="1" applyBorder="1" applyAlignment="1" applyProtection="1">
      <alignment horizontal="center"/>
      <protection locked="0"/>
    </xf>
    <xf numFmtId="177" fontId="33" fillId="5" borderId="34" xfId="2" applyNumberFormat="1" applyFont="1" applyFill="1" applyBorder="1" applyAlignment="1" applyProtection="1">
      <alignment horizontal="center"/>
      <protection hidden="1"/>
    </xf>
    <xf numFmtId="177" fontId="33" fillId="5" borderId="14" xfId="2" applyNumberFormat="1" applyFont="1" applyFill="1" applyBorder="1" applyAlignment="1" applyProtection="1">
      <alignment horizontal="center"/>
      <protection hidden="1"/>
    </xf>
    <xf numFmtId="176" fontId="33" fillId="5" borderId="34" xfId="2" applyNumberFormat="1" applyFont="1" applyFill="1" applyBorder="1" applyAlignment="1" applyProtection="1">
      <alignment horizontal="center"/>
      <protection hidden="1"/>
    </xf>
    <xf numFmtId="176" fontId="33" fillId="5" borderId="14" xfId="2" applyNumberFormat="1" applyFont="1" applyFill="1" applyBorder="1" applyAlignment="1" applyProtection="1">
      <alignment horizontal="center"/>
      <protection hidden="1"/>
    </xf>
    <xf numFmtId="165" fontId="2" fillId="5" borderId="34" xfId="2" applyNumberFormat="1" applyFont="1" applyFill="1" applyBorder="1" applyAlignment="1">
      <alignment horizontal="center"/>
    </xf>
    <xf numFmtId="165" fontId="2" fillId="5" borderId="14" xfId="2" applyNumberFormat="1" applyFont="1" applyFill="1" applyBorder="1" applyAlignment="1">
      <alignment horizontal="center"/>
    </xf>
    <xf numFmtId="0" fontId="15" fillId="0" borderId="0" xfId="2" applyFont="1" applyAlignment="1" applyProtection="1">
      <alignment horizontal="center"/>
      <protection hidden="1"/>
    </xf>
    <xf numFmtId="0" fontId="30" fillId="6" borderId="34" xfId="2" applyFont="1" applyFill="1" applyBorder="1" applyAlignment="1" applyProtection="1">
      <alignment horizontal="center"/>
      <protection hidden="1"/>
    </xf>
    <xf numFmtId="0" fontId="30" fillId="6" borderId="14" xfId="2" applyFont="1" applyFill="1" applyBorder="1" applyAlignment="1" applyProtection="1">
      <alignment horizontal="center"/>
      <protection hidden="1"/>
    </xf>
    <xf numFmtId="0" fontId="2" fillId="10" borderId="2" xfId="2" applyFont="1" applyFill="1" applyBorder="1" applyAlignment="1" applyProtection="1">
      <alignment horizontal="center"/>
      <protection hidden="1"/>
    </xf>
    <xf numFmtId="0" fontId="33" fillId="6" borderId="2" xfId="2" applyFont="1" applyFill="1" applyBorder="1" applyAlignment="1">
      <alignment horizontal="center"/>
    </xf>
    <xf numFmtId="0" fontId="41" fillId="8" borderId="85" xfId="0" applyFont="1" applyFill="1" applyBorder="1" applyAlignment="1" applyProtection="1">
      <alignment horizontal="center" vertical="center"/>
      <protection hidden="1"/>
    </xf>
    <xf numFmtId="0" fontId="41" fillId="8" borderId="86" xfId="0" applyFont="1" applyFill="1" applyBorder="1" applyAlignment="1" applyProtection="1">
      <alignment horizontal="center" vertical="center"/>
      <protection hidden="1"/>
    </xf>
    <xf numFmtId="0" fontId="2" fillId="8" borderId="87" xfId="0" applyFont="1" applyFill="1" applyBorder="1" applyAlignment="1" applyProtection="1">
      <alignment horizontal="center" vertical="center"/>
      <protection hidden="1"/>
    </xf>
    <xf numFmtId="0" fontId="11" fillId="8" borderId="15" xfId="0" applyFont="1" applyFill="1" applyBorder="1" applyAlignment="1" applyProtection="1">
      <alignment horizontal="center" vertical="center"/>
      <protection hidden="1"/>
    </xf>
    <xf numFmtId="0" fontId="41" fillId="8" borderId="88" xfId="0" applyFont="1" applyFill="1" applyBorder="1" applyAlignment="1" applyProtection="1">
      <alignment horizontal="center" vertical="center"/>
      <protection hidden="1"/>
    </xf>
    <xf numFmtId="0" fontId="41" fillId="8" borderId="89" xfId="0" applyFont="1" applyFill="1" applyBorder="1" applyAlignment="1" applyProtection="1">
      <alignment horizontal="center" vertical="center"/>
      <protection hidden="1"/>
    </xf>
    <xf numFmtId="0" fontId="14" fillId="8" borderId="15" xfId="0" applyFont="1" applyFill="1" applyBorder="1" applyAlignment="1" applyProtection="1">
      <alignment horizontal="center" vertical="center"/>
      <protection hidden="1"/>
    </xf>
    <xf numFmtId="0" fontId="12" fillId="8" borderId="17" xfId="0" applyFont="1" applyFill="1" applyBorder="1" applyAlignment="1" applyProtection="1">
      <alignment horizontal="center" vertical="center"/>
      <protection hidden="1"/>
    </xf>
    <xf numFmtId="0" fontId="12" fillId="8" borderId="16" xfId="0" applyFont="1" applyFill="1" applyBorder="1" applyAlignment="1" applyProtection="1">
      <alignment horizontal="center" vertical="center"/>
      <protection hidden="1"/>
    </xf>
    <xf numFmtId="0" fontId="2" fillId="13" borderId="90" xfId="0" applyFont="1" applyFill="1" applyBorder="1" applyAlignment="1" applyProtection="1">
      <alignment horizontal="center" vertical="center"/>
      <protection locked="0"/>
    </xf>
    <xf numFmtId="0" fontId="2" fillId="13" borderId="91" xfId="0" applyFont="1" applyFill="1" applyBorder="1" applyAlignment="1" applyProtection="1">
      <alignment horizontal="center" vertical="center"/>
      <protection locked="0"/>
    </xf>
    <xf numFmtId="164" fontId="2" fillId="13" borderId="103" xfId="0" applyNumberFormat="1" applyFont="1" applyFill="1" applyBorder="1" applyAlignment="1">
      <alignment horizontal="center" vertical="center"/>
    </xf>
    <xf numFmtId="168" fontId="2" fillId="13" borderId="15" xfId="0" applyNumberFormat="1" applyFont="1" applyFill="1" applyBorder="1" applyAlignment="1" applyProtection="1">
      <alignment horizontal="center" vertical="center"/>
      <protection locked="0"/>
    </xf>
    <xf numFmtId="167" fontId="2" fillId="13" borderId="15" xfId="0" applyNumberFormat="1" applyFont="1" applyFill="1" applyBorder="1" applyAlignment="1" applyProtection="1">
      <alignment horizontal="center" vertical="center"/>
      <protection locked="0"/>
    </xf>
    <xf numFmtId="0" fontId="2" fillId="13" borderId="92" xfId="0" applyFont="1" applyFill="1" applyBorder="1" applyAlignment="1">
      <alignment horizontal="center"/>
    </xf>
    <xf numFmtId="0" fontId="2" fillId="13" borderId="91" xfId="0" applyFont="1" applyFill="1" applyBorder="1" applyAlignment="1">
      <alignment horizontal="center"/>
    </xf>
    <xf numFmtId="0" fontId="2" fillId="12" borderId="15" xfId="0" applyFont="1" applyFill="1" applyBorder="1" applyAlignment="1" applyProtection="1">
      <alignment horizontal="center"/>
      <protection hidden="1"/>
    </xf>
    <xf numFmtId="166" fontId="2" fillId="17" borderId="46" xfId="0" applyNumberFormat="1" applyFont="1" applyFill="1" applyBorder="1" applyAlignment="1">
      <alignment horizontal="center" vertical="center"/>
    </xf>
    <xf numFmtId="0" fontId="2" fillId="12" borderId="66" xfId="0" applyFont="1" applyFill="1" applyBorder="1" applyAlignment="1" applyProtection="1">
      <alignment horizontal="center"/>
      <protection hidden="1"/>
    </xf>
    <xf numFmtId="0" fontId="2" fillId="12" borderId="93" xfId="0" applyFont="1" applyFill="1" applyBorder="1" applyAlignment="1" applyProtection="1">
      <alignment horizontal="center"/>
      <protection hidden="1"/>
    </xf>
    <xf numFmtId="0" fontId="11" fillId="8" borderId="94" xfId="0" applyFont="1" applyFill="1" applyBorder="1" applyAlignment="1" applyProtection="1">
      <alignment horizontal="center" vertical="center"/>
      <protection hidden="1"/>
    </xf>
    <xf numFmtId="0" fontId="11" fillId="8" borderId="68" xfId="0" applyFont="1" applyFill="1" applyBorder="1" applyAlignment="1" applyProtection="1">
      <alignment horizontal="center" vertical="center"/>
      <protection hidden="1"/>
    </xf>
    <xf numFmtId="0" fontId="12" fillId="8" borderId="95" xfId="0" applyFont="1" applyFill="1" applyBorder="1" applyAlignment="1" applyProtection="1">
      <alignment horizontal="center" vertical="center"/>
      <protection hidden="1"/>
    </xf>
    <xf numFmtId="0" fontId="11" fillId="8" borderId="96" xfId="0" applyFont="1" applyFill="1" applyBorder="1" applyAlignment="1" applyProtection="1">
      <alignment horizontal="center" vertical="center"/>
      <protection hidden="1"/>
    </xf>
    <xf numFmtId="0" fontId="41" fillId="8" borderId="97" xfId="0" applyFont="1" applyFill="1" applyBorder="1" applyAlignment="1" applyProtection="1">
      <alignment horizontal="center" vertical="center"/>
      <protection hidden="1"/>
    </xf>
    <xf numFmtId="0" fontId="2" fillId="4" borderId="34" xfId="2" applyFont="1" applyFill="1" applyBorder="1" applyAlignment="1" applyProtection="1">
      <alignment horizontal="center" vertical="center"/>
      <protection locked="0"/>
    </xf>
    <xf numFmtId="0" fontId="2" fillId="4" borderId="14" xfId="2" applyFont="1" applyFill="1" applyBorder="1" applyAlignment="1" applyProtection="1">
      <alignment horizontal="center" vertical="center"/>
      <protection locked="0"/>
    </xf>
    <xf numFmtId="0" fontId="14" fillId="8" borderId="98" xfId="0" applyFont="1" applyFill="1" applyBorder="1" applyAlignment="1" applyProtection="1">
      <alignment horizontal="center" vertical="center"/>
      <protection hidden="1"/>
    </xf>
    <xf numFmtId="0" fontId="14" fillId="8" borderId="43" xfId="0" applyFont="1" applyFill="1" applyBorder="1" applyAlignment="1" applyProtection="1">
      <alignment horizontal="center" vertical="center"/>
      <protection hidden="1"/>
    </xf>
    <xf numFmtId="0" fontId="2" fillId="10" borderId="2" xfId="2" applyFont="1" applyFill="1" applyBorder="1" applyAlignment="1" applyProtection="1">
      <alignment horizontal="center" vertical="center"/>
      <protection hidden="1"/>
    </xf>
    <xf numFmtId="0" fontId="0" fillId="0" borderId="31" xfId="0" applyBorder="1" applyAlignment="1">
      <alignment horizontal="center" vertical="center"/>
    </xf>
    <xf numFmtId="0" fontId="0" fillId="0" borderId="33" xfId="0" applyBorder="1" applyAlignment="1">
      <alignment horizontal="center" vertical="center"/>
    </xf>
    <xf numFmtId="0" fontId="0" fillId="0" borderId="32" xfId="0" applyBorder="1" applyAlignment="1">
      <alignment horizontal="center" vertical="center"/>
    </xf>
    <xf numFmtId="0" fontId="2" fillId="4" borderId="2" xfId="2" applyFont="1" applyFill="1" applyBorder="1" applyAlignment="1" applyProtection="1">
      <alignment horizontal="center" vertical="center"/>
      <protection locked="0"/>
    </xf>
    <xf numFmtId="0" fontId="35" fillId="13" borderId="2" xfId="0" applyFont="1" applyFill="1" applyBorder="1" applyAlignment="1">
      <alignment horizontal="center"/>
    </xf>
    <xf numFmtId="0" fontId="45" fillId="0" borderId="0" xfId="0" applyFont="1" applyAlignment="1">
      <alignment horizontal="center" vertical="center"/>
    </xf>
    <xf numFmtId="0" fontId="3" fillId="20" borderId="0" xfId="0" applyFont="1" applyFill="1" applyAlignment="1">
      <alignment horizontal="center"/>
    </xf>
    <xf numFmtId="0" fontId="35" fillId="13" borderId="15" xfId="0" applyFont="1" applyFill="1" applyBorder="1" applyAlignment="1">
      <alignment horizontal="center"/>
    </xf>
    <xf numFmtId="0" fontId="35" fillId="13" borderId="46" xfId="0" applyFont="1" applyFill="1" applyBorder="1" applyAlignment="1">
      <alignment horizontal="center"/>
    </xf>
    <xf numFmtId="0" fontId="2" fillId="0" borderId="0" xfId="0" applyFont="1" applyAlignment="1">
      <alignment horizontal="center" vertical="center"/>
    </xf>
    <xf numFmtId="0" fontId="2" fillId="0" borderId="0" xfId="0" applyFont="1" applyAlignment="1" applyProtection="1">
      <alignment horizontal="center"/>
      <protection hidden="1"/>
    </xf>
    <xf numFmtId="0" fontId="0" fillId="0" borderId="0" xfId="0" applyAlignment="1">
      <alignment horizontal="center"/>
    </xf>
    <xf numFmtId="0" fontId="0" fillId="30" borderId="21" xfId="0" applyFill="1" applyBorder="1" applyAlignment="1">
      <alignment horizontal="center"/>
    </xf>
    <xf numFmtId="0" fontId="0" fillId="30" borderId="23" xfId="0" applyFill="1" applyBorder="1" applyAlignment="1">
      <alignment horizontal="center"/>
    </xf>
    <xf numFmtId="0" fontId="0" fillId="0" borderId="0" xfId="0" applyAlignment="1" applyProtection="1">
      <alignment horizontal="center"/>
      <protection locked="0"/>
    </xf>
    <xf numFmtId="0" fontId="0" fillId="30" borderId="19" xfId="0" applyFill="1" applyBorder="1" applyAlignment="1">
      <alignment horizontal="center"/>
    </xf>
    <xf numFmtId="0" fontId="0" fillId="30" borderId="20" xfId="0" applyFill="1" applyBorder="1" applyAlignment="1">
      <alignment horizontal="center"/>
    </xf>
    <xf numFmtId="0" fontId="0" fillId="4" borderId="19" xfId="0" applyFill="1" applyBorder="1" applyAlignment="1" applyProtection="1">
      <alignment horizontal="center"/>
      <protection locked="0"/>
    </xf>
    <xf numFmtId="0" fontId="0" fillId="4" borderId="20" xfId="0" applyFill="1" applyBorder="1" applyAlignment="1" applyProtection="1">
      <alignment horizontal="center"/>
      <protection locked="0"/>
    </xf>
    <xf numFmtId="0" fontId="0" fillId="4" borderId="0" xfId="0" applyFill="1" applyAlignment="1" applyProtection="1">
      <alignment horizontal="center"/>
      <protection locked="0"/>
    </xf>
    <xf numFmtId="0" fontId="0" fillId="30" borderId="21" xfId="0" applyFill="1" applyBorder="1" applyAlignment="1" applyProtection="1">
      <alignment horizontal="center"/>
      <protection locked="0"/>
    </xf>
    <xf numFmtId="0" fontId="0" fillId="30" borderId="23" xfId="0" applyFill="1" applyBorder="1" applyAlignment="1" applyProtection="1">
      <alignment horizontal="center"/>
      <protection locked="0"/>
    </xf>
    <xf numFmtId="0" fontId="0" fillId="0" borderId="33" xfId="0" applyBorder="1" applyAlignment="1" applyProtection="1">
      <alignment horizontal="center"/>
      <protection locked="0"/>
    </xf>
    <xf numFmtId="0" fontId="0" fillId="30" borderId="19" xfId="0" applyFill="1" applyBorder="1" applyAlignment="1" applyProtection="1">
      <alignment horizontal="center"/>
      <protection locked="0"/>
    </xf>
    <xf numFmtId="0" fontId="0" fillId="30" borderId="20" xfId="0" applyFill="1" applyBorder="1" applyAlignment="1" applyProtection="1">
      <alignment horizontal="center"/>
      <protection locked="0"/>
    </xf>
    <xf numFmtId="0" fontId="0" fillId="28" borderId="31" xfId="0" applyFill="1" applyBorder="1" applyAlignment="1">
      <alignment horizontal="center"/>
    </xf>
    <xf numFmtId="0" fontId="0" fillId="28" borderId="32" xfId="0" applyFill="1" applyBorder="1" applyAlignment="1">
      <alignment horizontal="center"/>
    </xf>
    <xf numFmtId="0" fontId="0" fillId="0" borderId="33" xfId="0" applyBorder="1" applyAlignment="1">
      <alignment horizontal="center"/>
    </xf>
    <xf numFmtId="2" fontId="0" fillId="22" borderId="53" xfId="0" applyNumberFormat="1" applyFill="1" applyBorder="1" applyAlignment="1">
      <alignment horizontal="center"/>
    </xf>
    <xf numFmtId="2" fontId="0" fillId="22" borderId="65" xfId="0" applyNumberFormat="1" applyFill="1" applyBorder="1" applyAlignment="1">
      <alignment horizontal="center"/>
    </xf>
    <xf numFmtId="2" fontId="0" fillId="22" borderId="11" xfId="0" applyNumberFormat="1" applyFill="1" applyBorder="1" applyAlignment="1">
      <alignment horizontal="center"/>
    </xf>
    <xf numFmtId="2" fontId="0" fillId="22" borderId="54" xfId="0" applyNumberFormat="1" applyFill="1" applyBorder="1" applyAlignment="1">
      <alignment horizontal="center"/>
    </xf>
    <xf numFmtId="0" fontId="0" fillId="22" borderId="99" xfId="0" applyFill="1" applyBorder="1" applyAlignment="1">
      <alignment horizontal="center"/>
    </xf>
    <xf numFmtId="0" fontId="0" fillId="22" borderId="100" xfId="0" applyFill="1" applyBorder="1" applyAlignment="1">
      <alignment horizontal="center"/>
    </xf>
    <xf numFmtId="0" fontId="0" fillId="22" borderId="101" xfId="0" applyFill="1" applyBorder="1" applyAlignment="1">
      <alignment horizontal="center"/>
    </xf>
    <xf numFmtId="2" fontId="0" fillId="22" borderId="52" xfId="0" applyNumberFormat="1" applyFill="1" applyBorder="1" applyAlignment="1">
      <alignment horizontal="center"/>
    </xf>
    <xf numFmtId="0" fontId="35" fillId="13" borderId="18" xfId="0" applyFont="1" applyFill="1" applyBorder="1" applyAlignment="1">
      <alignment horizontal="center"/>
    </xf>
    <xf numFmtId="0" fontId="35" fillId="13" borderId="27" xfId="0" applyFont="1" applyFill="1" applyBorder="1" applyAlignment="1">
      <alignment horizontal="center"/>
    </xf>
    <xf numFmtId="194" fontId="2" fillId="13" borderId="46" xfId="0" applyNumberFormat="1" applyFont="1" applyFill="1" applyBorder="1" applyAlignment="1">
      <alignment horizontal="center" vertical="center"/>
    </xf>
    <xf numFmtId="195" fontId="2" fillId="17" borderId="15" xfId="0" applyNumberFormat="1" applyFont="1" applyFill="1" applyBorder="1" applyAlignment="1">
      <alignment horizontal="center" vertical="center"/>
    </xf>
    <xf numFmtId="0" fontId="2" fillId="13" borderId="15" xfId="0" applyFont="1" applyFill="1" applyBorder="1" applyAlignment="1">
      <alignment horizontal="center" vertical="center"/>
    </xf>
    <xf numFmtId="0" fontId="2" fillId="13" borderId="46" xfId="0" applyFont="1" applyFill="1" applyBorder="1" applyAlignment="1">
      <alignment horizontal="center" vertical="center"/>
    </xf>
    <xf numFmtId="165" fontId="2" fillId="0" borderId="33" xfId="0" applyNumberFormat="1" applyFont="1" applyBorder="1" applyAlignment="1">
      <alignment horizontal="center" vertical="center"/>
    </xf>
    <xf numFmtId="165" fontId="2" fillId="0" borderId="32" xfId="0" applyNumberFormat="1" applyFont="1" applyBorder="1" applyAlignment="1">
      <alignment horizontal="center" vertical="center"/>
    </xf>
    <xf numFmtId="165" fontId="2" fillId="0" borderId="0" xfId="0" applyNumberFormat="1" applyFont="1" applyAlignment="1">
      <alignment horizontal="center" vertical="center"/>
    </xf>
    <xf numFmtId="165" fontId="2" fillId="0" borderId="20" xfId="0" applyNumberFormat="1" applyFont="1" applyBorder="1" applyAlignment="1">
      <alignment horizontal="center" vertical="center"/>
    </xf>
    <xf numFmtId="0" fontId="2" fillId="0" borderId="12" xfId="0" applyFont="1" applyBorder="1" applyAlignment="1">
      <alignment horizontal="center" vertical="center"/>
    </xf>
    <xf numFmtId="0" fontId="2" fillId="0" borderId="102" xfId="0" applyFont="1" applyBorder="1" applyAlignment="1">
      <alignment horizontal="center" vertical="center"/>
    </xf>
    <xf numFmtId="0" fontId="2" fillId="0" borderId="20" xfId="0" applyFont="1" applyBorder="1" applyAlignment="1">
      <alignment horizontal="center" vertical="center"/>
    </xf>
    <xf numFmtId="175" fontId="2" fillId="0" borderId="22" xfId="0" applyNumberFormat="1" applyFont="1" applyBorder="1" applyAlignment="1">
      <alignment horizontal="center" vertical="center"/>
    </xf>
    <xf numFmtId="175" fontId="2" fillId="0" borderId="23" xfId="0" applyNumberFormat="1" applyFont="1" applyBorder="1" applyAlignment="1">
      <alignment horizontal="center" vertical="center"/>
    </xf>
    <xf numFmtId="165" fontId="2" fillId="0" borderId="12" xfId="0" applyNumberFormat="1" applyFont="1" applyBorder="1" applyAlignment="1">
      <alignment horizontal="center" vertical="center"/>
    </xf>
    <xf numFmtId="1" fontId="2" fillId="0" borderId="12" xfId="0" applyNumberFormat="1" applyFont="1" applyBorder="1" applyAlignment="1">
      <alignment horizontal="center" vertical="center"/>
    </xf>
    <xf numFmtId="0" fontId="2" fillId="0" borderId="21" xfId="0" applyFont="1" applyBorder="1" applyAlignment="1">
      <alignment horizontal="left"/>
    </xf>
    <xf numFmtId="0" fontId="2" fillId="0" borderId="22" xfId="0" applyFont="1" applyBorder="1" applyAlignment="1">
      <alignment horizontal="left"/>
    </xf>
    <xf numFmtId="0" fontId="2" fillId="0" borderId="31" xfId="0" applyFont="1" applyBorder="1" applyAlignment="1">
      <alignment horizontal="left"/>
    </xf>
    <xf numFmtId="0" fontId="2" fillId="0" borderId="33" xfId="0" applyFont="1" applyBorder="1" applyAlignment="1">
      <alignment horizontal="left"/>
    </xf>
  </cellXfs>
  <cellStyles count="3">
    <cellStyle name="Lien hypertexte" xfId="1" builtinId="8"/>
    <cellStyle name="Normal" xfId="0" builtinId="0"/>
    <cellStyle name="Normal 2" xfId="2" xr:uid="{00000000-0005-0000-0000-000002000000}"/>
  </cellStyles>
  <dxfs count="54">
    <dxf>
      <font>
        <color theme="0"/>
      </font>
    </dxf>
    <dxf>
      <font>
        <color theme="0"/>
      </font>
    </dxf>
    <dxf>
      <font>
        <color theme="0"/>
      </font>
    </dxf>
    <dxf>
      <fill>
        <patternFill patternType="solid">
          <fgColor indexed="42"/>
          <bgColor rgb="FFFFFFCC"/>
        </patternFill>
      </fill>
    </dxf>
    <dxf>
      <fill>
        <patternFill patternType="solid">
          <fgColor indexed="31"/>
          <bgColor indexed="22"/>
        </patternFill>
      </fill>
    </dxf>
    <dxf>
      <fill>
        <patternFill patternType="solid">
          <fgColor indexed="27"/>
          <bgColor rgb="FFFFCCFF"/>
        </patternFill>
      </fill>
    </dxf>
    <dxf>
      <font>
        <color rgb="FFFF0000"/>
      </font>
    </dxf>
    <dxf>
      <font>
        <color rgb="FF808080"/>
      </font>
    </dxf>
    <dxf>
      <fill>
        <patternFill>
          <bgColor indexed="10"/>
        </patternFill>
      </fill>
    </dxf>
    <dxf>
      <fill>
        <patternFill patternType="solid">
          <fgColor indexed="53"/>
          <bgColor rgb="FFFF0000"/>
        </patternFill>
      </fill>
    </dxf>
    <dxf>
      <fill>
        <patternFill patternType="solid">
          <fgColor indexed="60"/>
          <bgColor indexed="10"/>
        </patternFill>
      </fill>
    </dxf>
    <dxf>
      <fill>
        <patternFill>
          <bgColor rgb="FFFF0000"/>
        </patternFill>
      </fill>
    </dxf>
    <dxf>
      <font>
        <color rgb="FFCCFFFF"/>
      </font>
    </dxf>
    <dxf>
      <font>
        <color rgb="FFCC6600"/>
      </font>
    </dxf>
    <dxf>
      <font>
        <color rgb="FFCC6600"/>
      </font>
    </dxf>
    <dxf>
      <fill>
        <patternFill>
          <bgColor rgb="FFFF0000"/>
        </patternFill>
      </fill>
    </dxf>
    <dxf>
      <font>
        <color theme="0"/>
      </font>
      <fill>
        <patternFill patternType="none">
          <bgColor indexed="65"/>
        </patternFill>
      </fill>
      <border>
        <left/>
        <right/>
        <top/>
        <bottom/>
      </border>
    </dxf>
    <dxf>
      <font>
        <color theme="0"/>
      </font>
      <fill>
        <patternFill patternType="none">
          <bgColor indexed="65"/>
        </patternFill>
      </fill>
      <border>
        <left/>
        <right/>
        <bottom/>
      </border>
    </dxf>
    <dxf>
      <font>
        <color rgb="FF99CCFF"/>
      </font>
    </dxf>
    <dxf>
      <fill>
        <patternFill>
          <bgColor indexed="10"/>
        </patternFill>
      </fill>
    </dxf>
    <dxf>
      <font>
        <color theme="0"/>
      </font>
      <fill>
        <patternFill>
          <bgColor theme="0"/>
        </patternFill>
      </fill>
      <border>
        <right/>
        <top/>
        <bottom/>
      </border>
    </dxf>
    <dxf>
      <font>
        <color indexed="9"/>
      </font>
      <fill>
        <patternFill patternType="solid">
          <bgColor indexed="9"/>
        </patternFill>
      </fill>
      <border>
        <left/>
        <right/>
        <top/>
        <bottom/>
      </border>
    </dxf>
    <dxf>
      <font>
        <color theme="0"/>
      </font>
      <fill>
        <patternFill>
          <bgColor theme="0"/>
        </patternFill>
      </fill>
      <border>
        <left/>
        <right/>
        <top/>
        <bottom/>
      </border>
    </dxf>
    <dxf>
      <font>
        <color theme="0"/>
      </font>
      <fill>
        <patternFill patternType="solid">
          <bgColor theme="0"/>
        </patternFill>
      </fill>
      <border>
        <right/>
        <bottom/>
      </border>
    </dxf>
    <dxf>
      <fill>
        <patternFill patternType="solid">
          <fgColor indexed="60"/>
          <bgColor indexed="10"/>
        </patternFill>
      </fill>
    </dxf>
    <dxf>
      <font>
        <color rgb="FFFFFF99"/>
        <name val="Cambria"/>
        <scheme val="none"/>
      </font>
    </dxf>
    <dxf>
      <font>
        <color rgb="FF808080"/>
      </font>
    </dxf>
    <dxf>
      <font>
        <color theme="0"/>
      </font>
      <fill>
        <patternFill>
          <bgColor theme="0"/>
        </patternFill>
      </fill>
      <border>
        <left/>
        <right/>
        <bottom/>
      </border>
    </dxf>
    <dxf>
      <font>
        <color rgb="FFFF0000"/>
      </font>
    </dxf>
    <dxf>
      <font>
        <color indexed="9"/>
      </font>
      <fill>
        <patternFill>
          <bgColor indexed="9"/>
        </patternFill>
      </fill>
      <border>
        <left/>
        <right/>
        <top/>
        <bottom/>
      </border>
    </dxf>
    <dxf>
      <font>
        <condense val="0"/>
        <extend val="0"/>
        <color indexed="9"/>
      </font>
      <fill>
        <patternFill patternType="none">
          <bgColor indexed="65"/>
        </patternFill>
      </fill>
      <border>
        <left/>
        <right/>
        <top/>
        <bottom/>
      </border>
    </dxf>
    <dxf>
      <font>
        <condense val="0"/>
        <extend val="0"/>
        <color indexed="9"/>
      </font>
      <fill>
        <patternFill patternType="none">
          <bgColor indexed="65"/>
        </patternFill>
      </fill>
      <border>
        <left/>
        <right/>
        <top/>
        <bottom/>
      </border>
    </dxf>
    <dxf>
      <font>
        <color theme="0"/>
      </font>
    </dxf>
    <dxf>
      <font>
        <color rgb="FFFF0000"/>
      </font>
    </dxf>
    <dxf>
      <font>
        <color rgb="FFFF0000"/>
      </font>
    </dxf>
    <dxf>
      <font>
        <color rgb="FFFF0000"/>
      </font>
    </dxf>
    <dxf>
      <font>
        <condense val="0"/>
        <extend val="0"/>
        <color indexed="11"/>
      </font>
    </dxf>
    <dxf>
      <font>
        <color rgb="FFFF0000"/>
      </font>
    </dxf>
    <dxf>
      <font>
        <color rgb="FFFF0000"/>
      </font>
    </dxf>
    <dxf>
      <font>
        <color rgb="FFFF0000"/>
      </font>
    </dxf>
    <dxf>
      <font>
        <color rgb="FFFF0000"/>
      </font>
    </dxf>
    <dxf>
      <font>
        <color theme="1"/>
      </font>
    </dxf>
    <dxf>
      <font>
        <color rgb="FFFFFF99"/>
      </font>
    </dxf>
    <dxf>
      <font>
        <color rgb="FFCC6600"/>
      </font>
    </dxf>
    <dxf>
      <font>
        <color rgb="FFCC6600"/>
      </font>
    </dxf>
    <dxf>
      <font>
        <color rgb="FFCC6600"/>
      </font>
    </dxf>
    <dxf>
      <font>
        <color rgb="FFCC6600"/>
      </font>
    </dxf>
    <dxf>
      <font>
        <color rgb="FFCC6600"/>
      </font>
    </dxf>
    <dxf>
      <font>
        <color theme="1"/>
      </font>
    </dxf>
    <dxf>
      <font>
        <color rgb="FFCC6600"/>
      </font>
    </dxf>
    <dxf>
      <font>
        <color rgb="FFCC6600"/>
      </font>
    </dxf>
    <dxf>
      <font>
        <color rgb="FFFF0000"/>
      </font>
    </dxf>
    <dxf>
      <font>
        <color rgb="FFCC6600"/>
      </font>
    </dxf>
    <dxf>
      <font>
        <color theme="0"/>
      </font>
      <fill>
        <patternFill patternType="none">
          <bgColor indexed="65"/>
        </patternFill>
      </fill>
      <border>
        <left/>
        <right/>
        <bottom/>
      </border>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3CAFF"/>
      <rgbColor rgb="00993366"/>
      <rgbColor rgb="00E6E6E6"/>
      <rgbColor rgb="00CCFFFF"/>
      <rgbColor rgb="00660066"/>
      <rgbColor rgb="00FF8080"/>
      <rgbColor rgb="000066CC"/>
      <rgbColor rgb="00CCCCCC"/>
      <rgbColor rgb="00000080"/>
      <rgbColor rgb="00FF00FF"/>
      <rgbColor rgb="00FFFF00"/>
      <rgbColor rgb="0000FFFF"/>
      <rgbColor rgb="00800080"/>
      <rgbColor rgb="00800000"/>
      <rgbColor rgb="00008080"/>
      <rgbColor rgb="000000FF"/>
      <rgbColor rgb="0000CCFF"/>
      <rgbColor rgb="00D9D9D9"/>
      <rgbColor rgb="00CCFFCC"/>
      <rgbColor rgb="00FFFF99"/>
      <rgbColor rgb="0099CCFF"/>
      <rgbColor rgb="00FF99CC"/>
      <rgbColor rgb="00CC99FF"/>
      <rgbColor rgb="00FFCC99"/>
      <rgbColor rgb="003366FF"/>
      <rgbColor rgb="0033CCCC"/>
      <rgbColor rgb="0099CC00"/>
      <rgbColor rgb="00FFD320"/>
      <rgbColor rgb="00FF9900"/>
      <rgbColor rgb="00FF6600"/>
      <rgbColor rgb="00666699"/>
      <rgbColor rgb="00B3B3B3"/>
      <rgbColor rgb="00004586"/>
      <rgbColor rgb="00339966"/>
      <rgbColor rgb="00003300"/>
      <rgbColor rgb="00333300"/>
      <rgbColor rgb="00993300"/>
      <rgbColor rgb="00993366"/>
      <rgbColor rgb="00333399"/>
      <rgbColor rgb="00333333"/>
    </indexed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7970566137003713E-2"/>
          <c:y val="6.4690026954178192E-2"/>
          <c:w val="0.84871001627006748"/>
          <c:h val="0.90566037735849303"/>
        </c:manualLayout>
      </c:layout>
      <c:scatterChart>
        <c:scatterStyle val="lineMarker"/>
        <c:varyColors val="0"/>
        <c:ser>
          <c:idx val="0"/>
          <c:order val="0"/>
          <c:tx>
            <c:v>fuselage</c:v>
          </c:tx>
          <c:spPr>
            <a:ln w="25400">
              <a:solidFill>
                <a:srgbClr val="000080"/>
              </a:solidFill>
              <a:prstDash val="solid"/>
            </a:ln>
          </c:spPr>
          <c:marker>
            <c:symbol val="none"/>
          </c:marker>
          <c:xVal>
            <c:numRef>
              <c:f>Stabilito!$D$124:$D$131</c:f>
              <c:numCache>
                <c:formatCode>0</c:formatCode>
                <c:ptCount val="8"/>
                <c:pt idx="0">
                  <c:v>0</c:v>
                </c:pt>
                <c:pt idx="1">
                  <c:v>42</c:v>
                </c:pt>
                <c:pt idx="2">
                  <c:v>42</c:v>
                </c:pt>
                <c:pt idx="3">
                  <c:v>52</c:v>
                </c:pt>
                <c:pt idx="4">
                  <c:v>52</c:v>
                </c:pt>
                <c:pt idx="5">
                  <c:v>52</c:v>
                </c:pt>
                <c:pt idx="6">
                  <c:v>52</c:v>
                </c:pt>
                <c:pt idx="7">
                  <c:v>0</c:v>
                </c:pt>
              </c:numCache>
            </c:numRef>
          </c:xVal>
          <c:yVal>
            <c:numRef>
              <c:f>Stabilito!$C$124:$C$131</c:f>
              <c:numCache>
                <c:formatCode>0</c:formatCode>
                <c:ptCount val="8"/>
                <c:pt idx="0">
                  <c:v>-275</c:v>
                </c:pt>
                <c:pt idx="1">
                  <c:v>-275</c:v>
                </c:pt>
                <c:pt idx="2">
                  <c:v>-1250</c:v>
                </c:pt>
                <c:pt idx="3">
                  <c:v>-1300</c:v>
                </c:pt>
                <c:pt idx="4">
                  <c:v>-1300</c:v>
                </c:pt>
                <c:pt idx="5">
                  <c:v>-1300</c:v>
                </c:pt>
                <c:pt idx="6">
                  <c:v>-2150</c:v>
                </c:pt>
                <c:pt idx="7">
                  <c:v>-2150</c:v>
                </c:pt>
              </c:numCache>
            </c:numRef>
          </c:yVal>
          <c:smooth val="0"/>
          <c:extLst>
            <c:ext xmlns:c16="http://schemas.microsoft.com/office/drawing/2014/chart" uri="{C3380CC4-5D6E-409C-BE32-E72D297353CC}">
              <c16:uniqueId val="{00000000-F091-4909-B7A3-EF83D77F839F}"/>
            </c:ext>
          </c:extLst>
        </c:ser>
        <c:ser>
          <c:idx val="1"/>
          <c:order val="1"/>
          <c:tx>
            <c:v>aileron</c:v>
          </c:tx>
          <c:spPr>
            <a:ln w="25400">
              <a:solidFill>
                <a:srgbClr val="00FF00"/>
              </a:solidFill>
              <a:prstDash val="solid"/>
            </a:ln>
          </c:spPr>
          <c:marker>
            <c:symbol val="none"/>
          </c:marker>
          <c:xVal>
            <c:numRef>
              <c:f>Stabilito!$D$132:$D$136</c:f>
              <c:numCache>
                <c:formatCode>0</c:formatCode>
                <c:ptCount val="5"/>
                <c:pt idx="0">
                  <c:v>52</c:v>
                </c:pt>
                <c:pt idx="1">
                  <c:v>162</c:v>
                </c:pt>
                <c:pt idx="2">
                  <c:v>162</c:v>
                </c:pt>
                <c:pt idx="3">
                  <c:v>52</c:v>
                </c:pt>
                <c:pt idx="4">
                  <c:v>52</c:v>
                </c:pt>
              </c:numCache>
            </c:numRef>
          </c:xVal>
          <c:yVal>
            <c:numRef>
              <c:f>Stabilito!$C$132:$C$136</c:f>
              <c:numCache>
                <c:formatCode>0</c:formatCode>
                <c:ptCount val="5"/>
                <c:pt idx="0">
                  <c:v>-1970</c:v>
                </c:pt>
                <c:pt idx="1">
                  <c:v>-2130</c:v>
                </c:pt>
                <c:pt idx="2">
                  <c:v>-2210</c:v>
                </c:pt>
                <c:pt idx="3">
                  <c:v>-2150</c:v>
                </c:pt>
                <c:pt idx="4">
                  <c:v>-1970</c:v>
                </c:pt>
              </c:numCache>
            </c:numRef>
          </c:yVal>
          <c:smooth val="0"/>
          <c:extLst>
            <c:ext xmlns:c16="http://schemas.microsoft.com/office/drawing/2014/chart" uri="{C3380CC4-5D6E-409C-BE32-E72D297353CC}">
              <c16:uniqueId val="{00000001-F091-4909-B7A3-EF83D77F839F}"/>
            </c:ext>
          </c:extLst>
        </c:ser>
        <c:ser>
          <c:idx val="2"/>
          <c:order val="2"/>
          <c:tx>
            <c:v>fuselage2</c:v>
          </c:tx>
          <c:spPr>
            <a:ln w="25400">
              <a:solidFill>
                <a:srgbClr val="000080"/>
              </a:solidFill>
              <a:prstDash val="solid"/>
            </a:ln>
          </c:spPr>
          <c:marker>
            <c:symbol val="none"/>
          </c:marker>
          <c:xVal>
            <c:numRef>
              <c:f>Stabilito!$E$124:$E$131</c:f>
              <c:numCache>
                <c:formatCode>0</c:formatCode>
                <c:ptCount val="8"/>
                <c:pt idx="0">
                  <c:v>0</c:v>
                </c:pt>
                <c:pt idx="1">
                  <c:v>-42</c:v>
                </c:pt>
                <c:pt idx="2">
                  <c:v>-42</c:v>
                </c:pt>
                <c:pt idx="3">
                  <c:v>-52</c:v>
                </c:pt>
                <c:pt idx="4">
                  <c:v>-52</c:v>
                </c:pt>
                <c:pt idx="5">
                  <c:v>-52</c:v>
                </c:pt>
                <c:pt idx="6">
                  <c:v>-52</c:v>
                </c:pt>
                <c:pt idx="7">
                  <c:v>0</c:v>
                </c:pt>
              </c:numCache>
            </c:numRef>
          </c:xVal>
          <c:yVal>
            <c:numRef>
              <c:f>Stabilito!$C$124:$C$131</c:f>
              <c:numCache>
                <c:formatCode>0</c:formatCode>
                <c:ptCount val="8"/>
                <c:pt idx="0">
                  <c:v>-275</c:v>
                </c:pt>
                <c:pt idx="1">
                  <c:v>-275</c:v>
                </c:pt>
                <c:pt idx="2">
                  <c:v>-1250</c:v>
                </c:pt>
                <c:pt idx="3">
                  <c:v>-1300</c:v>
                </c:pt>
                <c:pt idx="4">
                  <c:v>-1300</c:v>
                </c:pt>
                <c:pt idx="5">
                  <c:v>-1300</c:v>
                </c:pt>
                <c:pt idx="6">
                  <c:v>-2150</c:v>
                </c:pt>
                <c:pt idx="7">
                  <c:v>-2150</c:v>
                </c:pt>
              </c:numCache>
            </c:numRef>
          </c:yVal>
          <c:smooth val="0"/>
          <c:extLst>
            <c:ext xmlns:c16="http://schemas.microsoft.com/office/drawing/2014/chart" uri="{C3380CC4-5D6E-409C-BE32-E72D297353CC}">
              <c16:uniqueId val="{00000002-F091-4909-B7A3-EF83D77F839F}"/>
            </c:ext>
          </c:extLst>
        </c:ser>
        <c:ser>
          <c:idx val="3"/>
          <c:order val="3"/>
          <c:tx>
            <c:v>aileron2</c:v>
          </c:tx>
          <c:spPr>
            <a:ln w="25400">
              <a:solidFill>
                <a:srgbClr val="00FF00"/>
              </a:solidFill>
              <a:prstDash val="solid"/>
            </a:ln>
          </c:spPr>
          <c:marker>
            <c:symbol val="none"/>
          </c:marker>
          <c:xVal>
            <c:numRef>
              <c:f>Stabilito!$E$132:$E$136</c:f>
              <c:numCache>
                <c:formatCode>0</c:formatCode>
                <c:ptCount val="5"/>
                <c:pt idx="0">
                  <c:v>-52</c:v>
                </c:pt>
                <c:pt idx="1">
                  <c:v>-162</c:v>
                </c:pt>
                <c:pt idx="2">
                  <c:v>-162</c:v>
                </c:pt>
                <c:pt idx="3">
                  <c:v>-52</c:v>
                </c:pt>
                <c:pt idx="4">
                  <c:v>-52</c:v>
                </c:pt>
              </c:numCache>
            </c:numRef>
          </c:xVal>
          <c:yVal>
            <c:numRef>
              <c:f>Stabilito!$C$132:$C$136</c:f>
              <c:numCache>
                <c:formatCode>0</c:formatCode>
                <c:ptCount val="5"/>
                <c:pt idx="0">
                  <c:v>-1970</c:v>
                </c:pt>
                <c:pt idx="1">
                  <c:v>-2130</c:v>
                </c:pt>
                <c:pt idx="2">
                  <c:v>-2210</c:v>
                </c:pt>
                <c:pt idx="3">
                  <c:v>-2150</c:v>
                </c:pt>
                <c:pt idx="4">
                  <c:v>-1970</c:v>
                </c:pt>
              </c:numCache>
            </c:numRef>
          </c:yVal>
          <c:smooth val="0"/>
          <c:extLst>
            <c:ext xmlns:c16="http://schemas.microsoft.com/office/drawing/2014/chart" uri="{C3380CC4-5D6E-409C-BE32-E72D297353CC}">
              <c16:uniqueId val="{00000003-F091-4909-B7A3-EF83D77F839F}"/>
            </c:ext>
          </c:extLst>
        </c:ser>
        <c:ser>
          <c:idx val="4"/>
          <c:order val="4"/>
          <c:tx>
            <c:strRef>
              <c:f>Stabilito!$B$13</c:f>
              <c:strCache>
                <c:ptCount val="1"/>
                <c:pt idx="0">
                  <c:v>Centre de Masse</c:v>
                </c:pt>
              </c:strCache>
            </c:strRef>
          </c:tx>
          <c:spPr>
            <a:ln w="25400">
              <a:solidFill>
                <a:srgbClr val="0000FF"/>
              </a:solidFill>
              <a:prstDash val="solid"/>
            </a:ln>
          </c:spPr>
          <c:marker>
            <c:symbol val="circle"/>
            <c:size val="5"/>
            <c:spPr>
              <a:solidFill>
                <a:srgbClr val="0000FF"/>
              </a:solidFill>
              <a:ln w="9525">
                <a:noFill/>
              </a:ln>
            </c:spPr>
          </c:marker>
          <c:dLbls>
            <c:dLbl>
              <c:idx val="1"/>
              <c:spPr>
                <a:noFill/>
                <a:ln w="25400">
                  <a:noFill/>
                </a:ln>
              </c:spPr>
              <c:txPr>
                <a:bodyPr/>
                <a:lstStyle/>
                <a:p>
                  <a:pPr>
                    <a:defRPr sz="800" b="0" i="0" u="none" strike="noStrike" baseline="0">
                      <a:solidFill>
                        <a:srgbClr val="0000FF"/>
                      </a:solidFill>
                      <a:latin typeface="Arial"/>
                      <a:ea typeface="Arial"/>
                      <a:cs typeface="Arial"/>
                    </a:defRPr>
                  </a:pPr>
                  <a:endParaRPr lang="fr-FR"/>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4-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Stabilito!$D$149:$D$150</c:f>
              <c:numCache>
                <c:formatCode>0</c:formatCode>
                <c:ptCount val="2"/>
                <c:pt idx="0">
                  <c:v>0</c:v>
                </c:pt>
                <c:pt idx="1">
                  <c:v>0</c:v>
                </c:pt>
              </c:numCache>
            </c:numRef>
          </c:xVal>
          <c:yVal>
            <c:numRef>
              <c:f>Stabilito!$C$149:$C$150</c:f>
              <c:numCache>
                <c:formatCode>0</c:formatCode>
                <c:ptCount val="2"/>
                <c:pt idx="0">
                  <c:v>-1302.9247417609445</c:v>
                </c:pt>
                <c:pt idx="1">
                  <c:v>-1218.3636363636363</c:v>
                </c:pt>
              </c:numCache>
            </c:numRef>
          </c:yVal>
          <c:smooth val="0"/>
          <c:extLst>
            <c:ext xmlns:c16="http://schemas.microsoft.com/office/drawing/2014/chart" uri="{C3380CC4-5D6E-409C-BE32-E72D297353CC}">
              <c16:uniqueId val="{00000005-F091-4909-B7A3-EF83D77F839F}"/>
            </c:ext>
          </c:extLst>
        </c:ser>
        <c:ser>
          <c:idx val="5"/>
          <c:order val="5"/>
          <c:tx>
            <c:strRef>
              <c:f>Stabilito!$F$28</c:f>
              <c:strCache>
                <c:ptCount val="1"/>
                <c:pt idx="0">
                  <c:v>Portance</c:v>
                </c:pt>
              </c:strCache>
            </c:strRef>
          </c:tx>
          <c:spPr>
            <a:ln w="25400">
              <a:solidFill>
                <a:srgbClr val="800000"/>
              </a:solidFill>
              <a:prstDash val="solid"/>
            </a:ln>
          </c:spPr>
          <c:marker>
            <c:symbol val="diamond"/>
            <c:size val="5"/>
            <c:spPr>
              <a:solidFill>
                <a:srgbClr val="800000"/>
              </a:solidFill>
              <a:ln>
                <a:solidFill>
                  <a:srgbClr val="800000"/>
                </a:solidFill>
                <a:prstDash val="solid"/>
              </a:ln>
            </c:spPr>
          </c:marker>
          <c:dLbls>
            <c:dLbl>
              <c:idx val="1"/>
              <c:spPr>
                <a:noFill/>
                <a:ln w="25400">
                  <a:noFill/>
                </a:ln>
              </c:spPr>
              <c:txPr>
                <a:bodyPr/>
                <a:lstStyle/>
                <a:p>
                  <a:pPr>
                    <a:defRPr sz="800" b="0" i="0" u="none" strike="noStrike" baseline="0">
                      <a:solidFill>
                        <a:srgbClr val="800000"/>
                      </a:solidFill>
                      <a:latin typeface="Arial"/>
                      <a:ea typeface="Arial"/>
                      <a:cs typeface="Arial"/>
                    </a:defRPr>
                  </a:pPr>
                  <a:endParaRPr lang="fr-FR"/>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Stabilito!$D$151:$D$154</c:f>
              <c:numCache>
                <c:formatCode>0</c:formatCode>
                <c:ptCount val="4"/>
                <c:pt idx="0">
                  <c:v>0</c:v>
                </c:pt>
                <c:pt idx="1">
                  <c:v>122.64967534396082</c:v>
                </c:pt>
                <c:pt idx="2">
                  <c:v>155.91270119648706</c:v>
                </c:pt>
                <c:pt idx="3">
                  <c:v>0</c:v>
                </c:pt>
              </c:numCache>
            </c:numRef>
          </c:xVal>
          <c:yVal>
            <c:numRef>
              <c:f>Stabilito!$C$151:$C$154</c:f>
              <c:numCache>
                <c:formatCode>0</c:formatCode>
                <c:ptCount val="4"/>
                <c:pt idx="0">
                  <c:v>-1373.9675771484433</c:v>
                </c:pt>
                <c:pt idx="1">
                  <c:v>-1373.9675771484433</c:v>
                </c:pt>
                <c:pt idx="2">
                  <c:v>-1522.8207638756328</c:v>
                </c:pt>
                <c:pt idx="3">
                  <c:v>-1522.8207638756328</c:v>
                </c:pt>
              </c:numCache>
            </c:numRef>
          </c:yVal>
          <c:smooth val="0"/>
          <c:extLst>
            <c:ext xmlns:c16="http://schemas.microsoft.com/office/drawing/2014/chart" uri="{C3380CC4-5D6E-409C-BE32-E72D297353CC}">
              <c16:uniqueId val="{00000007-F091-4909-B7A3-EF83D77F839F}"/>
            </c:ext>
          </c:extLst>
        </c:ser>
        <c:ser>
          <c:idx val="6"/>
          <c:order val="6"/>
          <c:tx>
            <c:v>canard</c:v>
          </c:tx>
          <c:spPr>
            <a:ln w="25400">
              <a:solidFill>
                <a:srgbClr val="008000"/>
              </a:solidFill>
              <a:prstDash val="solid"/>
            </a:ln>
          </c:spPr>
          <c:marker>
            <c:symbol val="none"/>
          </c:marker>
          <c:xVal>
            <c:numRef>
              <c:f>Stabilito!$D$158:$D$162</c:f>
              <c:numCache>
                <c:formatCode>0</c:formatCode>
                <c:ptCount val="5"/>
                <c:pt idx="0">
                  <c:v>52</c:v>
                </c:pt>
                <c:pt idx="1">
                  <c:v>162</c:v>
                </c:pt>
                <c:pt idx="2">
                  <c:v>162</c:v>
                </c:pt>
                <c:pt idx="3">
                  <c:v>52</c:v>
                </c:pt>
                <c:pt idx="4">
                  <c:v>52</c:v>
                </c:pt>
              </c:numCache>
            </c:numRef>
          </c:xVal>
          <c:yVal>
            <c:numRef>
              <c:f>Stabilito!$C$158:$C$162</c:f>
              <c:numCache>
                <c:formatCode>0</c:formatCode>
                <c:ptCount val="5"/>
                <c:pt idx="0">
                  <c:v>-1070</c:v>
                </c:pt>
                <c:pt idx="1">
                  <c:v>-1230</c:v>
                </c:pt>
                <c:pt idx="2">
                  <c:v>-1310</c:v>
                </c:pt>
                <c:pt idx="3">
                  <c:v>-1250</c:v>
                </c:pt>
                <c:pt idx="4">
                  <c:v>-1070</c:v>
                </c:pt>
              </c:numCache>
            </c:numRef>
          </c:yVal>
          <c:smooth val="0"/>
          <c:extLst>
            <c:ext xmlns:c16="http://schemas.microsoft.com/office/drawing/2014/chart" uri="{C3380CC4-5D6E-409C-BE32-E72D297353CC}">
              <c16:uniqueId val="{00000008-F091-4909-B7A3-EF83D77F839F}"/>
            </c:ext>
          </c:extLst>
        </c:ser>
        <c:ser>
          <c:idx val="7"/>
          <c:order val="7"/>
          <c:tx>
            <c:v>canard2</c:v>
          </c:tx>
          <c:spPr>
            <a:ln w="25400">
              <a:solidFill>
                <a:srgbClr val="008000"/>
              </a:solidFill>
              <a:prstDash val="solid"/>
            </a:ln>
          </c:spPr>
          <c:marker>
            <c:symbol val="none"/>
          </c:marker>
          <c:xVal>
            <c:numRef>
              <c:f>Stabilito!$E$158:$E$162</c:f>
              <c:numCache>
                <c:formatCode>0</c:formatCode>
                <c:ptCount val="5"/>
                <c:pt idx="0">
                  <c:v>-52</c:v>
                </c:pt>
                <c:pt idx="1">
                  <c:v>-162</c:v>
                </c:pt>
                <c:pt idx="2">
                  <c:v>-162</c:v>
                </c:pt>
                <c:pt idx="3">
                  <c:v>-52</c:v>
                </c:pt>
                <c:pt idx="4">
                  <c:v>-52</c:v>
                </c:pt>
              </c:numCache>
            </c:numRef>
          </c:xVal>
          <c:yVal>
            <c:numRef>
              <c:f>Stabilito!$C$158:$C$162</c:f>
              <c:numCache>
                <c:formatCode>0</c:formatCode>
                <c:ptCount val="5"/>
                <c:pt idx="0">
                  <c:v>-1070</c:v>
                </c:pt>
                <c:pt idx="1">
                  <c:v>-1230</c:v>
                </c:pt>
                <c:pt idx="2">
                  <c:v>-1310</c:v>
                </c:pt>
                <c:pt idx="3">
                  <c:v>-1250</c:v>
                </c:pt>
                <c:pt idx="4">
                  <c:v>-1070</c:v>
                </c:pt>
              </c:numCache>
            </c:numRef>
          </c:yVal>
          <c:smooth val="0"/>
          <c:extLst>
            <c:ext xmlns:c16="http://schemas.microsoft.com/office/drawing/2014/chart" uri="{C3380CC4-5D6E-409C-BE32-E72D297353CC}">
              <c16:uniqueId val="{00000009-F091-4909-B7A3-EF83D77F839F}"/>
            </c:ext>
          </c:extLst>
        </c:ser>
        <c:ser>
          <c:idx val="8"/>
          <c:order val="8"/>
          <c:tx>
            <c:v>masquage</c:v>
          </c:tx>
          <c:spPr>
            <a:ln w="25400">
              <a:solidFill>
                <a:srgbClr val="FF0000"/>
              </a:solidFill>
              <a:prstDash val="sysDash"/>
            </a:ln>
          </c:spPr>
          <c:marker>
            <c:symbol val="none"/>
          </c:marker>
          <c:xVal>
            <c:numRef>
              <c:f>Stabilito!$D$163:$D$167</c:f>
              <c:numCache>
                <c:formatCode>0</c:formatCode>
                <c:ptCount val="5"/>
                <c:pt idx="0">
                  <c:v>52</c:v>
                </c:pt>
                <c:pt idx="1">
                  <c:v>157</c:v>
                </c:pt>
                <c:pt idx="2">
                  <c:v>157</c:v>
                </c:pt>
                <c:pt idx="3">
                  <c:v>52</c:v>
                </c:pt>
                <c:pt idx="4">
                  <c:v>52</c:v>
                </c:pt>
              </c:numCache>
            </c:numRef>
          </c:xVal>
          <c:yVal>
            <c:numRef>
              <c:f>Stabilito!$C$163:$C$167</c:f>
              <c:numCache>
                <c:formatCode>0</c:formatCode>
                <c:ptCount val="5"/>
                <c:pt idx="0">
                  <c:v>-1970</c:v>
                </c:pt>
                <c:pt idx="1">
                  <c:v>-2122.7272727272725</c:v>
                </c:pt>
                <c:pt idx="2">
                  <c:v>-2207.272727272727</c:v>
                </c:pt>
                <c:pt idx="3">
                  <c:v>-2150</c:v>
                </c:pt>
                <c:pt idx="4">
                  <c:v>-1970</c:v>
                </c:pt>
              </c:numCache>
            </c:numRef>
          </c:yVal>
          <c:smooth val="0"/>
          <c:extLst>
            <c:ext xmlns:c16="http://schemas.microsoft.com/office/drawing/2014/chart" uri="{C3380CC4-5D6E-409C-BE32-E72D297353CC}">
              <c16:uniqueId val="{0000000A-F091-4909-B7A3-EF83D77F839F}"/>
            </c:ext>
          </c:extLst>
        </c:ser>
        <c:ser>
          <c:idx val="9"/>
          <c:order val="9"/>
          <c:tx>
            <c:v>masquage2</c:v>
          </c:tx>
          <c:spPr>
            <a:ln w="25400">
              <a:solidFill>
                <a:srgbClr val="FF0000"/>
              </a:solidFill>
              <a:prstDash val="sysDash"/>
            </a:ln>
          </c:spPr>
          <c:marker>
            <c:symbol val="none"/>
          </c:marker>
          <c:xVal>
            <c:numRef>
              <c:f>Stabilito!$E$163:$E$167</c:f>
              <c:numCache>
                <c:formatCode>0</c:formatCode>
                <c:ptCount val="5"/>
                <c:pt idx="0">
                  <c:v>-52</c:v>
                </c:pt>
                <c:pt idx="1">
                  <c:v>-157</c:v>
                </c:pt>
                <c:pt idx="2">
                  <c:v>-157</c:v>
                </c:pt>
                <c:pt idx="3">
                  <c:v>-52</c:v>
                </c:pt>
                <c:pt idx="4">
                  <c:v>-52</c:v>
                </c:pt>
              </c:numCache>
            </c:numRef>
          </c:xVal>
          <c:yVal>
            <c:numRef>
              <c:f>Stabilito!$C$163:$C$167</c:f>
              <c:numCache>
                <c:formatCode>0</c:formatCode>
                <c:ptCount val="5"/>
                <c:pt idx="0">
                  <c:v>-1970</c:v>
                </c:pt>
                <c:pt idx="1">
                  <c:v>-2122.7272727272725</c:v>
                </c:pt>
                <c:pt idx="2">
                  <c:v>-2207.272727272727</c:v>
                </c:pt>
                <c:pt idx="3">
                  <c:v>-2150</c:v>
                </c:pt>
                <c:pt idx="4">
                  <c:v>-1970</c:v>
                </c:pt>
              </c:numCache>
            </c:numRef>
          </c:yVal>
          <c:smooth val="0"/>
          <c:extLst>
            <c:ext xmlns:c16="http://schemas.microsoft.com/office/drawing/2014/chart" uri="{C3380CC4-5D6E-409C-BE32-E72D297353CC}">
              <c16:uniqueId val="{0000000B-F091-4909-B7A3-EF83D77F839F}"/>
            </c:ext>
          </c:extLst>
        </c:ser>
        <c:ser>
          <c:idx val="10"/>
          <c:order val="10"/>
          <c:tx>
            <c:v>cadre</c:v>
          </c:tx>
          <c:spPr>
            <a:ln w="12700">
              <a:solidFill>
                <a:srgbClr val="FFFFFF"/>
              </a:solidFill>
              <a:prstDash val="solid"/>
            </a:ln>
          </c:spPr>
          <c:marker>
            <c:symbol val="none"/>
          </c:marker>
          <c:xVal>
            <c:numRef>
              <c:f>Stabilito!$D$168:$D$169</c:f>
              <c:numCache>
                <c:formatCode>0</c:formatCode>
                <c:ptCount val="2"/>
                <c:pt idx="0">
                  <c:v>716.66666666666663</c:v>
                </c:pt>
                <c:pt idx="1">
                  <c:v>-716.66666666666663</c:v>
                </c:pt>
              </c:numCache>
            </c:numRef>
          </c:xVal>
          <c:yVal>
            <c:numRef>
              <c:f>Stabilito!$C$168:$C$169</c:f>
              <c:numCache>
                <c:formatCode>0</c:formatCode>
                <c:ptCount val="2"/>
                <c:pt idx="0">
                  <c:v>-2232.1</c:v>
                </c:pt>
                <c:pt idx="1">
                  <c:v>-2232.1</c:v>
                </c:pt>
              </c:numCache>
            </c:numRef>
          </c:yVal>
          <c:smooth val="0"/>
          <c:extLst>
            <c:ext xmlns:c16="http://schemas.microsoft.com/office/drawing/2014/chart" uri="{C3380CC4-5D6E-409C-BE32-E72D297353CC}">
              <c16:uniqueId val="{0000000C-F091-4909-B7A3-EF83D77F839F}"/>
            </c:ext>
          </c:extLst>
        </c:ser>
        <c:ser>
          <c:idx val="11"/>
          <c:order val="11"/>
          <c:tx>
            <c:v>Propu</c:v>
          </c:tx>
          <c:spPr>
            <a:ln w="25400">
              <a:solidFill>
                <a:srgbClr val="FF00FF"/>
              </a:solidFill>
              <a:prstDash val="solid"/>
            </a:ln>
          </c:spPr>
          <c:marker>
            <c:symbol val="none"/>
          </c:marker>
          <c:xVal>
            <c:numRef>
              <c:f>Stabilito!$D$170:$D$174</c:f>
              <c:numCache>
                <c:formatCode>0</c:formatCode>
                <c:ptCount val="5"/>
                <c:pt idx="0">
                  <c:v>-27</c:v>
                </c:pt>
                <c:pt idx="1">
                  <c:v>27</c:v>
                </c:pt>
                <c:pt idx="2">
                  <c:v>27</c:v>
                </c:pt>
                <c:pt idx="3">
                  <c:v>-27</c:v>
                </c:pt>
                <c:pt idx="4">
                  <c:v>-27</c:v>
                </c:pt>
              </c:numCache>
            </c:numRef>
          </c:xVal>
          <c:yVal>
            <c:numRef>
              <c:f>Stabilito!$C$170:$C$174</c:f>
              <c:numCache>
                <c:formatCode>0</c:formatCode>
                <c:ptCount val="5"/>
                <c:pt idx="0">
                  <c:v>-1662</c:v>
                </c:pt>
                <c:pt idx="1">
                  <c:v>-1662</c:v>
                </c:pt>
                <c:pt idx="2">
                  <c:v>-2150</c:v>
                </c:pt>
                <c:pt idx="3">
                  <c:v>-2150</c:v>
                </c:pt>
                <c:pt idx="4">
                  <c:v>-1662</c:v>
                </c:pt>
              </c:numCache>
            </c:numRef>
          </c:yVal>
          <c:smooth val="0"/>
          <c:extLst>
            <c:ext xmlns:c16="http://schemas.microsoft.com/office/drawing/2014/chart" uri="{C3380CC4-5D6E-409C-BE32-E72D297353CC}">
              <c16:uniqueId val="{0000000D-F091-4909-B7A3-EF83D77F839F}"/>
            </c:ext>
          </c:extLst>
        </c:ser>
        <c:ser>
          <c:idx val="12"/>
          <c:order val="12"/>
          <c:tx>
            <c:v>Cone</c:v>
          </c:tx>
          <c:spPr>
            <a:ln w="25400">
              <a:solidFill>
                <a:srgbClr val="800080"/>
              </a:solidFill>
              <a:prstDash val="solid"/>
            </a:ln>
          </c:spPr>
          <c:marker>
            <c:symbol val="none"/>
          </c:marker>
          <c:xVal>
            <c:numRef>
              <c:f>Stabilito!$D$175:$D$180</c:f>
              <c:numCache>
                <c:formatCode>0</c:formatCode>
                <c:ptCount val="6"/>
                <c:pt idx="0">
                  <c:v>0</c:v>
                </c:pt>
                <c:pt idx="1">
                  <c:v>4.2</c:v>
                </c:pt>
                <c:pt idx="2">
                  <c:v>10.5</c:v>
                </c:pt>
                <c:pt idx="3">
                  <c:v>21</c:v>
                </c:pt>
                <c:pt idx="4">
                  <c:v>31.5</c:v>
                </c:pt>
                <c:pt idx="5">
                  <c:v>42</c:v>
                </c:pt>
              </c:numCache>
            </c:numRef>
          </c:xVal>
          <c:yVal>
            <c:numRef>
              <c:f>Stabilito!$C$175:$C$180</c:f>
              <c:numCache>
                <c:formatCode>0</c:formatCode>
                <c:ptCount val="6"/>
                <c:pt idx="0">
                  <c:v>0</c:v>
                </c:pt>
                <c:pt idx="1">
                  <c:v>-27.5</c:v>
                </c:pt>
                <c:pt idx="2">
                  <c:v>-68.75</c:v>
                </c:pt>
                <c:pt idx="3">
                  <c:v>-137.5</c:v>
                </c:pt>
                <c:pt idx="4">
                  <c:v>-206.25</c:v>
                </c:pt>
                <c:pt idx="5">
                  <c:v>-275</c:v>
                </c:pt>
              </c:numCache>
            </c:numRef>
          </c:yVal>
          <c:smooth val="0"/>
          <c:extLst>
            <c:ext xmlns:c16="http://schemas.microsoft.com/office/drawing/2014/chart" uri="{C3380CC4-5D6E-409C-BE32-E72D297353CC}">
              <c16:uniqueId val="{0000000E-F091-4909-B7A3-EF83D77F839F}"/>
            </c:ext>
          </c:extLst>
        </c:ser>
        <c:ser>
          <c:idx val="13"/>
          <c:order val="13"/>
          <c:tx>
            <c:v>Cone1</c:v>
          </c:tx>
          <c:spPr>
            <a:ln w="25400">
              <a:solidFill>
                <a:srgbClr val="800080"/>
              </a:solidFill>
              <a:prstDash val="solid"/>
            </a:ln>
          </c:spPr>
          <c:marker>
            <c:symbol val="none"/>
          </c:marker>
          <c:xVal>
            <c:numRef>
              <c:f>Stabilito!$E$175:$E$180</c:f>
              <c:numCache>
                <c:formatCode>0</c:formatCode>
                <c:ptCount val="6"/>
                <c:pt idx="0">
                  <c:v>0</c:v>
                </c:pt>
                <c:pt idx="1">
                  <c:v>-4.2</c:v>
                </c:pt>
                <c:pt idx="2">
                  <c:v>-10.5</c:v>
                </c:pt>
                <c:pt idx="3">
                  <c:v>-21</c:v>
                </c:pt>
                <c:pt idx="4">
                  <c:v>-31.5</c:v>
                </c:pt>
                <c:pt idx="5">
                  <c:v>-42</c:v>
                </c:pt>
              </c:numCache>
            </c:numRef>
          </c:xVal>
          <c:yVal>
            <c:numRef>
              <c:f>Stabilito!$C$175:$C$180</c:f>
              <c:numCache>
                <c:formatCode>0</c:formatCode>
                <c:ptCount val="6"/>
                <c:pt idx="0">
                  <c:v>0</c:v>
                </c:pt>
                <c:pt idx="1">
                  <c:v>-27.5</c:v>
                </c:pt>
                <c:pt idx="2">
                  <c:v>-68.75</c:v>
                </c:pt>
                <c:pt idx="3">
                  <c:v>-137.5</c:v>
                </c:pt>
                <c:pt idx="4">
                  <c:v>-206.25</c:v>
                </c:pt>
                <c:pt idx="5">
                  <c:v>-275</c:v>
                </c:pt>
              </c:numCache>
            </c:numRef>
          </c:yVal>
          <c:smooth val="0"/>
          <c:extLst>
            <c:ext xmlns:c16="http://schemas.microsoft.com/office/drawing/2014/chart" uri="{C3380CC4-5D6E-409C-BE32-E72D297353CC}">
              <c16:uniqueId val="{0000000F-F091-4909-B7A3-EF83D77F839F}"/>
            </c:ext>
          </c:extLst>
        </c:ser>
        <c:ser>
          <c:idx val="14"/>
          <c:order val="14"/>
          <c:tx>
            <c:strRef>
              <c:f>Stabilito!$B$137</c:f>
              <c:strCache>
                <c:ptCount val="1"/>
                <c:pt idx="0">
                  <c:v>Envergure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b"/>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Stabilito!$D$137:$D$139</c:f>
              <c:numCache>
                <c:formatCode>0</c:formatCode>
                <c:ptCount val="3"/>
                <c:pt idx="0">
                  <c:v>-162</c:v>
                </c:pt>
                <c:pt idx="1">
                  <c:v>-107</c:v>
                </c:pt>
                <c:pt idx="2">
                  <c:v>-52</c:v>
                </c:pt>
              </c:numCache>
            </c:numRef>
          </c:xVal>
          <c:yVal>
            <c:numRef>
              <c:f>Stabilito!$C$137:$C$139</c:f>
              <c:numCache>
                <c:formatCode>0</c:formatCode>
                <c:ptCount val="3"/>
                <c:pt idx="0">
                  <c:v>-2281.6666666666665</c:v>
                </c:pt>
                <c:pt idx="1">
                  <c:v>-2281.6666666666665</c:v>
                </c:pt>
                <c:pt idx="2">
                  <c:v>-2281.6666666666665</c:v>
                </c:pt>
              </c:numCache>
            </c:numRef>
          </c:yVal>
          <c:smooth val="0"/>
          <c:extLst>
            <c:ext xmlns:c16="http://schemas.microsoft.com/office/drawing/2014/chart" uri="{C3380CC4-5D6E-409C-BE32-E72D297353CC}">
              <c16:uniqueId val="{00000011-F091-4909-B7A3-EF83D77F839F}"/>
            </c:ext>
          </c:extLst>
        </c:ser>
        <c:ser>
          <c:idx val="15"/>
          <c:order val="15"/>
          <c:tx>
            <c:strRef>
              <c:f>Stabilito!$B$143</c:f>
              <c:strCache>
                <c:ptCount val="1"/>
                <c:pt idx="0">
                  <c:v>Flèche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2-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Stabilito!$D$143:$D$145</c:f>
              <c:numCache>
                <c:formatCode>0</c:formatCode>
                <c:ptCount val="3"/>
                <c:pt idx="0">
                  <c:v>-233.66666666666669</c:v>
                </c:pt>
                <c:pt idx="1">
                  <c:v>-233.66666666666669</c:v>
                </c:pt>
                <c:pt idx="2">
                  <c:v>-233.66666666666669</c:v>
                </c:pt>
              </c:numCache>
            </c:numRef>
          </c:xVal>
          <c:yVal>
            <c:numRef>
              <c:f>Stabilito!$C$143:$C$145</c:f>
              <c:numCache>
                <c:formatCode>0</c:formatCode>
                <c:ptCount val="3"/>
                <c:pt idx="0">
                  <c:v>-1970</c:v>
                </c:pt>
                <c:pt idx="1">
                  <c:v>-2050</c:v>
                </c:pt>
                <c:pt idx="2">
                  <c:v>-2130</c:v>
                </c:pt>
              </c:numCache>
            </c:numRef>
          </c:yVal>
          <c:smooth val="0"/>
          <c:extLst>
            <c:ext xmlns:c16="http://schemas.microsoft.com/office/drawing/2014/chart" uri="{C3380CC4-5D6E-409C-BE32-E72D297353CC}">
              <c16:uniqueId val="{00000013-F091-4909-B7A3-EF83D77F839F}"/>
            </c:ext>
          </c:extLst>
        </c:ser>
        <c:ser>
          <c:idx val="16"/>
          <c:order val="16"/>
          <c:tx>
            <c:strRef>
              <c:f>Stabilito!$B$146</c:f>
              <c:strCache>
                <c:ptCount val="1"/>
                <c:pt idx="0">
                  <c:v>Saumon</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4-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Stabilito!$D$146:$D$148</c:f>
              <c:numCache>
                <c:formatCode>0</c:formatCode>
                <c:ptCount val="3"/>
                <c:pt idx="0">
                  <c:v>-269.5</c:v>
                </c:pt>
                <c:pt idx="1">
                  <c:v>-269.5</c:v>
                </c:pt>
                <c:pt idx="2">
                  <c:v>-269.5</c:v>
                </c:pt>
              </c:numCache>
            </c:numRef>
          </c:xVal>
          <c:yVal>
            <c:numRef>
              <c:f>Stabilito!$C$146:$C$148</c:f>
              <c:numCache>
                <c:formatCode>0</c:formatCode>
                <c:ptCount val="3"/>
                <c:pt idx="0">
                  <c:v>-2130</c:v>
                </c:pt>
                <c:pt idx="1">
                  <c:v>-2170</c:v>
                </c:pt>
                <c:pt idx="2">
                  <c:v>-2210</c:v>
                </c:pt>
              </c:numCache>
            </c:numRef>
          </c:yVal>
          <c:smooth val="0"/>
          <c:extLst>
            <c:ext xmlns:c16="http://schemas.microsoft.com/office/drawing/2014/chart" uri="{C3380CC4-5D6E-409C-BE32-E72D297353CC}">
              <c16:uniqueId val="{00000015-F091-4909-B7A3-EF83D77F839F}"/>
            </c:ext>
          </c:extLst>
        </c:ser>
        <c:ser>
          <c:idx val="17"/>
          <c:order val="17"/>
          <c:tx>
            <c:strRef>
              <c:f>Stabilito!$B$140</c:f>
              <c:strCache>
                <c:ptCount val="1"/>
                <c:pt idx="0">
                  <c:v>Emplanture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6-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Stabilito!$D$140:$D$142</c:f>
              <c:numCache>
                <c:formatCode>0</c:formatCode>
                <c:ptCount val="3"/>
                <c:pt idx="0">
                  <c:v>269.5</c:v>
                </c:pt>
                <c:pt idx="1">
                  <c:v>269.5</c:v>
                </c:pt>
                <c:pt idx="2">
                  <c:v>269.5</c:v>
                </c:pt>
              </c:numCache>
            </c:numRef>
          </c:xVal>
          <c:yVal>
            <c:numRef>
              <c:f>Stabilito!$C$140:$C$142</c:f>
              <c:numCache>
                <c:formatCode>0</c:formatCode>
                <c:ptCount val="3"/>
                <c:pt idx="0">
                  <c:v>-1970</c:v>
                </c:pt>
                <c:pt idx="1">
                  <c:v>-2060</c:v>
                </c:pt>
                <c:pt idx="2">
                  <c:v>-2150</c:v>
                </c:pt>
              </c:numCache>
            </c:numRef>
          </c:yVal>
          <c:smooth val="0"/>
          <c:extLst>
            <c:ext xmlns:c16="http://schemas.microsoft.com/office/drawing/2014/chart" uri="{C3380CC4-5D6E-409C-BE32-E72D297353CC}">
              <c16:uniqueId val="{00000017-F091-4909-B7A3-EF83D77F839F}"/>
            </c:ext>
          </c:extLst>
        </c:ser>
        <c:ser>
          <c:idx val="18"/>
          <c:order val="18"/>
          <c:tx>
            <c:strRef>
              <c:f>Stabilito!$B$155</c:f>
              <c:strCache>
                <c:ptCount val="1"/>
                <c:pt idx="0">
                  <c:v>Marge Statique</c:v>
                </c:pt>
              </c:strCache>
            </c:strRef>
          </c:tx>
          <c:spPr>
            <a:ln w="12700">
              <a:solidFill>
                <a:schemeClr val="tx1"/>
              </a:solidFill>
            </a:ln>
          </c:spPr>
          <c:marker>
            <c:symbol val="none"/>
          </c:marker>
          <c:dLbls>
            <c:dLbl>
              <c:idx val="1"/>
              <c:spPr>
                <a:noFill/>
                <a:ln w="25400">
                  <a:noFill/>
                </a:ln>
              </c:spPr>
              <c:txPr>
                <a:bodyPr/>
                <a:lstStyle/>
                <a:p>
                  <a:pPr>
                    <a:defRPr sz="600" b="0" i="0" u="none" strike="noStrike" baseline="0">
                      <a:solidFill>
                        <a:srgbClr val="0000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8-F091-4909-B7A3-EF83D77F839F}"/>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Stabilito!$D$155:$D$157</c:f>
              <c:numCache>
                <c:formatCode>0</c:formatCode>
                <c:ptCount val="3"/>
                <c:pt idx="0">
                  <c:v>-269.5</c:v>
                </c:pt>
                <c:pt idx="1">
                  <c:v>-269.5</c:v>
                </c:pt>
                <c:pt idx="2">
                  <c:v>-269.5</c:v>
                </c:pt>
              </c:numCache>
            </c:numRef>
          </c:xVal>
          <c:yVal>
            <c:numRef>
              <c:f>Stabilito!$C$155:$C$157</c:f>
              <c:numCache>
                <c:formatCode>0</c:formatCode>
                <c:ptCount val="3"/>
                <c:pt idx="0">
                  <c:v>-1260.6441890622905</c:v>
                </c:pt>
                <c:pt idx="1">
                  <c:v>-1317.3058831053668</c:v>
                </c:pt>
                <c:pt idx="2">
                  <c:v>-1373.9675771484433</c:v>
                </c:pt>
              </c:numCache>
            </c:numRef>
          </c:yVal>
          <c:smooth val="0"/>
          <c:extLst>
            <c:ext xmlns:c16="http://schemas.microsoft.com/office/drawing/2014/chart" uri="{C3380CC4-5D6E-409C-BE32-E72D297353CC}">
              <c16:uniqueId val="{00000019-F091-4909-B7A3-EF83D77F839F}"/>
            </c:ext>
          </c:extLst>
        </c:ser>
        <c:dLbls>
          <c:showLegendKey val="0"/>
          <c:showVal val="0"/>
          <c:showCatName val="0"/>
          <c:showSerName val="0"/>
          <c:showPercent val="0"/>
          <c:showBubbleSize val="0"/>
        </c:dLbls>
        <c:axId val="148707200"/>
        <c:axId val="148708736"/>
      </c:scatterChart>
      <c:valAx>
        <c:axId val="148707200"/>
        <c:scaling>
          <c:orientation val="minMax"/>
        </c:scaling>
        <c:delete val="0"/>
        <c:axPos val="t"/>
        <c:numFmt formatCode="0" sourceLinked="1"/>
        <c:majorTickMark val="out"/>
        <c:minorTickMark val="none"/>
        <c:tickLblPos val="nextTo"/>
        <c:spPr>
          <a:ln w="3175">
            <a:solidFill>
              <a:srgbClr val="000000"/>
            </a:solidFill>
            <a:prstDash val="solid"/>
          </a:ln>
        </c:spPr>
        <c:txPr>
          <a:bodyPr rot="0" vert="horz"/>
          <a:lstStyle/>
          <a:p>
            <a:pPr>
              <a:defRPr sz="500" b="0" i="0" u="none" strike="noStrike" baseline="0">
                <a:solidFill>
                  <a:srgbClr val="000000"/>
                </a:solidFill>
                <a:latin typeface="Arial"/>
                <a:ea typeface="Arial"/>
                <a:cs typeface="Arial"/>
              </a:defRPr>
            </a:pPr>
            <a:endParaRPr lang="fr-FR"/>
          </a:p>
        </c:txPr>
        <c:crossAx val="148708736"/>
        <c:crosses val="max"/>
        <c:crossBetween val="midCat"/>
      </c:valAx>
      <c:valAx>
        <c:axId val="148708736"/>
        <c:scaling>
          <c:orientation val="minMax"/>
        </c:scaling>
        <c:delete val="0"/>
        <c:axPos val="r"/>
        <c:numFmt formatCode="0" sourceLinked="1"/>
        <c:majorTickMark val="out"/>
        <c:minorTickMark val="none"/>
        <c:tickLblPos val="nextTo"/>
        <c:spPr>
          <a:ln w="3175">
            <a:solidFill>
              <a:srgbClr val="000000"/>
            </a:solidFill>
            <a:prstDash val="solid"/>
          </a:ln>
        </c:spPr>
        <c:txPr>
          <a:bodyPr rot="0" vert="horz"/>
          <a:lstStyle/>
          <a:p>
            <a:pPr>
              <a:defRPr sz="500" b="0" i="0" u="none" strike="noStrike" baseline="0">
                <a:solidFill>
                  <a:srgbClr val="000000"/>
                </a:solidFill>
                <a:latin typeface="Arial"/>
                <a:ea typeface="Arial"/>
                <a:cs typeface="Arial"/>
              </a:defRPr>
            </a:pPr>
            <a:endParaRPr lang="fr-FR"/>
          </a:p>
        </c:txPr>
        <c:crossAx val="148707200"/>
        <c:crosses val="max"/>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475"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49212598450000095" footer="0.49212598450000095"/>
    <c:pageSetup paperSize="9"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Stabilito!$B$117</c:f>
          <c:strCache>
            <c:ptCount val="1"/>
            <c:pt idx="0">
              <c:v>Diagramme des critères de stabilité</c:v>
            </c:pt>
          </c:strCache>
        </c:strRef>
      </c:tx>
      <c:layout>
        <c:manualLayout>
          <c:xMode val="edge"/>
          <c:yMode val="edge"/>
          <c:x val="0.19620910443519407"/>
          <c:y val="8.0214173228346466E-2"/>
        </c:manualLayout>
      </c:layout>
      <c:overlay val="0"/>
      <c:spPr>
        <a:solidFill>
          <a:srgbClr val="FFFFFF"/>
        </a:solidFill>
        <a:ln w="25400">
          <a:noFill/>
        </a:ln>
      </c:spPr>
      <c:txPr>
        <a:bodyPr/>
        <a:lstStyle/>
        <a:p>
          <a:pPr>
            <a:defRPr sz="1000" b="0"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4.5092838196286504E-2"/>
          <c:y val="5.8823683008029475E-2"/>
          <c:w val="0.93899204244031864"/>
          <c:h val="0.82887916965859743"/>
        </c:manualLayout>
      </c:layout>
      <c:scatterChart>
        <c:scatterStyle val="smoothMarker"/>
        <c:varyColors val="0"/>
        <c:ser>
          <c:idx val="0"/>
          <c:order val="0"/>
          <c:tx>
            <c:v>Cna min</c:v>
          </c:tx>
          <c:spPr>
            <a:ln w="12700">
              <a:solidFill>
                <a:srgbClr val="FF0000"/>
              </a:solidFill>
              <a:prstDash val="solid"/>
            </a:ln>
          </c:spPr>
          <c:marker>
            <c:symbol val="none"/>
          </c:marker>
          <c:xVal>
            <c:numRef>
              <c:f>Stabilito!$B$182:$B$183</c:f>
              <c:numCache>
                <c:formatCode>General</c:formatCode>
                <c:ptCount val="2"/>
                <c:pt idx="0">
                  <c:v>0</c:v>
                </c:pt>
                <c:pt idx="1">
                  <c:v>7</c:v>
                </c:pt>
              </c:numCache>
            </c:numRef>
          </c:xVal>
          <c:yVal>
            <c:numRef>
              <c:f>Stabilito!$C$182:$C$183</c:f>
              <c:numCache>
                <c:formatCode>General</c:formatCode>
                <c:ptCount val="2"/>
                <c:pt idx="0">
                  <c:v>15</c:v>
                </c:pt>
                <c:pt idx="1">
                  <c:v>15</c:v>
                </c:pt>
              </c:numCache>
            </c:numRef>
          </c:yVal>
          <c:smooth val="1"/>
          <c:extLst>
            <c:ext xmlns:c16="http://schemas.microsoft.com/office/drawing/2014/chart" uri="{C3380CC4-5D6E-409C-BE32-E72D297353CC}">
              <c16:uniqueId val="{00000000-DD97-4068-951F-4990D529CDCA}"/>
            </c:ext>
          </c:extLst>
        </c:ser>
        <c:ser>
          <c:idx val="1"/>
          <c:order val="1"/>
          <c:tx>
            <c:v>Cna max</c:v>
          </c:tx>
          <c:spPr>
            <a:ln w="12700">
              <a:solidFill>
                <a:srgbClr val="FF0000"/>
              </a:solidFill>
              <a:prstDash val="solid"/>
            </a:ln>
          </c:spPr>
          <c:marker>
            <c:symbol val="none"/>
          </c:marker>
          <c:xVal>
            <c:numRef>
              <c:f>Stabilito!$B$184:$B$185</c:f>
              <c:numCache>
                <c:formatCode>General</c:formatCode>
                <c:ptCount val="2"/>
                <c:pt idx="0">
                  <c:v>0</c:v>
                </c:pt>
                <c:pt idx="1">
                  <c:v>7</c:v>
                </c:pt>
              </c:numCache>
            </c:numRef>
          </c:xVal>
          <c:yVal>
            <c:numRef>
              <c:f>Stabilito!$C$184:$C$185</c:f>
              <c:numCache>
                <c:formatCode>General</c:formatCode>
                <c:ptCount val="2"/>
                <c:pt idx="0">
                  <c:v>40</c:v>
                </c:pt>
                <c:pt idx="1">
                  <c:v>40</c:v>
                </c:pt>
              </c:numCache>
            </c:numRef>
          </c:yVal>
          <c:smooth val="1"/>
          <c:extLst>
            <c:ext xmlns:c16="http://schemas.microsoft.com/office/drawing/2014/chart" uri="{C3380CC4-5D6E-409C-BE32-E72D297353CC}">
              <c16:uniqueId val="{00000001-DD97-4068-951F-4990D529CDCA}"/>
            </c:ext>
          </c:extLst>
        </c:ser>
        <c:ser>
          <c:idx val="2"/>
          <c:order val="2"/>
          <c:tx>
            <c:v>MS min</c:v>
          </c:tx>
          <c:spPr>
            <a:ln w="12700">
              <a:solidFill>
                <a:srgbClr val="FF0000"/>
              </a:solidFill>
              <a:prstDash val="solid"/>
            </a:ln>
          </c:spPr>
          <c:marker>
            <c:symbol val="none"/>
          </c:marker>
          <c:xVal>
            <c:numRef>
              <c:f>Stabilito!$B$186:$B$187</c:f>
              <c:numCache>
                <c:formatCode>General</c:formatCode>
                <c:ptCount val="2"/>
                <c:pt idx="0">
                  <c:v>2</c:v>
                </c:pt>
                <c:pt idx="1">
                  <c:v>2</c:v>
                </c:pt>
              </c:numCache>
            </c:numRef>
          </c:xVal>
          <c:yVal>
            <c:numRef>
              <c:f>Stabilito!$C$186:$C$187</c:f>
              <c:numCache>
                <c:formatCode>General</c:formatCode>
                <c:ptCount val="2"/>
                <c:pt idx="0">
                  <c:v>0</c:v>
                </c:pt>
                <c:pt idx="1">
                  <c:v>55</c:v>
                </c:pt>
              </c:numCache>
            </c:numRef>
          </c:yVal>
          <c:smooth val="1"/>
          <c:extLst>
            <c:ext xmlns:c16="http://schemas.microsoft.com/office/drawing/2014/chart" uri="{C3380CC4-5D6E-409C-BE32-E72D297353CC}">
              <c16:uniqueId val="{00000002-DD97-4068-951F-4990D529CDCA}"/>
            </c:ext>
          </c:extLst>
        </c:ser>
        <c:ser>
          <c:idx val="3"/>
          <c:order val="3"/>
          <c:tx>
            <c:v>MS max</c:v>
          </c:tx>
          <c:spPr>
            <a:ln w="12700">
              <a:solidFill>
                <a:srgbClr val="FF0000"/>
              </a:solidFill>
              <a:prstDash val="solid"/>
            </a:ln>
          </c:spPr>
          <c:marker>
            <c:symbol val="none"/>
          </c:marker>
          <c:xVal>
            <c:numRef>
              <c:f>Stabilito!$B$188:$B$189</c:f>
              <c:numCache>
                <c:formatCode>General</c:formatCode>
                <c:ptCount val="2"/>
                <c:pt idx="0">
                  <c:v>6</c:v>
                </c:pt>
                <c:pt idx="1">
                  <c:v>6</c:v>
                </c:pt>
              </c:numCache>
            </c:numRef>
          </c:xVal>
          <c:yVal>
            <c:numRef>
              <c:f>Stabilito!$C$188:$C$189</c:f>
              <c:numCache>
                <c:formatCode>General</c:formatCode>
                <c:ptCount val="2"/>
                <c:pt idx="0">
                  <c:v>0</c:v>
                </c:pt>
                <c:pt idx="1">
                  <c:v>55</c:v>
                </c:pt>
              </c:numCache>
            </c:numRef>
          </c:yVal>
          <c:smooth val="1"/>
          <c:extLst>
            <c:ext xmlns:c16="http://schemas.microsoft.com/office/drawing/2014/chart" uri="{C3380CC4-5D6E-409C-BE32-E72D297353CC}">
              <c16:uniqueId val="{00000003-DD97-4068-951F-4990D529CDCA}"/>
            </c:ext>
          </c:extLst>
        </c:ser>
        <c:ser>
          <c:idx val="5"/>
          <c:order val="6"/>
          <c:tx>
            <c:v>MS*Cna min</c:v>
          </c:tx>
          <c:spPr>
            <a:ln w="12700">
              <a:solidFill>
                <a:srgbClr val="FF0000"/>
              </a:solidFill>
              <a:prstDash val="solid"/>
            </a:ln>
          </c:spPr>
          <c:marker>
            <c:symbol val="none"/>
          </c:marker>
          <c:xVal>
            <c:numRef>
              <c:f>Stabilito!$D$182:$D$187</c:f>
              <c:numCache>
                <c:formatCode>General</c:formatCode>
                <c:ptCount val="6"/>
                <c:pt idx="0">
                  <c:v>0.5</c:v>
                </c:pt>
                <c:pt idx="1">
                  <c:v>1</c:v>
                </c:pt>
                <c:pt idx="2">
                  <c:v>2</c:v>
                </c:pt>
                <c:pt idx="3">
                  <c:v>3</c:v>
                </c:pt>
                <c:pt idx="4">
                  <c:v>5</c:v>
                </c:pt>
                <c:pt idx="5">
                  <c:v>7</c:v>
                </c:pt>
              </c:numCache>
            </c:numRef>
          </c:xVal>
          <c:yVal>
            <c:numRef>
              <c:f>Stabilito!$E$182:$E$187</c:f>
              <c:numCache>
                <c:formatCode>General</c:formatCode>
                <c:ptCount val="6"/>
                <c:pt idx="0">
                  <c:v>80</c:v>
                </c:pt>
                <c:pt idx="1">
                  <c:v>40</c:v>
                </c:pt>
                <c:pt idx="2">
                  <c:v>20</c:v>
                </c:pt>
                <c:pt idx="3">
                  <c:v>13.333333333333334</c:v>
                </c:pt>
                <c:pt idx="4">
                  <c:v>8</c:v>
                </c:pt>
                <c:pt idx="5">
                  <c:v>5.7142857142857144</c:v>
                </c:pt>
              </c:numCache>
            </c:numRef>
          </c:yVal>
          <c:smooth val="1"/>
          <c:extLst>
            <c:ext xmlns:c16="http://schemas.microsoft.com/office/drawing/2014/chart" uri="{C3380CC4-5D6E-409C-BE32-E72D297353CC}">
              <c16:uniqueId val="{00000004-DD97-4068-951F-4990D529CDCA}"/>
            </c:ext>
          </c:extLst>
        </c:ser>
        <c:ser>
          <c:idx val="6"/>
          <c:order val="7"/>
          <c:tx>
            <c:v>MS*Cna max</c:v>
          </c:tx>
          <c:spPr>
            <a:ln w="12700">
              <a:solidFill>
                <a:srgbClr val="FF0000"/>
              </a:solidFill>
              <a:prstDash val="solid"/>
            </a:ln>
          </c:spPr>
          <c:marker>
            <c:symbol val="none"/>
          </c:marker>
          <c:xVal>
            <c:numRef>
              <c:f>Stabilito!$D$188:$D$193</c:f>
              <c:numCache>
                <c:formatCode>General</c:formatCode>
                <c:ptCount val="6"/>
                <c:pt idx="0">
                  <c:v>1</c:v>
                </c:pt>
                <c:pt idx="1">
                  <c:v>2</c:v>
                </c:pt>
                <c:pt idx="2">
                  <c:v>3</c:v>
                </c:pt>
                <c:pt idx="3">
                  <c:v>4</c:v>
                </c:pt>
                <c:pt idx="4">
                  <c:v>6</c:v>
                </c:pt>
                <c:pt idx="5">
                  <c:v>7</c:v>
                </c:pt>
              </c:numCache>
            </c:numRef>
          </c:xVal>
          <c:yVal>
            <c:numRef>
              <c:f>Stabilito!$E$188:$E$193</c:f>
              <c:numCache>
                <c:formatCode>General</c:formatCode>
                <c:ptCount val="6"/>
                <c:pt idx="0">
                  <c:v>100</c:v>
                </c:pt>
                <c:pt idx="1">
                  <c:v>50</c:v>
                </c:pt>
                <c:pt idx="2">
                  <c:v>33.333333333333336</c:v>
                </c:pt>
                <c:pt idx="3">
                  <c:v>25</c:v>
                </c:pt>
                <c:pt idx="4">
                  <c:v>16.666666666666668</c:v>
                </c:pt>
                <c:pt idx="5">
                  <c:v>14.285714285714286</c:v>
                </c:pt>
              </c:numCache>
            </c:numRef>
          </c:yVal>
          <c:smooth val="1"/>
          <c:extLst>
            <c:ext xmlns:c16="http://schemas.microsoft.com/office/drawing/2014/chart" uri="{C3380CC4-5D6E-409C-BE32-E72D297353CC}">
              <c16:uniqueId val="{00000005-DD97-4068-951F-4990D529CDCA}"/>
            </c:ext>
          </c:extLst>
        </c:ser>
        <c:ser>
          <c:idx val="7"/>
          <c:order val="8"/>
          <c:tx>
            <c:v>Cna moy</c:v>
          </c:tx>
          <c:spPr>
            <a:ln w="12700">
              <a:solidFill>
                <a:srgbClr val="FF0000"/>
              </a:solidFill>
              <a:prstDash val="solid"/>
            </a:ln>
          </c:spPr>
          <c:marker>
            <c:symbol val="none"/>
          </c:marker>
          <c:xVal>
            <c:numRef>
              <c:f>Stabilito!$B$195:$B$196</c:f>
              <c:numCache>
                <c:formatCode>General</c:formatCode>
                <c:ptCount val="2"/>
                <c:pt idx="0">
                  <c:v>0</c:v>
                </c:pt>
                <c:pt idx="1">
                  <c:v>2</c:v>
                </c:pt>
              </c:numCache>
            </c:numRef>
          </c:xVal>
          <c:yVal>
            <c:numRef>
              <c:f>Stabilito!$C$195:$C$196</c:f>
              <c:numCache>
                <c:formatCode>General</c:formatCode>
                <c:ptCount val="2"/>
                <c:pt idx="0">
                  <c:v>27.5</c:v>
                </c:pt>
                <c:pt idx="1">
                  <c:v>27.5</c:v>
                </c:pt>
              </c:numCache>
            </c:numRef>
          </c:yVal>
          <c:smooth val="1"/>
          <c:extLst>
            <c:ext xmlns:c16="http://schemas.microsoft.com/office/drawing/2014/chart" uri="{C3380CC4-5D6E-409C-BE32-E72D297353CC}">
              <c16:uniqueId val="{00000006-DD97-4068-951F-4990D529CDCA}"/>
            </c:ext>
          </c:extLst>
        </c:ser>
        <c:ser>
          <c:idx val="8"/>
          <c:order val="9"/>
          <c:tx>
            <c:v>Cna moy2</c:v>
          </c:tx>
          <c:spPr>
            <a:ln w="12700">
              <a:solidFill>
                <a:srgbClr val="FF0000"/>
              </a:solidFill>
              <a:prstDash val="solid"/>
            </a:ln>
          </c:spPr>
          <c:marker>
            <c:symbol val="none"/>
          </c:marker>
          <c:xVal>
            <c:numRef>
              <c:f>Stabilito!$B$197:$B$198</c:f>
              <c:numCache>
                <c:formatCode>General</c:formatCode>
                <c:ptCount val="2"/>
                <c:pt idx="0">
                  <c:v>3.6363636363636362</c:v>
                </c:pt>
                <c:pt idx="1">
                  <c:v>7</c:v>
                </c:pt>
              </c:numCache>
            </c:numRef>
          </c:xVal>
          <c:yVal>
            <c:numRef>
              <c:f>Stabilito!$C$197:$C$198</c:f>
              <c:numCache>
                <c:formatCode>General</c:formatCode>
                <c:ptCount val="2"/>
                <c:pt idx="0">
                  <c:v>27.5</c:v>
                </c:pt>
                <c:pt idx="1">
                  <c:v>27.5</c:v>
                </c:pt>
              </c:numCache>
            </c:numRef>
          </c:yVal>
          <c:smooth val="1"/>
          <c:extLst>
            <c:ext xmlns:c16="http://schemas.microsoft.com/office/drawing/2014/chart" uri="{C3380CC4-5D6E-409C-BE32-E72D297353CC}">
              <c16:uniqueId val="{00000007-DD97-4068-951F-4990D529CDCA}"/>
            </c:ext>
          </c:extLst>
        </c:ser>
        <c:ser>
          <c:idx val="9"/>
          <c:order val="10"/>
          <c:tx>
            <c:v>MS moy</c:v>
          </c:tx>
          <c:spPr>
            <a:ln w="12700">
              <a:solidFill>
                <a:srgbClr val="FF0000"/>
              </a:solidFill>
              <a:prstDash val="solid"/>
            </a:ln>
          </c:spPr>
          <c:marker>
            <c:symbol val="none"/>
          </c:marker>
          <c:xVal>
            <c:numRef>
              <c:f>Stabilito!$B$199:$B$200</c:f>
              <c:numCache>
                <c:formatCode>General</c:formatCode>
                <c:ptCount val="2"/>
                <c:pt idx="0">
                  <c:v>4</c:v>
                </c:pt>
                <c:pt idx="1">
                  <c:v>4</c:v>
                </c:pt>
              </c:numCache>
            </c:numRef>
          </c:xVal>
          <c:yVal>
            <c:numRef>
              <c:f>Stabilito!$C$199:$C$200</c:f>
              <c:numCache>
                <c:formatCode>General</c:formatCode>
                <c:ptCount val="2"/>
                <c:pt idx="0">
                  <c:v>0</c:v>
                </c:pt>
                <c:pt idx="1">
                  <c:v>15</c:v>
                </c:pt>
              </c:numCache>
            </c:numRef>
          </c:yVal>
          <c:smooth val="1"/>
          <c:extLst>
            <c:ext xmlns:c16="http://schemas.microsoft.com/office/drawing/2014/chart" uri="{C3380CC4-5D6E-409C-BE32-E72D297353CC}">
              <c16:uniqueId val="{00000008-DD97-4068-951F-4990D529CDCA}"/>
            </c:ext>
          </c:extLst>
        </c:ser>
        <c:ser>
          <c:idx val="10"/>
          <c:order val="11"/>
          <c:tx>
            <c:v>MS moy2</c:v>
          </c:tx>
          <c:spPr>
            <a:ln w="12700">
              <a:solidFill>
                <a:srgbClr val="FF0000"/>
              </a:solidFill>
              <a:prstDash val="solid"/>
            </a:ln>
          </c:spPr>
          <c:marker>
            <c:symbol val="none"/>
          </c:marker>
          <c:xVal>
            <c:numRef>
              <c:f>Stabilito!$B$201:$B$202</c:f>
              <c:numCache>
                <c:formatCode>General</c:formatCode>
                <c:ptCount val="2"/>
                <c:pt idx="0">
                  <c:v>4</c:v>
                </c:pt>
                <c:pt idx="1">
                  <c:v>4</c:v>
                </c:pt>
              </c:numCache>
            </c:numRef>
          </c:xVal>
          <c:yVal>
            <c:numRef>
              <c:f>Stabilito!$C$201:$C$202</c:f>
              <c:numCache>
                <c:formatCode>General</c:formatCode>
                <c:ptCount val="2"/>
                <c:pt idx="0">
                  <c:v>25</c:v>
                </c:pt>
                <c:pt idx="1">
                  <c:v>55</c:v>
                </c:pt>
              </c:numCache>
            </c:numRef>
          </c:yVal>
          <c:smooth val="1"/>
          <c:extLst>
            <c:ext xmlns:c16="http://schemas.microsoft.com/office/drawing/2014/chart" uri="{C3380CC4-5D6E-409C-BE32-E72D297353CC}">
              <c16:uniqueId val="{00000009-DD97-4068-951F-4990D529CDCA}"/>
            </c:ext>
          </c:extLst>
        </c:ser>
        <c:dLbls>
          <c:showLegendKey val="0"/>
          <c:showVal val="0"/>
          <c:showCatName val="0"/>
          <c:showSerName val="0"/>
          <c:showPercent val="0"/>
          <c:showBubbleSize val="0"/>
        </c:dLbls>
        <c:axId val="148471168"/>
        <c:axId val="148481536"/>
      </c:scatterChart>
      <c:scatterChart>
        <c:scatterStyle val="lineMarker"/>
        <c:varyColors val="0"/>
        <c:ser>
          <c:idx val="4"/>
          <c:order val="4"/>
          <c:tx>
            <c:v>Fusée en cours</c:v>
          </c:tx>
          <c:spPr>
            <a:ln w="25400">
              <a:solidFill>
                <a:schemeClr val="tx1"/>
              </a:solidFill>
            </a:ln>
          </c:spPr>
          <c:marker>
            <c:symbol val="diamond"/>
            <c:size val="7"/>
            <c:spPr>
              <a:solidFill>
                <a:schemeClr val="tx1"/>
              </a:solidFill>
              <a:ln>
                <a:noFill/>
              </a:ln>
            </c:spPr>
          </c:marker>
          <c:xVal>
            <c:numRef>
              <c:f>Stabilito!$B$190:$B$193</c:f>
              <c:numCache>
                <c:formatCode>0.00</c:formatCode>
                <c:ptCount val="4"/>
                <c:pt idx="0">
                  <c:v>0.75577484454785981</c:v>
                </c:pt>
                <c:pt idx="1">
                  <c:v>2.339319384198812</c:v>
                </c:pt>
                <c:pt idx="2">
                  <c:v>3.2389056118297503</c:v>
                </c:pt>
                <c:pt idx="3">
                  <c:v>1.6553610721787984</c:v>
                </c:pt>
              </c:numCache>
            </c:numRef>
          </c:xVal>
          <c:yVal>
            <c:numRef>
              <c:f>Stabilito!$C$190:$C$193</c:f>
              <c:numCache>
                <c:formatCode>0.00</c:formatCode>
                <c:ptCount val="4"/>
                <c:pt idx="0">
                  <c:v>19.571756703823535</c:v>
                </c:pt>
                <c:pt idx="1">
                  <c:v>24.879686361141552</c:v>
                </c:pt>
                <c:pt idx="2">
                  <c:v>24.879686361141552</c:v>
                </c:pt>
                <c:pt idx="3">
                  <c:v>19.571756703823535</c:v>
                </c:pt>
              </c:numCache>
            </c:numRef>
          </c:yVal>
          <c:smooth val="0"/>
          <c:extLst>
            <c:ext xmlns:c16="http://schemas.microsoft.com/office/drawing/2014/chart" uri="{C3380CC4-5D6E-409C-BE32-E72D297353CC}">
              <c16:uniqueId val="{0000000A-DD97-4068-951F-4990D529CDCA}"/>
            </c:ext>
          </c:extLst>
        </c:ser>
        <c:ser>
          <c:idx val="11"/>
          <c:order val="5"/>
          <c:tx>
            <c:v>Fusée en cours0</c:v>
          </c:tx>
          <c:spPr>
            <a:ln w="25400">
              <a:solidFill>
                <a:schemeClr val="tx1"/>
              </a:solidFill>
            </a:ln>
          </c:spPr>
          <c:marker>
            <c:symbol val="none"/>
          </c:marker>
          <c:xVal>
            <c:numRef>
              <c:f>Stabilito!$B$193:$B$194</c:f>
              <c:numCache>
                <c:formatCode>0.00</c:formatCode>
                <c:ptCount val="2"/>
                <c:pt idx="0">
                  <c:v>1.6553610721787984</c:v>
                </c:pt>
                <c:pt idx="1">
                  <c:v>0.75577484454785981</c:v>
                </c:pt>
              </c:numCache>
            </c:numRef>
          </c:xVal>
          <c:yVal>
            <c:numRef>
              <c:f>Stabilito!$C$193:$C$194</c:f>
              <c:numCache>
                <c:formatCode>0.00</c:formatCode>
                <c:ptCount val="2"/>
                <c:pt idx="0">
                  <c:v>19.571756703823535</c:v>
                </c:pt>
                <c:pt idx="1">
                  <c:v>19.571756703823535</c:v>
                </c:pt>
              </c:numCache>
            </c:numRef>
          </c:yVal>
          <c:smooth val="0"/>
          <c:extLst>
            <c:ext xmlns:c16="http://schemas.microsoft.com/office/drawing/2014/chart" uri="{C3380CC4-5D6E-409C-BE32-E72D297353CC}">
              <c16:uniqueId val="{0000000B-DD97-4068-951F-4990D529CDCA}"/>
            </c:ext>
          </c:extLst>
        </c:ser>
        <c:dLbls>
          <c:showLegendKey val="0"/>
          <c:showVal val="0"/>
          <c:showCatName val="0"/>
          <c:showSerName val="0"/>
          <c:showPercent val="0"/>
          <c:showBubbleSize val="0"/>
        </c:dLbls>
        <c:axId val="148471168"/>
        <c:axId val="148481536"/>
      </c:scatterChart>
      <c:valAx>
        <c:axId val="148471168"/>
        <c:scaling>
          <c:orientation val="minMax"/>
          <c:max val="7"/>
          <c:min val="0"/>
        </c:scaling>
        <c:delete val="0"/>
        <c:axPos val="b"/>
        <c:title>
          <c:tx>
            <c:strRef>
              <c:f>Stabilito!$B$118</c:f>
              <c:strCache>
                <c:ptCount val="1"/>
                <c:pt idx="0">
                  <c:v>Marge Statique (MS)</c:v>
                </c:pt>
              </c:strCache>
            </c:strRef>
          </c:tx>
          <c:layout>
            <c:manualLayout>
              <c:xMode val="edge"/>
              <c:yMode val="edge"/>
              <c:x val="0.51717271009913568"/>
              <c:y val="0.73094047244094495"/>
            </c:manualLayout>
          </c:layout>
          <c:overlay val="0"/>
          <c:spPr>
            <a:solidFill>
              <a:srgbClr val="FFFFFF"/>
            </a:solidFill>
            <a:ln w="25400">
              <a:noFill/>
            </a:ln>
          </c:spPr>
          <c:txPr>
            <a:bodyPr/>
            <a:lstStyle/>
            <a:p>
              <a:pPr>
                <a:defRPr sz="1000" b="0" i="0" u="none" strike="noStrike" baseline="0">
                  <a:solidFill>
                    <a:srgbClr val="000000"/>
                  </a:solidFill>
                  <a:latin typeface="Calibri"/>
                  <a:ea typeface="Calibri"/>
                  <a:cs typeface="Calibri"/>
                </a:defRPr>
              </a:pPr>
              <a:endParaRPr lang="fr-FR"/>
            </a:p>
          </c:txPr>
        </c:title>
        <c:numFmt formatCode="General" sourceLinked="1"/>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8481536"/>
        <c:crosses val="autoZero"/>
        <c:crossBetween val="midCat"/>
      </c:valAx>
      <c:valAx>
        <c:axId val="148481536"/>
        <c:scaling>
          <c:orientation val="minMax"/>
          <c:max val="55"/>
          <c:min val="0"/>
        </c:scaling>
        <c:delete val="0"/>
        <c:axPos val="l"/>
        <c:title>
          <c:tx>
            <c:strRef>
              <c:f>Stabilito!$B$119</c:f>
              <c:strCache>
                <c:ptCount val="1"/>
                <c:pt idx="0">
                  <c:v>Portance Cnα</c:v>
                </c:pt>
              </c:strCache>
            </c:strRef>
          </c:tx>
          <c:layout>
            <c:manualLayout>
              <c:xMode val="edge"/>
              <c:yMode val="edge"/>
              <c:x val="6.9119481083972797E-2"/>
              <c:y val="0.24099905511811029"/>
            </c:manualLayout>
          </c:layout>
          <c:overlay val="0"/>
          <c:spPr>
            <a:solidFill>
              <a:srgbClr val="FFFFFF"/>
            </a:solidFill>
            <a:ln w="25400">
              <a:noFill/>
            </a:ln>
          </c:spPr>
          <c:txPr>
            <a:bodyPr/>
            <a:lstStyle/>
            <a:p>
              <a:pPr>
                <a:defRPr sz="1000" b="0" i="0" u="none" strike="noStrike" baseline="0">
                  <a:solidFill>
                    <a:srgbClr val="000000"/>
                  </a:solidFill>
                  <a:latin typeface="Calibri"/>
                  <a:ea typeface="Calibri"/>
                  <a:cs typeface="Calibri"/>
                </a:defRPr>
              </a:pPr>
              <a:endParaRPr lang="fr-FR"/>
            </a:p>
          </c:txPr>
        </c:title>
        <c:numFmt formatCode="General" sourceLinked="1"/>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847116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475"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49212598450000095" footer="0.4921259845000009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Trajecto!$B$111</c:f>
          <c:strCache>
            <c:ptCount val="1"/>
            <c:pt idx="0">
              <c:v>Trajectoire (x z)</c:v>
            </c:pt>
          </c:strCache>
        </c:strRef>
      </c:tx>
      <c:layout>
        <c:manualLayout>
          <c:xMode val="edge"/>
          <c:yMode val="edge"/>
          <c:x val="0.66868786671936287"/>
          <c:y val="3.8575744069727136E-2"/>
        </c:manualLayout>
      </c:layout>
      <c:overlay val="0"/>
      <c:spPr>
        <a:noFill/>
        <a:ln w="25400">
          <a:noFill/>
        </a:ln>
      </c:spPr>
      <c:txPr>
        <a:bodyPr/>
        <a:lstStyle/>
        <a:p>
          <a:pPr>
            <a:defRPr sz="800" b="1" i="0" u="none" strike="noStrike" baseline="0">
              <a:solidFill>
                <a:srgbClr val="0000FF"/>
              </a:solidFill>
              <a:latin typeface="Arial"/>
              <a:ea typeface="Arial"/>
              <a:cs typeface="Arial"/>
            </a:defRPr>
          </a:pPr>
          <a:endParaRPr lang="fr-FR"/>
        </a:p>
      </c:txPr>
    </c:title>
    <c:autoTitleDeleted val="0"/>
    <c:plotArea>
      <c:layout>
        <c:manualLayout>
          <c:layoutTarget val="inner"/>
          <c:xMode val="edge"/>
          <c:yMode val="edge"/>
          <c:x val="6.9697175950449913E-2"/>
          <c:y val="3.5608360198500402E-2"/>
          <c:w val="0.89697235136230857"/>
          <c:h val="0.89614373166225958"/>
        </c:manualLayout>
      </c:layout>
      <c:scatterChart>
        <c:scatterStyle val="lineMarker"/>
        <c:varyColors val="0"/>
        <c:ser>
          <c:idx val="0"/>
          <c:order val="0"/>
          <c:tx>
            <c:v>Point invisible pour mise à l'echelle</c:v>
          </c:tx>
          <c:spPr>
            <a:ln w="3175">
              <a:solidFill>
                <a:srgbClr val="99CCFF"/>
              </a:solidFill>
              <a:prstDash val="solid"/>
            </a:ln>
          </c:spPr>
          <c:marker>
            <c:symbol val="none"/>
          </c:marker>
          <c:xVal>
            <c:numRef>
              <c:f>Trajecto!$B$121</c:f>
              <c:numCache>
                <c:formatCode>0</c:formatCode>
                <c:ptCount val="1"/>
                <c:pt idx="0">
                  <c:v>1568.0396528360352</c:v>
                </c:pt>
              </c:numCache>
            </c:numRef>
          </c:xVal>
          <c:yVal>
            <c:numRef>
              <c:f>Trajecto!$C$121</c:f>
              <c:numCache>
                <c:formatCode>0</c:formatCode>
                <c:ptCount val="1"/>
                <c:pt idx="0">
                  <c:v>1568.0396528360352</c:v>
                </c:pt>
              </c:numCache>
            </c:numRef>
          </c:yVal>
          <c:smooth val="1"/>
          <c:extLst>
            <c:ext xmlns:c16="http://schemas.microsoft.com/office/drawing/2014/chart" uri="{C3380CC4-5D6E-409C-BE32-E72D297353CC}">
              <c16:uniqueId val="{00000000-432A-49A9-9499-7ED3E32DDB07}"/>
            </c:ext>
          </c:extLst>
        </c:ser>
        <c:ser>
          <c:idx val="1"/>
          <c:order val="1"/>
          <c:tx>
            <c:v>1 point par seconde</c:v>
          </c:tx>
          <c:spPr>
            <a:ln w="28575">
              <a:noFill/>
            </a:ln>
          </c:spPr>
          <c:marker>
            <c:symbol val="plus"/>
            <c:size val="7"/>
            <c:spPr>
              <a:noFill/>
              <a:ln>
                <a:solidFill>
                  <a:srgbClr val="000000"/>
                </a:solidFill>
                <a:prstDash val="solid"/>
              </a:ln>
            </c:spPr>
          </c:marker>
          <c:xVal>
            <c:numRef>
              <c:f>Calculs!$AD$4:$AD$1004</c:f>
              <c:numCache>
                <c:formatCode>0</c:formatCode>
                <c:ptCount val="1001"/>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13.864578192440836</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54.133829860625326</c:v>
                </c:pt>
                <c:pt idx="201">
                  <c:v>#N/A</c:v>
                </c:pt>
                <c:pt idx="202">
                  <c:v>#N/A</c:v>
                </c:pt>
                <c:pt idx="203">
                  <c:v>#N/A</c:v>
                </c:pt>
                <c:pt idx="204">
                  <c:v>#N/A</c:v>
                </c:pt>
                <c:pt idx="205">
                  <c:v>#N/A</c:v>
                </c:pt>
                <c:pt idx="206">
                  <c:v>#N/A</c:v>
                </c:pt>
                <c:pt idx="207">
                  <c:v>#N/A</c:v>
                </c:pt>
                <c:pt idx="208">
                  <c:v>#N/A</c:v>
                </c:pt>
                <c:pt idx="209">
                  <c:v>#N/A</c:v>
                </c:pt>
                <c:pt idx="210">
                  <c:v>96.072120187962554</c:v>
                </c:pt>
                <c:pt idx="211">
                  <c:v>#N/A</c:v>
                </c:pt>
                <c:pt idx="212">
                  <c:v>#N/A</c:v>
                </c:pt>
                <c:pt idx="213">
                  <c:v>#N/A</c:v>
                </c:pt>
                <c:pt idx="214">
                  <c:v>#N/A</c:v>
                </c:pt>
                <c:pt idx="215">
                  <c:v>#N/A</c:v>
                </c:pt>
                <c:pt idx="216">
                  <c:v>#N/A</c:v>
                </c:pt>
                <c:pt idx="217">
                  <c:v>#N/A</c:v>
                </c:pt>
                <c:pt idx="218">
                  <c:v>#N/A</c:v>
                </c:pt>
                <c:pt idx="219">
                  <c:v>#N/A</c:v>
                </c:pt>
                <c:pt idx="220">
                  <c:v>134.65555363253887</c:v>
                </c:pt>
                <c:pt idx="221">
                  <c:v>#N/A</c:v>
                </c:pt>
                <c:pt idx="222">
                  <c:v>#N/A</c:v>
                </c:pt>
                <c:pt idx="223">
                  <c:v>#N/A</c:v>
                </c:pt>
                <c:pt idx="224">
                  <c:v>#N/A</c:v>
                </c:pt>
                <c:pt idx="225">
                  <c:v>#N/A</c:v>
                </c:pt>
                <c:pt idx="226">
                  <c:v>#N/A</c:v>
                </c:pt>
                <c:pt idx="227">
                  <c:v>#N/A</c:v>
                </c:pt>
                <c:pt idx="228">
                  <c:v>#N/A</c:v>
                </c:pt>
                <c:pt idx="229">
                  <c:v>#N/A</c:v>
                </c:pt>
                <c:pt idx="230">
                  <c:v>170.56646434008957</c:v>
                </c:pt>
                <c:pt idx="231">
                  <c:v>#N/A</c:v>
                </c:pt>
                <c:pt idx="232">
                  <c:v>#N/A</c:v>
                </c:pt>
                <c:pt idx="233">
                  <c:v>#N/A</c:v>
                </c:pt>
                <c:pt idx="234">
                  <c:v>#N/A</c:v>
                </c:pt>
                <c:pt idx="235">
                  <c:v>#N/A</c:v>
                </c:pt>
                <c:pt idx="236">
                  <c:v>#N/A</c:v>
                </c:pt>
                <c:pt idx="237">
                  <c:v>#N/A</c:v>
                </c:pt>
                <c:pt idx="238">
                  <c:v>#N/A</c:v>
                </c:pt>
                <c:pt idx="239">
                  <c:v>#N/A</c:v>
                </c:pt>
                <c:pt idx="240">
                  <c:v>204.31281060841957</c:v>
                </c:pt>
                <c:pt idx="241">
                  <c:v>#N/A</c:v>
                </c:pt>
                <c:pt idx="242">
                  <c:v>#N/A</c:v>
                </c:pt>
                <c:pt idx="243">
                  <c:v>#N/A</c:v>
                </c:pt>
                <c:pt idx="244">
                  <c:v>#N/A</c:v>
                </c:pt>
                <c:pt idx="245">
                  <c:v>#N/A</c:v>
                </c:pt>
                <c:pt idx="246">
                  <c:v>#N/A</c:v>
                </c:pt>
                <c:pt idx="247">
                  <c:v>#N/A</c:v>
                </c:pt>
                <c:pt idx="248">
                  <c:v>#N/A</c:v>
                </c:pt>
                <c:pt idx="249">
                  <c:v>#N/A</c:v>
                </c:pt>
                <c:pt idx="250">
                  <c:v>236.28477806104328</c:v>
                </c:pt>
                <c:pt idx="251">
                  <c:v>#N/A</c:v>
                </c:pt>
                <c:pt idx="252">
                  <c:v>#N/A</c:v>
                </c:pt>
                <c:pt idx="253">
                  <c:v>#N/A</c:v>
                </c:pt>
                <c:pt idx="254">
                  <c:v>#N/A</c:v>
                </c:pt>
                <c:pt idx="255">
                  <c:v>#N/A</c:v>
                </c:pt>
                <c:pt idx="256">
                  <c:v>#N/A</c:v>
                </c:pt>
                <c:pt idx="257">
                  <c:v>#N/A</c:v>
                </c:pt>
                <c:pt idx="258">
                  <c:v>#N/A</c:v>
                </c:pt>
                <c:pt idx="259">
                  <c:v>#N/A</c:v>
                </c:pt>
                <c:pt idx="260">
                  <c:v>266.79014070969009</c:v>
                </c:pt>
                <c:pt idx="261">
                  <c:v>#N/A</c:v>
                </c:pt>
                <c:pt idx="262">
                  <c:v>#N/A</c:v>
                </c:pt>
                <c:pt idx="263">
                  <c:v>#N/A</c:v>
                </c:pt>
                <c:pt idx="264">
                  <c:v>#N/A</c:v>
                </c:pt>
                <c:pt idx="265">
                  <c:v>#N/A</c:v>
                </c:pt>
                <c:pt idx="266">
                  <c:v>#N/A</c:v>
                </c:pt>
                <c:pt idx="267">
                  <c:v>#N/A</c:v>
                </c:pt>
                <c:pt idx="268">
                  <c:v>#N/A</c:v>
                </c:pt>
                <c:pt idx="269">
                  <c:v>#N/A</c:v>
                </c:pt>
                <c:pt idx="270">
                  <c:v>296.07730214893286</c:v>
                </c:pt>
                <c:pt idx="271">
                  <c:v>#N/A</c:v>
                </c:pt>
                <c:pt idx="272">
                  <c:v>#N/A</c:v>
                </c:pt>
                <c:pt idx="273">
                  <c:v>#N/A</c:v>
                </c:pt>
                <c:pt idx="274">
                  <c:v>#N/A</c:v>
                </c:pt>
                <c:pt idx="275">
                  <c:v>#N/A</c:v>
                </c:pt>
                <c:pt idx="276">
                  <c:v>#N/A</c:v>
                </c:pt>
                <c:pt idx="277">
                  <c:v>#N/A</c:v>
                </c:pt>
                <c:pt idx="278">
                  <c:v>#N/A</c:v>
                </c:pt>
                <c:pt idx="279">
                  <c:v>#N/A</c:v>
                </c:pt>
                <c:pt idx="280">
                  <c:v>324.35082135442258</c:v>
                </c:pt>
                <c:pt idx="281">
                  <c:v>#N/A</c:v>
                </c:pt>
                <c:pt idx="282">
                  <c:v>#N/A</c:v>
                </c:pt>
                <c:pt idx="283">
                  <c:v>#N/A</c:v>
                </c:pt>
                <c:pt idx="284">
                  <c:v>#N/A</c:v>
                </c:pt>
                <c:pt idx="285">
                  <c:v>#N/A</c:v>
                </c:pt>
                <c:pt idx="286">
                  <c:v>#N/A</c:v>
                </c:pt>
                <c:pt idx="287">
                  <c:v>#N/A</c:v>
                </c:pt>
                <c:pt idx="288">
                  <c:v>#N/A</c:v>
                </c:pt>
                <c:pt idx="289">
                  <c:v>#N/A</c:v>
                </c:pt>
                <c:pt idx="290">
                  <c:v>351.78213260252897</c:v>
                </c:pt>
                <c:pt idx="291">
                  <c:v>#N/A</c:v>
                </c:pt>
                <c:pt idx="292">
                  <c:v>#N/A</c:v>
                </c:pt>
                <c:pt idx="293">
                  <c:v>#N/A</c:v>
                </c:pt>
                <c:pt idx="294">
                  <c:v>#N/A</c:v>
                </c:pt>
                <c:pt idx="295">
                  <c:v>#N/A</c:v>
                </c:pt>
                <c:pt idx="296">
                  <c:v>#N/A</c:v>
                </c:pt>
                <c:pt idx="297">
                  <c:v>#N/A</c:v>
                </c:pt>
                <c:pt idx="298">
                  <c:v>#N/A</c:v>
                </c:pt>
                <c:pt idx="299">
                  <c:v>#N/A</c:v>
                </c:pt>
                <c:pt idx="300">
                  <c:v>378.51702309341704</c:v>
                </c:pt>
                <c:pt idx="301">
                  <c:v>#N/A</c:v>
                </c:pt>
                <c:pt idx="302">
                  <c:v>#N/A</c:v>
                </c:pt>
                <c:pt idx="303">
                  <c:v>#N/A</c:v>
                </c:pt>
                <c:pt idx="304">
                  <c:v>#N/A</c:v>
                </c:pt>
                <c:pt idx="305">
                  <c:v>#N/A</c:v>
                </c:pt>
                <c:pt idx="306">
                  <c:v>#N/A</c:v>
                </c:pt>
                <c:pt idx="307">
                  <c:v>#N/A</c:v>
                </c:pt>
                <c:pt idx="308">
                  <c:v>#N/A</c:v>
                </c:pt>
                <c:pt idx="309">
                  <c:v>#N/A</c:v>
                </c:pt>
                <c:pt idx="310">
                  <c:v>404.68073818104131</c:v>
                </c:pt>
                <c:pt idx="311">
                  <c:v>#N/A</c:v>
                </c:pt>
                <c:pt idx="312">
                  <c:v>#N/A</c:v>
                </c:pt>
                <c:pt idx="313">
                  <c:v>#N/A</c:v>
                </c:pt>
                <c:pt idx="314">
                  <c:v>#N/A</c:v>
                </c:pt>
                <c:pt idx="315">
                  <c:v>#N/A</c:v>
                </c:pt>
                <c:pt idx="316">
                  <c:v>#N/A</c:v>
                </c:pt>
                <c:pt idx="317">
                  <c:v>#N/A</c:v>
                </c:pt>
                <c:pt idx="318">
                  <c:v>#N/A</c:v>
                </c:pt>
                <c:pt idx="319">
                  <c:v>#N/A</c:v>
                </c:pt>
                <c:pt idx="320">
                  <c:v>430.38107246293168</c:v>
                </c:pt>
                <c:pt idx="321">
                  <c:v>#N/A</c:v>
                </c:pt>
                <c:pt idx="322">
                  <c:v>#N/A</c:v>
                </c:pt>
                <c:pt idx="323">
                  <c:v>#N/A</c:v>
                </c:pt>
                <c:pt idx="324">
                  <c:v>#N/A</c:v>
                </c:pt>
                <c:pt idx="325">
                  <c:v>#N/A</c:v>
                </c:pt>
                <c:pt idx="326">
                  <c:v>#N/A</c:v>
                </c:pt>
                <c:pt idx="327">
                  <c:v>#N/A</c:v>
                </c:pt>
                <c:pt idx="328">
                  <c:v>#N/A</c:v>
                </c:pt>
                <c:pt idx="329">
                  <c:v>#N/A</c:v>
                </c:pt>
                <c:pt idx="330">
                  <c:v>455.70927944162383</c:v>
                </c:pt>
                <c:pt idx="331">
                  <c:v>#N/A</c:v>
                </c:pt>
                <c:pt idx="332">
                  <c:v>#N/A</c:v>
                </c:pt>
                <c:pt idx="333">
                  <c:v>#N/A</c:v>
                </c:pt>
                <c:pt idx="334">
                  <c:v>#N/A</c:v>
                </c:pt>
                <c:pt idx="335">
                  <c:v>#N/A</c:v>
                </c:pt>
                <c:pt idx="336">
                  <c:v>#N/A</c:v>
                </c:pt>
                <c:pt idx="337">
                  <c:v>#N/A</c:v>
                </c:pt>
                <c:pt idx="338">
                  <c:v>#N/A</c:v>
                </c:pt>
                <c:pt idx="339">
                  <c:v>#N/A</c:v>
                </c:pt>
                <c:pt idx="340">
                  <c:v>480.73798045419397</c:v>
                </c:pt>
                <c:pt idx="341">
                  <c:v>#N/A</c:v>
                </c:pt>
                <c:pt idx="342">
                  <c:v>#N/A</c:v>
                </c:pt>
                <c:pt idx="343">
                  <c:v>#N/A</c:v>
                </c:pt>
                <c:pt idx="344">
                  <c:v>#N/A</c:v>
                </c:pt>
                <c:pt idx="345">
                  <c:v>#N/A</c:v>
                </c:pt>
                <c:pt idx="346">
                  <c:v>#N/A</c:v>
                </c:pt>
                <c:pt idx="347">
                  <c:v>#N/A</c:v>
                </c:pt>
                <c:pt idx="348">
                  <c:v>#N/A</c:v>
                </c:pt>
                <c:pt idx="349">
                  <c:v>#N/A</c:v>
                </c:pt>
                <c:pt idx="350">
                  <c:v>505.51508290765275</c:v>
                </c:pt>
                <c:pt idx="351">
                  <c:v>#N/A</c:v>
                </c:pt>
                <c:pt idx="352">
                  <c:v>#N/A</c:v>
                </c:pt>
                <c:pt idx="353">
                  <c:v>#N/A</c:v>
                </c:pt>
                <c:pt idx="354">
                  <c:v>#N/A</c:v>
                </c:pt>
                <c:pt idx="355">
                  <c:v>#N/A</c:v>
                </c:pt>
                <c:pt idx="356">
                  <c:v>#N/A</c:v>
                </c:pt>
                <c:pt idx="357">
                  <c:v>#N/A</c:v>
                </c:pt>
                <c:pt idx="358">
                  <c:v>#N/A</c:v>
                </c:pt>
                <c:pt idx="359">
                  <c:v>#N/A</c:v>
                </c:pt>
                <c:pt idx="360">
                  <c:v>530.05584201706881</c:v>
                </c:pt>
                <c:pt idx="361">
                  <c:v>#N/A</c:v>
                </c:pt>
                <c:pt idx="362">
                  <c:v>#N/A</c:v>
                </c:pt>
                <c:pt idx="363">
                  <c:v>#N/A</c:v>
                </c:pt>
                <c:pt idx="364">
                  <c:v>#N/A</c:v>
                </c:pt>
                <c:pt idx="365">
                  <c:v>#N/A</c:v>
                </c:pt>
                <c:pt idx="366">
                  <c:v>#N/A</c:v>
                </c:pt>
                <c:pt idx="367">
                  <c:v>#N/A</c:v>
                </c:pt>
                <c:pt idx="368">
                  <c:v>#N/A</c:v>
                </c:pt>
                <c:pt idx="369">
                  <c:v>#N/A</c:v>
                </c:pt>
                <c:pt idx="370">
                  <c:v>554.34135559608194</c:v>
                </c:pt>
                <c:pt idx="371">
                  <c:v>#N/A</c:v>
                </c:pt>
                <c:pt idx="372">
                  <c:v>#N/A</c:v>
                </c:pt>
                <c:pt idx="373">
                  <c:v>#N/A</c:v>
                </c:pt>
                <c:pt idx="374">
                  <c:v>#N/A</c:v>
                </c:pt>
                <c:pt idx="375">
                  <c:v>#N/A</c:v>
                </c:pt>
                <c:pt idx="376">
                  <c:v>#N/A</c:v>
                </c:pt>
                <c:pt idx="377">
                  <c:v>#N/A</c:v>
                </c:pt>
                <c:pt idx="378">
                  <c:v>#N/A</c:v>
                </c:pt>
                <c:pt idx="379">
                  <c:v>#N/A</c:v>
                </c:pt>
                <c:pt idx="380">
                  <c:v>578.327509527183</c:v>
                </c:pt>
                <c:pt idx="381">
                  <c:v>#N/A</c:v>
                </c:pt>
                <c:pt idx="382">
                  <c:v>#N/A</c:v>
                </c:pt>
                <c:pt idx="383">
                  <c:v>#N/A</c:v>
                </c:pt>
                <c:pt idx="384">
                  <c:v>#N/A</c:v>
                </c:pt>
                <c:pt idx="385">
                  <c:v>#N/A</c:v>
                </c:pt>
                <c:pt idx="386">
                  <c:v>#N/A</c:v>
                </c:pt>
                <c:pt idx="387">
                  <c:v>#N/A</c:v>
                </c:pt>
                <c:pt idx="388">
                  <c:v>#N/A</c:v>
                </c:pt>
                <c:pt idx="389">
                  <c:v>#N/A</c:v>
                </c:pt>
                <c:pt idx="390">
                  <c:v>601.95677619897947</c:v>
                </c:pt>
                <c:pt idx="391">
                  <c:v>#N/A</c:v>
                </c:pt>
                <c:pt idx="392">
                  <c:v>#N/A</c:v>
                </c:pt>
                <c:pt idx="393">
                  <c:v>#N/A</c:v>
                </c:pt>
                <c:pt idx="394">
                  <c:v>#N/A</c:v>
                </c:pt>
                <c:pt idx="395">
                  <c:v>#N/A</c:v>
                </c:pt>
                <c:pt idx="396">
                  <c:v>#N/A</c:v>
                </c:pt>
                <c:pt idx="397">
                  <c:v>#N/A</c:v>
                </c:pt>
                <c:pt idx="398">
                  <c:v>#N/A</c:v>
                </c:pt>
                <c:pt idx="399">
                  <c:v>#N/A</c:v>
                </c:pt>
                <c:pt idx="400">
                  <c:v>625.16667306657018</c:v>
                </c:pt>
                <c:pt idx="401">
                  <c:v>#N/A</c:v>
                </c:pt>
                <c:pt idx="402">
                  <c:v>#N/A</c:v>
                </c:pt>
                <c:pt idx="403">
                  <c:v>#N/A</c:v>
                </c:pt>
                <c:pt idx="404">
                  <c:v>#N/A</c:v>
                </c:pt>
                <c:pt idx="405">
                  <c:v>#N/A</c:v>
                </c:pt>
                <c:pt idx="406">
                  <c:v>#N/A</c:v>
                </c:pt>
                <c:pt idx="407">
                  <c:v>#N/A</c:v>
                </c:pt>
                <c:pt idx="408">
                  <c:v>#N/A</c:v>
                </c:pt>
                <c:pt idx="409">
                  <c:v>#N/A</c:v>
                </c:pt>
                <c:pt idx="410">
                  <c:v>647.89478219226339</c:v>
                </c:pt>
                <c:pt idx="411">
                  <c:v>#N/A</c:v>
                </c:pt>
                <c:pt idx="412">
                  <c:v>#N/A</c:v>
                </c:pt>
                <c:pt idx="413">
                  <c:v>#N/A</c:v>
                </c:pt>
                <c:pt idx="414">
                  <c:v>#N/A</c:v>
                </c:pt>
                <c:pt idx="415">
                  <c:v>#N/A</c:v>
                </c:pt>
                <c:pt idx="416">
                  <c:v>#N/A</c:v>
                </c:pt>
                <c:pt idx="417">
                  <c:v>#N/A</c:v>
                </c:pt>
                <c:pt idx="418">
                  <c:v>#N/A</c:v>
                </c:pt>
                <c:pt idx="419">
                  <c:v>#N/A</c:v>
                </c:pt>
                <c:pt idx="420">
                  <c:v>670.08172238035957</c:v>
                </c:pt>
                <c:pt idx="421">
                  <c:v>#N/A</c:v>
                </c:pt>
                <c:pt idx="422">
                  <c:v>#N/A</c:v>
                </c:pt>
                <c:pt idx="423">
                  <c:v>#N/A</c:v>
                </c:pt>
                <c:pt idx="424">
                  <c:v>#N/A</c:v>
                </c:pt>
                <c:pt idx="425">
                  <c:v>#N/A</c:v>
                </c:pt>
                <c:pt idx="426">
                  <c:v>#N/A</c:v>
                </c:pt>
                <c:pt idx="427">
                  <c:v>#N/A</c:v>
                </c:pt>
                <c:pt idx="428">
                  <c:v>#N/A</c:v>
                </c:pt>
                <c:pt idx="429">
                  <c:v>#N/A</c:v>
                </c:pt>
                <c:pt idx="430">
                  <c:v>691.67298930471122</c:v>
                </c:pt>
                <c:pt idx="431">
                  <c:v>#N/A</c:v>
                </c:pt>
                <c:pt idx="432">
                  <c:v>#N/A</c:v>
                </c:pt>
                <c:pt idx="433">
                  <c:v>#N/A</c:v>
                </c:pt>
                <c:pt idx="434">
                  <c:v>#N/A</c:v>
                </c:pt>
                <c:pt idx="435">
                  <c:v>#N/A</c:v>
                </c:pt>
                <c:pt idx="436">
                  <c:v>#N/A</c:v>
                </c:pt>
                <c:pt idx="437">
                  <c:v>#N/A</c:v>
                </c:pt>
                <c:pt idx="438">
                  <c:v>#N/A</c:v>
                </c:pt>
                <c:pt idx="439">
                  <c:v>#N/A</c:v>
                </c:pt>
                <c:pt idx="440">
                  <c:v>712.62011968277966</c:v>
                </c:pt>
                <c:pt idx="441">
                  <c:v>#N/A</c:v>
                </c:pt>
                <c:pt idx="442">
                  <c:v>#N/A</c:v>
                </c:pt>
                <c:pt idx="443">
                  <c:v>#N/A</c:v>
                </c:pt>
                <c:pt idx="444">
                  <c:v>#N/A</c:v>
                </c:pt>
                <c:pt idx="445">
                  <c:v>#N/A</c:v>
                </c:pt>
                <c:pt idx="446">
                  <c:v>#N/A</c:v>
                </c:pt>
                <c:pt idx="447">
                  <c:v>#N/A</c:v>
                </c:pt>
                <c:pt idx="448">
                  <c:v>#N/A</c:v>
                </c:pt>
                <c:pt idx="449">
                  <c:v>#N/A</c:v>
                </c:pt>
                <c:pt idx="450">
                  <c:v>732.8814030803718</c:v>
                </c:pt>
                <c:pt idx="451">
                  <c:v>#N/A</c:v>
                </c:pt>
                <c:pt idx="452">
                  <c:v>#N/A</c:v>
                </c:pt>
                <c:pt idx="453">
                  <c:v>#N/A</c:v>
                </c:pt>
                <c:pt idx="454">
                  <c:v>#N/A</c:v>
                </c:pt>
                <c:pt idx="455">
                  <c:v>#N/A</c:v>
                </c:pt>
                <c:pt idx="456">
                  <c:v>#N/A</c:v>
                </c:pt>
                <c:pt idx="457">
                  <c:v>#N/A</c:v>
                </c:pt>
                <c:pt idx="458">
                  <c:v>#N/A</c:v>
                </c:pt>
                <c:pt idx="459">
                  <c:v>#N/A</c:v>
                </c:pt>
                <c:pt idx="460">
                  <c:v>752.42226021330964</c:v>
                </c:pt>
                <c:pt idx="461">
                  <c:v>#N/A</c:v>
                </c:pt>
                <c:pt idx="462">
                  <c:v>#N/A</c:v>
                </c:pt>
                <c:pt idx="463">
                  <c:v>#N/A</c:v>
                </c:pt>
                <c:pt idx="464">
                  <c:v>#N/A</c:v>
                </c:pt>
                <c:pt idx="465">
                  <c:v>#N/A</c:v>
                </c:pt>
                <c:pt idx="466">
                  <c:v>#N/A</c:v>
                </c:pt>
                <c:pt idx="467">
                  <c:v>#N/A</c:v>
                </c:pt>
                <c:pt idx="468">
                  <c:v>#N/A</c:v>
                </c:pt>
                <c:pt idx="469">
                  <c:v>#N/A</c:v>
                </c:pt>
                <c:pt idx="470">
                  <c:v>771.21536017013477</c:v>
                </c:pt>
                <c:pt idx="471">
                  <c:v>#N/A</c:v>
                </c:pt>
                <c:pt idx="472">
                  <c:v>#N/A</c:v>
                </c:pt>
                <c:pt idx="473">
                  <c:v>#N/A</c:v>
                </c:pt>
                <c:pt idx="474">
                  <c:v>#N/A</c:v>
                </c:pt>
                <c:pt idx="475">
                  <c:v>#N/A</c:v>
                </c:pt>
                <c:pt idx="476">
                  <c:v>#N/A</c:v>
                </c:pt>
                <c:pt idx="477">
                  <c:v>#N/A</c:v>
                </c:pt>
                <c:pt idx="478">
                  <c:v>#N/A</c:v>
                </c:pt>
                <c:pt idx="479">
                  <c:v>#N/A</c:v>
                </c:pt>
                <c:pt idx="480">
                  <c:v>789.24052813826847</c:v>
                </c:pt>
                <c:pt idx="481">
                  <c:v>#N/A</c:v>
                </c:pt>
                <c:pt idx="482">
                  <c:v>#N/A</c:v>
                </c:pt>
                <c:pt idx="483">
                  <c:v>#N/A</c:v>
                </c:pt>
                <c:pt idx="484">
                  <c:v>#N/A</c:v>
                </c:pt>
                <c:pt idx="485">
                  <c:v>#N/A</c:v>
                </c:pt>
                <c:pt idx="486">
                  <c:v>#N/A</c:v>
                </c:pt>
                <c:pt idx="487">
                  <c:v>#N/A</c:v>
                </c:pt>
                <c:pt idx="488">
                  <c:v>#N/A</c:v>
                </c:pt>
                <c:pt idx="489">
                  <c:v>#N/A</c:v>
                </c:pt>
                <c:pt idx="490">
                  <c:v>806.48448546345605</c:v>
                </c:pt>
                <c:pt idx="491">
                  <c:v>#N/A</c:v>
                </c:pt>
                <c:pt idx="492">
                  <c:v>#N/A</c:v>
                </c:pt>
                <c:pt idx="493">
                  <c:v>#N/A</c:v>
                </c:pt>
                <c:pt idx="494">
                  <c:v>#N/A</c:v>
                </c:pt>
                <c:pt idx="495">
                  <c:v>#N/A</c:v>
                </c:pt>
                <c:pt idx="496">
                  <c:v>#N/A</c:v>
                </c:pt>
                <c:pt idx="497">
                  <c:v>#N/A</c:v>
                </c:pt>
                <c:pt idx="498">
                  <c:v>#N/A</c:v>
                </c:pt>
                <c:pt idx="499">
                  <c:v>#N/A</c:v>
                </c:pt>
                <c:pt idx="500">
                  <c:v>822.94045870837522</c:v>
                </c:pt>
                <c:pt idx="501">
                  <c:v>#N/A</c:v>
                </c:pt>
                <c:pt idx="502">
                  <c:v>#N/A</c:v>
                </c:pt>
                <c:pt idx="503">
                  <c:v>#N/A</c:v>
                </c:pt>
                <c:pt idx="504">
                  <c:v>#N/A</c:v>
                </c:pt>
                <c:pt idx="505">
                  <c:v>#N/A</c:v>
                </c:pt>
                <c:pt idx="506">
                  <c:v>#N/A</c:v>
                </c:pt>
                <c:pt idx="507">
                  <c:v>#N/A</c:v>
                </c:pt>
                <c:pt idx="508">
                  <c:v>#N/A</c:v>
                </c:pt>
                <c:pt idx="509">
                  <c:v>#N/A</c:v>
                </c:pt>
                <c:pt idx="510">
                  <c:v>838.60769086410221</c:v>
                </c:pt>
                <c:pt idx="511">
                  <c:v>#N/A</c:v>
                </c:pt>
                <c:pt idx="512">
                  <c:v>#N/A</c:v>
                </c:pt>
                <c:pt idx="513">
                  <c:v>#N/A</c:v>
                </c:pt>
                <c:pt idx="514">
                  <c:v>#N/A</c:v>
                </c:pt>
                <c:pt idx="515">
                  <c:v>#N/A</c:v>
                </c:pt>
                <c:pt idx="516">
                  <c:v>#N/A</c:v>
                </c:pt>
                <c:pt idx="517">
                  <c:v>#N/A</c:v>
                </c:pt>
                <c:pt idx="518">
                  <c:v>#N/A</c:v>
                </c:pt>
                <c:pt idx="519">
                  <c:v>#N/A</c:v>
                </c:pt>
                <c:pt idx="520">
                  <c:v>853.49088472023516</c:v>
                </c:pt>
                <c:pt idx="521">
                  <c:v>#N/A</c:v>
                </c:pt>
                <c:pt idx="522">
                  <c:v>#N/A</c:v>
                </c:pt>
                <c:pt idx="523">
                  <c:v>#N/A</c:v>
                </c:pt>
                <c:pt idx="524">
                  <c:v>#N/A</c:v>
                </c:pt>
                <c:pt idx="525">
                  <c:v>#N/A</c:v>
                </c:pt>
                <c:pt idx="526">
                  <c:v>#N/A</c:v>
                </c:pt>
                <c:pt idx="527">
                  <c:v>#N/A</c:v>
                </c:pt>
                <c:pt idx="528">
                  <c:v>#N/A</c:v>
                </c:pt>
                <c:pt idx="529">
                  <c:v>#N/A</c:v>
                </c:pt>
                <c:pt idx="530">
                  <c:v>867.59960512160046</c:v>
                </c:pt>
                <c:pt idx="531">
                  <c:v>#N/A</c:v>
                </c:pt>
                <c:pt idx="532">
                  <c:v>#N/A</c:v>
                </c:pt>
                <c:pt idx="533">
                  <c:v>#N/A</c:v>
                </c:pt>
                <c:pt idx="534">
                  <c:v>#N/A</c:v>
                </c:pt>
                <c:pt idx="535">
                  <c:v>#N/A</c:v>
                </c:pt>
                <c:pt idx="536">
                  <c:v>#N/A</c:v>
                </c:pt>
                <c:pt idx="537">
                  <c:v>#N/A</c:v>
                </c:pt>
                <c:pt idx="538">
                  <c:v>#N/A</c:v>
                </c:pt>
                <c:pt idx="539">
                  <c:v>#N/A</c:v>
                </c:pt>
                <c:pt idx="540">
                  <c:v>880.94766332347103</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numCache>
            </c:numRef>
          </c:xVal>
          <c:yVal>
            <c:numRef>
              <c:f>Calculs!$K$4:$K$1004</c:f>
              <c:numCache>
                <c:formatCode>0.00</c:formatCode>
                <c:ptCount val="1001"/>
                <c:pt idx="0">
                  <c:v>0</c:v>
                </c:pt>
                <c:pt idx="1">
                  <c:v>1.014835289857519E-3</c:v>
                </c:pt>
                <c:pt idx="2">
                  <c:v>8.2092717621669274E-3</c:v>
                </c:pt>
                <c:pt idx="3">
                  <c:v>2.826280262367881E-2</c:v>
                </c:pt>
                <c:pt idx="4">
                  <c:v>6.3441336380832408E-2</c:v>
                </c:pt>
                <c:pt idx="5">
                  <c:v>0.11321685656357894</c:v>
                </c:pt>
                <c:pt idx="6">
                  <c:v>0.17722168839409749</c:v>
                </c:pt>
                <c:pt idx="7">
                  <c:v>0.25541074679293435</c:v>
                </c:pt>
                <c:pt idx="8">
                  <c:v>0.34790053114657993</c:v>
                </c:pt>
                <c:pt idx="9">
                  <c:v>0.4548076293392046</c:v>
                </c:pt>
                <c:pt idx="10">
                  <c:v>0.5762487157900873</c:v>
                </c:pt>
                <c:pt idx="11">
                  <c:v>0.71232375635665535</c:v>
                </c:pt>
                <c:pt idx="12">
                  <c:v>0.86309916219158467</c:v>
                </c:pt>
                <c:pt idx="13">
                  <c:v>1.0286245053401553</c:v>
                </c:pt>
                <c:pt idx="14">
                  <c:v>1.208949285564338</c:v>
                </c:pt>
                <c:pt idx="15">
                  <c:v>1.4041229287194446</c:v>
                </c:pt>
                <c:pt idx="16">
                  <c:v>1.6141947851243379</c:v>
                </c:pt>
                <c:pt idx="17">
                  <c:v>1.8392141279253065</c:v>
                </c:pt>
                <c:pt idx="18">
                  <c:v>2.0792301514537108</c:v>
                </c:pt>
                <c:pt idx="19">
                  <c:v>2.3342919695775111</c:v>
                </c:pt>
                <c:pt idx="20">
                  <c:v>2.6044486140467877</c:v>
                </c:pt>
                <c:pt idx="21">
                  <c:v>2.8897422865207414</c:v>
                </c:pt>
                <c:pt idx="22">
                  <c:v>3.1902015903762195</c:v>
                </c:pt>
                <c:pt idx="23">
                  <c:v>3.5058482460334504</c:v>
                </c:pt>
                <c:pt idx="24">
                  <c:v>3.836703826804376</c:v>
                </c:pt>
                <c:pt idx="25">
                  <c:v>4.1827897578456144</c:v>
                </c:pt>
                <c:pt idx="26">
                  <c:v>4.5441125127268629</c:v>
                </c:pt>
                <c:pt idx="27">
                  <c:v>4.9206777754406357</c:v>
                </c:pt>
                <c:pt idx="28">
                  <c:v>5.3125052505906112</c:v>
                </c:pt>
                <c:pt idx="29">
                  <c:v>5.7196145188719516</c:v>
                </c:pt>
                <c:pt idx="30">
                  <c:v>6.1420250454300582</c:v>
                </c:pt>
                <c:pt idx="31">
                  <c:v>6.5797561762952155</c:v>
                </c:pt>
                <c:pt idx="32">
                  <c:v>7.0328271350771372</c:v>
                </c:pt>
                <c:pt idx="33">
                  <c:v>7.5012570198865358</c:v>
                </c:pt>
                <c:pt idx="34">
                  <c:v>7.9850648004560352</c:v>
                </c:pt>
                <c:pt idx="35">
                  <c:v>8.4842693154369879</c:v>
                </c:pt>
                <c:pt idx="36">
                  <c:v>8.998889269852226</c:v>
                </c:pt>
                <c:pt idx="37">
                  <c:v>9.5289432326876877</c:v>
                </c:pt>
                <c:pt idx="38">
                  <c:v>10.074449634608213</c:v>
                </c:pt>
                <c:pt idx="39">
                  <c:v>10.63542676578486</c:v>
                </c:pt>
                <c:pt idx="40">
                  <c:v>11.211892773822738</c:v>
                </c:pt>
                <c:pt idx="41">
                  <c:v>11.803860402368862</c:v>
                </c:pt>
                <c:pt idx="42">
                  <c:v>12.411331715763811</c:v>
                </c:pt>
                <c:pt idx="43">
                  <c:v>13.034303336940619</c:v>
                </c:pt>
                <c:pt idx="44">
                  <c:v>13.672771699736666</c:v>
                </c:pt>
                <c:pt idx="45">
                  <c:v>14.326733047819415</c:v>
                </c:pt>
                <c:pt idx="46">
                  <c:v>14.996183433682525</c:v>
                </c:pt>
                <c:pt idx="47">
                  <c:v>15.681118717707127</c:v>
                </c:pt>
                <c:pt idx="48">
                  <c:v>16.381534567283673</c:v>
                </c:pt>
                <c:pt idx="49">
                  <c:v>17.097426455990202</c:v>
                </c:pt>
                <c:pt idx="50">
                  <c:v>17.828789662823397</c:v>
                </c:pt>
                <c:pt idx="51">
                  <c:v>18.575619271479084</c:v>
                </c:pt>
                <c:pt idx="52">
                  <c:v>19.337910169679283</c:v>
                </c:pt>
                <c:pt idx="53">
                  <c:v>20.115657048543085</c:v>
                </c:pt>
                <c:pt idx="54">
                  <c:v>20.908854401999015</c:v>
                </c:pt>
                <c:pt idx="55">
                  <c:v>21.717496526236687</c:v>
                </c:pt>
                <c:pt idx="56">
                  <c:v>22.541577519195783</c:v>
                </c:pt>
                <c:pt idx="57">
                  <c:v>23.381091280090605</c:v>
                </c:pt>
                <c:pt idx="58">
                  <c:v>24.236031508968555</c:v>
                </c:pt>
                <c:pt idx="59">
                  <c:v>25.106391706301096</c:v>
                </c:pt>
                <c:pt idx="60">
                  <c:v>25.992165172605819</c:v>
                </c:pt>
                <c:pt idx="61">
                  <c:v>26.893345008098414</c:v>
                </c:pt>
                <c:pt idx="62">
                  <c:v>27.809924112373409</c:v>
                </c:pt>
                <c:pt idx="63">
                  <c:v>28.741895184112654</c:v>
                </c:pt>
                <c:pt idx="64">
                  <c:v>29.689250720820588</c:v>
                </c:pt>
                <c:pt idx="65">
                  <c:v>30.651983018585437</c:v>
                </c:pt>
                <c:pt idx="66">
                  <c:v>31.630084171865516</c:v>
                </c:pt>
                <c:pt idx="67">
                  <c:v>32.62354607329992</c:v>
                </c:pt>
                <c:pt idx="68">
                  <c:v>33.632360413542884</c:v>
                </c:pt>
                <c:pt idx="69">
                  <c:v>34.656518681121227</c:v>
                </c:pt>
                <c:pt idx="70">
                  <c:v>35.69601216231424</c:v>
                </c:pt>
                <c:pt idx="71">
                  <c:v>36.75083194105548</c:v>
                </c:pt>
                <c:pt idx="72">
                  <c:v>37.82096889885603</c:v>
                </c:pt>
                <c:pt idx="73">
                  <c:v>38.906413714748616</c:v>
                </c:pt>
                <c:pt idx="74">
                  <c:v>40.00715686525227</c:v>
                </c:pt>
                <c:pt idx="75">
                  <c:v>41.12318862435707</c:v>
                </c:pt>
                <c:pt idx="76">
                  <c:v>42.254499063528542</c:v>
                </c:pt>
                <c:pt idx="77">
                  <c:v>43.401078051731403</c:v>
                </c:pt>
                <c:pt idx="78">
                  <c:v>44.562915255472312</c:v>
                </c:pt>
                <c:pt idx="79">
                  <c:v>45.740000138861248</c:v>
                </c:pt>
                <c:pt idx="80">
                  <c:v>46.932321963691273</c:v>
                </c:pt>
                <c:pt idx="81">
                  <c:v>48.139864422620498</c:v>
                </c:pt>
                <c:pt idx="82">
                  <c:v>49.362600260516437</c:v>
                </c:pt>
                <c:pt idx="83">
                  <c:v>50.600496626797494</c:v>
                </c:pt>
                <c:pt idx="84">
                  <c:v>51.853520440092936</c:v>
                </c:pt>
                <c:pt idx="85">
                  <c:v>53.121638389303747</c:v>
                </c:pt>
                <c:pt idx="86">
                  <c:v>54.40481693468324</c:v>
                </c:pt>
                <c:pt idx="87">
                  <c:v>55.703022308937122</c:v>
                </c:pt>
                <c:pt idx="88">
                  <c:v>57.016220518342564</c:v>
                </c:pt>
                <c:pt idx="89">
                  <c:v>58.344377343885952</c:v>
                </c:pt>
                <c:pt idx="90">
                  <c:v>59.687458342418907</c:v>
                </c:pt>
                <c:pt idx="91">
                  <c:v>61.045426473207243</c:v>
                </c:pt>
                <c:pt idx="92">
                  <c:v>62.41823971967262</c:v>
                </c:pt>
                <c:pt idx="93">
                  <c:v>63.805853459542291</c:v>
                </c:pt>
                <c:pt idx="94">
                  <c:v>65.208222840061339</c:v>
                </c:pt>
                <c:pt idx="95">
                  <c:v>66.625302779676446</c:v>
                </c:pt>
                <c:pt idx="96">
                  <c:v>68.05704796973626</c:v>
                </c:pt>
                <c:pt idx="97">
                  <c:v>69.503412876207904</c:v>
                </c:pt>
                <c:pt idx="98">
                  <c:v>70.964351741409232</c:v>
                </c:pt>
                <c:pt idx="99">
                  <c:v>72.439818585756555</c:v>
                </c:pt>
                <c:pt idx="100">
                  <c:v>73.929767209527313</c:v>
                </c:pt>
                <c:pt idx="101">
                  <c:v>75.434150814277572</c:v>
                </c:pt>
                <c:pt idx="102">
                  <c:v>76.952921623574568</c:v>
                </c:pt>
                <c:pt idx="103">
                  <c:v>78.486031264390817</c:v>
                </c:pt>
                <c:pt idx="104">
                  <c:v>80.033431149247576</c:v>
                </c:pt>
                <c:pt idx="105">
                  <c:v>81.595072478120144</c:v>
                </c:pt>
                <c:pt idx="106">
                  <c:v>83.170906240356075</c:v>
                </c:pt>
                <c:pt idx="107">
                  <c:v>84.760883216605734</c:v>
                </c:pt>
                <c:pt idx="108">
                  <c:v>86.364953980764994</c:v>
                </c:pt>
                <c:pt idx="109">
                  <c:v>87.983068901929698</c:v>
                </c:pt>
                <c:pt idx="110">
                  <c:v>89.615178146361458</c:v>
                </c:pt>
                <c:pt idx="111">
                  <c:v>91.261236064969438</c:v>
                </c:pt>
                <c:pt idx="112">
                  <c:v>92.921205588025856</c:v>
                </c:pt>
                <c:pt idx="113">
                  <c:v>94.595053848995107</c:v>
                </c:pt>
                <c:pt idx="114">
                  <c:v>96.282747800752887</c:v>
                </c:pt>
                <c:pt idx="115">
                  <c:v>97.984254216810271</c:v>
                </c:pt>
                <c:pt idx="116">
                  <c:v>99.699539692548342</c:v>
                </c:pt>
                <c:pt idx="117">
                  <c:v>101.42857064646307</c:v>
                </c:pt>
                <c:pt idx="118">
                  <c:v>103.17131332142036</c:v>
                </c:pt>
                <c:pt idx="119">
                  <c:v>104.92773378592094</c:v>
                </c:pt>
                <c:pt idx="120">
                  <c:v>106.69779793537506</c:v>
                </c:pt>
                <c:pt idx="121">
                  <c:v>108.4814642092374</c:v>
                </c:pt>
                <c:pt idx="122">
                  <c:v>110.27867629734055</c:v>
                </c:pt>
                <c:pt idx="123">
                  <c:v>112.08937041547584</c:v>
                </c:pt>
                <c:pt idx="124">
                  <c:v>113.91348259247557</c:v>
                </c:pt>
                <c:pt idx="125">
                  <c:v>115.75094867289528</c:v>
                </c:pt>
                <c:pt idx="126">
                  <c:v>117.60170431970077</c:v>
                </c:pt>
                <c:pt idx="127">
                  <c:v>119.46568501695968</c:v>
                </c:pt>
                <c:pt idx="128">
                  <c:v>121.34282607253705</c:v>
                </c:pt>
                <c:pt idx="129">
                  <c:v>123.2330626207945</c:v>
                </c:pt>
                <c:pt idx="130">
                  <c:v>125.1363296252927</c:v>
                </c:pt>
                <c:pt idx="131">
                  <c:v>127.05255997182877</c:v>
                </c:pt>
                <c:pt idx="132">
                  <c:v>128.98168255907402</c:v>
                </c:pt>
                <c:pt idx="133">
                  <c:v>130.92362420915705</c:v>
                </c:pt>
                <c:pt idx="134">
                  <c:v>132.87831158084617</c:v>
                </c:pt>
                <c:pt idx="135">
                  <c:v>134.84567117265215</c:v>
                </c:pt>
                <c:pt idx="136">
                  <c:v>136.82562932593001</c:v>
                </c:pt>
                <c:pt idx="137">
                  <c:v>138.81811222797924</c:v>
                </c:pt>
                <c:pt idx="138">
                  <c:v>140.82304591514207</c:v>
                </c:pt>
                <c:pt idx="139">
                  <c:v>142.84035627589932</c:v>
                </c:pt>
                <c:pt idx="140">
                  <c:v>144.86996905396333</c:v>
                </c:pt>
                <c:pt idx="141">
                  <c:v>146.91178698708333</c:v>
                </c:pt>
                <c:pt idx="142">
                  <c:v>148.96566692288272</c:v>
                </c:pt>
                <c:pt idx="143">
                  <c:v>151.03144267539574</c:v>
                </c:pt>
                <c:pt idx="144">
                  <c:v>153.10894790750638</c:v>
                </c:pt>
                <c:pt idx="145">
                  <c:v>155.19801613987988</c:v>
                </c:pt>
                <c:pt idx="146">
                  <c:v>157.2984807598383</c:v>
                </c:pt>
                <c:pt idx="147">
                  <c:v>159.41017503017829</c:v>
                </c:pt>
                <c:pt idx="148">
                  <c:v>161.5329320979302</c:v>
                </c:pt>
                <c:pt idx="149">
                  <c:v>163.66658500305633</c:v>
                </c:pt>
                <c:pt idx="150">
                  <c:v>165.81096668708767</c:v>
                </c:pt>
                <c:pt idx="151">
                  <c:v>167.96591000169732</c:v>
                </c:pt>
                <c:pt idx="152">
                  <c:v>170.13124771720939</c:v>
                </c:pt>
                <c:pt idx="153">
                  <c:v>172.30681253104228</c:v>
                </c:pt>
                <c:pt idx="154">
                  <c:v>174.49243707608477</c:v>
                </c:pt>
                <c:pt idx="155">
                  <c:v>176.68795392900398</c:v>
                </c:pt>
                <c:pt idx="156">
                  <c:v>178.89308714213681</c:v>
                </c:pt>
                <c:pt idx="157">
                  <c:v>181.10734374515161</c:v>
                </c:pt>
                <c:pt idx="158">
                  <c:v>183.33012231697492</c:v>
                </c:pt>
                <c:pt idx="159">
                  <c:v>185.56082161710287</c:v>
                </c:pt>
                <c:pt idx="160">
                  <c:v>187.79884065168349</c:v>
                </c:pt>
                <c:pt idx="161">
                  <c:v>190.04344076972521</c:v>
                </c:pt>
                <c:pt idx="162">
                  <c:v>192.29360783695529</c:v>
                </c:pt>
                <c:pt idx="163">
                  <c:v>194.54820373809588</c:v>
                </c:pt>
                <c:pt idx="164">
                  <c:v>196.80611785876218</c:v>
                </c:pt>
                <c:pt idx="165">
                  <c:v>199.06638591248998</c:v>
                </c:pt>
                <c:pt idx="166">
                  <c:v>201.32830857749934</c:v>
                </c:pt>
                <c:pt idx="167">
                  <c:v>203.59121916885027</c:v>
                </c:pt>
                <c:pt idx="168">
                  <c:v>205.85432411080905</c:v>
                </c:pt>
                <c:pt idx="169">
                  <c:v>208.11659647290509</c:v>
                </c:pt>
                <c:pt idx="170">
                  <c:v>210.37674232348601</c:v>
                </c:pt>
                <c:pt idx="171">
                  <c:v>212.63385665462681</c:v>
                </c:pt>
                <c:pt idx="172">
                  <c:v>214.88771531735478</c:v>
                </c:pt>
                <c:pt idx="173">
                  <c:v>217.13832534242837</c:v>
                </c:pt>
                <c:pt idx="174">
                  <c:v>219.38569373336375</c:v>
                </c:pt>
                <c:pt idx="175">
                  <c:v>221.62982746657516</c:v>
                </c:pt>
                <c:pt idx="176">
                  <c:v>223.8707334915145</c:v>
                </c:pt>
                <c:pt idx="177">
                  <c:v>226.10841873080986</c:v>
                </c:pt>
                <c:pt idx="178">
                  <c:v>228.34289008040329</c:v>
                </c:pt>
                <c:pt idx="179">
                  <c:v>230.57415440968754</c:v>
                </c:pt>
                <c:pt idx="180">
                  <c:v>232.80221856164206</c:v>
                </c:pt>
                <c:pt idx="181">
                  <c:v>235.02708935296801</c:v>
                </c:pt>
                <c:pt idx="182">
                  <c:v>237.24877357422241</c:v>
                </c:pt>
                <c:pt idx="183">
                  <c:v>239.46727798995155</c:v>
                </c:pt>
                <c:pt idx="184">
                  <c:v>241.68260933882334</c:v>
                </c:pt>
                <c:pt idx="185">
                  <c:v>243.89477433375896</c:v>
                </c:pt>
                <c:pt idx="186">
                  <c:v>246.10377966206366</c:v>
                </c:pt>
                <c:pt idx="187">
                  <c:v>248.30963198555665</c:v>
                </c:pt>
                <c:pt idx="188">
                  <c:v>250.51233794070015</c:v>
                </c:pt>
                <c:pt idx="189">
                  <c:v>252.7119041387277</c:v>
                </c:pt>
                <c:pt idx="190">
                  <c:v>254.90833716577166</c:v>
                </c:pt>
                <c:pt idx="191">
                  <c:v>257.10164358298971</c:v>
                </c:pt>
                <c:pt idx="192">
                  <c:v>259.29182992669087</c:v>
                </c:pt>
                <c:pt idx="193">
                  <c:v>261.47890270846034</c:v>
                </c:pt>
                <c:pt idx="194">
                  <c:v>263.66286841528387</c:v>
                </c:pt>
                <c:pt idx="195">
                  <c:v>265.8437335096711</c:v>
                </c:pt>
                <c:pt idx="196">
                  <c:v>268.02150442977836</c:v>
                </c:pt>
                <c:pt idx="197">
                  <c:v>270.19618758953044</c:v>
                </c:pt>
                <c:pt idx="198">
                  <c:v>272.3677893787418</c:v>
                </c:pt>
                <c:pt idx="199">
                  <c:v>274.5363161632369</c:v>
                </c:pt>
                <c:pt idx="200">
                  <c:v>276.7017742849697</c:v>
                </c:pt>
                <c:pt idx="201">
                  <c:v>298.18806844452359</c:v>
                </c:pt>
                <c:pt idx="202">
                  <c:v>319.37155913113872</c:v>
                </c:pt>
                <c:pt idx="203">
                  <c:v>340.25836315811733</c:v>
                </c:pt>
                <c:pt idx="204">
                  <c:v>360.85437383944549</c:v>
                </c:pt>
                <c:pt idx="205">
                  <c:v>381.1652717252208</c:v>
                </c:pt>
                <c:pt idx="206">
                  <c:v>401.19653469204792</c:v>
                </c:pt>
                <c:pt idx="207">
                  <c:v>420.95344743459793</c:v>
                </c:pt>
                <c:pt idx="208">
                  <c:v>440.44111040069697</c:v>
                </c:pt>
                <c:pt idx="209">
                  <c:v>459.66444820883692</c:v>
                </c:pt>
                <c:pt idx="210">
                  <c:v>478.62821758385189</c:v>
                </c:pt>
                <c:pt idx="211">
                  <c:v>497.33701484364508</c:v>
                </c:pt>
                <c:pt idx="212">
                  <c:v>515.79528296724777</c:v>
                </c:pt>
                <c:pt idx="213">
                  <c:v>534.00731827212758</c:v>
                </c:pt>
                <c:pt idx="214">
                  <c:v>551.97727672650228</c:v>
                </c:pt>
                <c:pt idx="215">
                  <c:v>569.70917992045008</c:v>
                </c:pt>
                <c:pt idx="216">
                  <c:v>587.2069207178065</c:v>
                </c:pt>
                <c:pt idx="217">
                  <c:v>604.47426860919734</c:v>
                </c:pt>
                <c:pt idx="218">
                  <c:v>621.51487478504953</c:v>
                </c:pt>
                <c:pt idx="219">
                  <c:v>638.33227694604579</c:v>
                </c:pt>
                <c:pt idx="220">
                  <c:v>654.92990386722522</c:v>
                </c:pt>
                <c:pt idx="221">
                  <c:v>671.31107973076951</c:v>
                </c:pt>
                <c:pt idx="222">
                  <c:v>687.47902824145251</c:v>
                </c:pt>
                <c:pt idx="223">
                  <c:v>703.43687653774646</c:v>
                </c:pt>
                <c:pt idx="224">
                  <c:v>719.1876589106804</c:v>
                </c:pt>
                <c:pt idx="225">
                  <c:v>734.73432034171162</c:v>
                </c:pt>
                <c:pt idx="226">
                  <c:v>750.07971987010762</c:v>
                </c:pt>
                <c:pt idx="227">
                  <c:v>765.22663379962705</c:v>
                </c:pt>
                <c:pt idx="228">
                  <c:v>780.17775875363714</c:v>
                </c:pt>
                <c:pt idx="229">
                  <c:v>794.93571458719885</c:v>
                </c:pt>
                <c:pt idx="230">
                  <c:v>809.50304716409653</c:v>
                </c:pt>
                <c:pt idx="231">
                  <c:v>823.8822310062684</c:v>
                </c:pt>
                <c:pt idx="232">
                  <c:v>838.07567182261812</c:v>
                </c:pt>
                <c:pt idx="233">
                  <c:v>852.08570892374257</c:v>
                </c:pt>
                <c:pt idx="234">
                  <c:v>865.9146175286993</c:v>
                </c:pt>
                <c:pt idx="235">
                  <c:v>879.5646109695557</c:v>
                </c:pt>
                <c:pt idx="236">
                  <c:v>893.03784279910587</c:v>
                </c:pt>
                <c:pt idx="237">
                  <c:v>906.3364088068106</c:v>
                </c:pt>
                <c:pt idx="238">
                  <c:v>919.46234894771032</c:v>
                </c:pt>
                <c:pt idx="239">
                  <c:v>932.41764918877345</c:v>
                </c:pt>
                <c:pt idx="240">
                  <c:v>945.20424327687579</c:v>
                </c:pt>
                <c:pt idx="241">
                  <c:v>957.82401443236006</c:v>
                </c:pt>
                <c:pt idx="242">
                  <c:v>970.27879697189155</c:v>
                </c:pt>
                <c:pt idx="243">
                  <c:v>982.57037786410933</c:v>
                </c:pt>
                <c:pt idx="244">
                  <c:v>994.70049822137241</c:v>
                </c:pt>
                <c:pt idx="245">
                  <c:v>1006.6708547307095</c:v>
                </c:pt>
                <c:pt idx="246">
                  <c:v>1018.483101026906</c:v>
                </c:pt>
                <c:pt idx="247">
                  <c:v>1030.1388490104957</c:v>
                </c:pt>
                <c:pt idx="248">
                  <c:v>1041.6396701132724</c:v>
                </c:pt>
                <c:pt idx="249">
                  <c:v>1052.987096513787</c:v>
                </c:pt>
                <c:pt idx="250">
                  <c:v>1064.1826223051685</c:v>
                </c:pt>
                <c:pt idx="251">
                  <c:v>1075.2277046174697</c:v>
                </c:pt>
                <c:pt idx="252">
                  <c:v>1086.1237646966292</c:v>
                </c:pt>
                <c:pt idx="253">
                  <c:v>1096.8721889420215</c:v>
                </c:pt>
                <c:pt idx="254">
                  <c:v>1107.4743299044674</c:v>
                </c:pt>
                <c:pt idx="255">
                  <c:v>1117.9315072464747</c:v>
                </c:pt>
                <c:pt idx="256">
                  <c:v>1128.2450086663891</c:v>
                </c:pt>
                <c:pt idx="257">
                  <c:v>1138.4160907880448</c:v>
                </c:pt>
                <c:pt idx="258">
                  <c:v>1148.4459800174252</c:v>
                </c:pt>
                <c:pt idx="259">
                  <c:v>1158.3358733677655</c:v>
                </c:pt>
                <c:pt idx="260">
                  <c:v>1168.0869392544566</c:v>
                </c:pt>
                <c:pt idx="261">
                  <c:v>1177.7003182610395</c:v>
                </c:pt>
                <c:pt idx="262">
                  <c:v>1187.1771238775182</c:v>
                </c:pt>
                <c:pt idx="263">
                  <c:v>1196.5184432121555</c:v>
                </c:pt>
                <c:pt idx="264">
                  <c:v>1205.7253376778583</c:v>
                </c:pt>
                <c:pt idx="265">
                  <c:v>1214.7988436542075</c:v>
                </c:pt>
                <c:pt idx="266">
                  <c:v>1223.7399731261344</c:v>
                </c:pt>
                <c:pt idx="267">
                  <c:v>1232.5497143001958</c:v>
                </c:pt>
                <c:pt idx="268">
                  <c:v>1241.2290321993603</c:v>
                </c:pt>
                <c:pt idx="269">
                  <c:v>1249.7788692371664</c:v>
                </c:pt>
                <c:pt idx="270">
                  <c:v>1258.2001457720798</c:v>
                </c:pt>
                <c:pt idx="271">
                  <c:v>1266.4937606428352</c:v>
                </c:pt>
                <c:pt idx="272">
                  <c:v>1274.6605916855115</c:v>
                </c:pt>
                <c:pt idx="273">
                  <c:v>1282.701496233057</c:v>
                </c:pt>
                <c:pt idx="274">
                  <c:v>1290.6173115979454</c:v>
                </c:pt>
                <c:pt idx="275">
                  <c:v>1298.4088555386154</c:v>
                </c:pt>
                <c:pt idx="276">
                  <c:v>1306.0769267103153</c:v>
                </c:pt>
                <c:pt idx="277">
                  <c:v>1313.622305100949</c:v>
                </c:pt>
                <c:pt idx="278">
                  <c:v>1321.0457524524904</c:v>
                </c:pt>
                <c:pt idx="279">
                  <c:v>1328.348012668511</c:v>
                </c:pt>
                <c:pt idx="280">
                  <c:v>1335.5298122083414</c:v>
                </c:pt>
                <c:pt idx="281">
                  <c:v>1342.5918604683645</c:v>
                </c:pt>
                <c:pt idx="282">
                  <c:v>1349.5348501509188</c:v>
                </c:pt>
                <c:pt idx="283">
                  <c:v>1356.3594576212674</c:v>
                </c:pt>
                <c:pt idx="284">
                  <c:v>1363.066343253075</c:v>
                </c:pt>
                <c:pt idx="285">
                  <c:v>1369.6561517628111</c:v>
                </c:pt>
                <c:pt idx="286">
                  <c:v>1376.129512533485</c:v>
                </c:pt>
                <c:pt idx="287">
                  <c:v>1382.4870399281037</c:v>
                </c:pt>
                <c:pt idx="288">
                  <c:v>1388.7293335932236</c:v>
                </c:pt>
                <c:pt idx="289">
                  <c:v>1394.8569787529584</c:v>
                </c:pt>
                <c:pt idx="290">
                  <c:v>1400.8705464937912</c:v>
                </c:pt>
                <c:pt idx="291">
                  <c:v>1406.7705940405247</c:v>
                </c:pt>
                <c:pt idx="292">
                  <c:v>1412.5576650236951</c:v>
                </c:pt>
                <c:pt idx="293">
                  <c:v>1418.2322897387626</c:v>
                </c:pt>
                <c:pt idx="294">
                  <c:v>1423.7949853973826</c:v>
                </c:pt>
                <c:pt idx="295">
                  <c:v>1429.2462563710544</c:v>
                </c:pt>
                <c:pt idx="296">
                  <c:v>1434.5865944274333</c:v>
                </c:pt>
                <c:pt idx="297">
                  <c:v>1439.816478959588</c:v>
                </c:pt>
                <c:pt idx="298">
                  <c:v>1444.9363772084766</c:v>
                </c:pt>
                <c:pt idx="299">
                  <c:v>1449.9467444789107</c:v>
                </c:pt>
                <c:pt idx="300">
                  <c:v>1454.8480243492709</c:v>
                </c:pt>
                <c:pt idx="301">
                  <c:v>1459.6406488752384</c:v>
                </c:pt>
                <c:pt idx="302">
                  <c:v>1464.3250387877956</c:v>
                </c:pt>
                <c:pt idx="303">
                  <c:v>1468.9016036857581</c:v>
                </c:pt>
                <c:pt idx="304">
                  <c:v>1473.3707422230914</c:v>
                </c:pt>
                <c:pt idx="305">
                  <c:v>1477.7328422912717</c:v>
                </c:pt>
                <c:pt idx="306">
                  <c:v>1481.988281196951</c:v>
                </c:pt>
                <c:pt idx="307">
                  <c:v>1486.1374258351873</c:v>
                </c:pt>
                <c:pt idx="308">
                  <c:v>1490.1806328585112</c:v>
                </c:pt>
                <c:pt idx="309">
                  <c:v>1494.1182488421023</c:v>
                </c:pt>
                <c:pt idx="310">
                  <c:v>1497.9506104453583</c:v>
                </c:pt>
                <c:pt idx="311">
                  <c:v>1501.6780445701515</c:v>
                </c:pt>
                <c:pt idx="312">
                  <c:v>1505.3008685160778</c:v>
                </c:pt>
                <c:pt idx="313">
                  <c:v>1508.8193901330187</c:v>
                </c:pt>
                <c:pt idx="314">
                  <c:v>1512.2339079713545</c:v>
                </c:pt>
                <c:pt idx="315">
                  <c:v>1515.5447114301844</c:v>
                </c:pt>
                <c:pt idx="316">
                  <c:v>1518.7520809039358</c:v>
                </c:pt>
                <c:pt idx="317">
                  <c:v>1521.856287927767</c:v>
                </c:pt>
                <c:pt idx="318">
                  <c:v>1524.8575953221971</c:v>
                </c:pt>
                <c:pt idx="319">
                  <c:v>1527.7562573374339</c:v>
                </c:pt>
                <c:pt idx="320">
                  <c:v>1530.5525197978991</c:v>
                </c:pt>
                <c:pt idx="321">
                  <c:v>1533.2466202474986</c:v>
                </c:pt>
                <c:pt idx="322">
                  <c:v>1535.8387880962241</c:v>
                </c:pt>
                <c:pt idx="323">
                  <c:v>1538.3292447687206</c:v>
                </c:pt>
                <c:pt idx="324">
                  <c:v>1540.7182038555113</c:v>
                </c:pt>
                <c:pt idx="325">
                  <c:v>1543.0058712676168</c:v>
                </c:pt>
                <c:pt idx="326">
                  <c:v>1545.1924453953729</c:v>
                </c:pt>
                <c:pt idx="327">
                  <c:v>1547.278117272303</c:v>
                </c:pt>
                <c:pt idx="328">
                  <c:v>1549.2630707449644</c:v>
                </c:pt>
                <c:pt idx="329">
                  <c:v>1551.1474826497463</c:v>
                </c:pt>
                <c:pt idx="330">
                  <c:v>1552.931522997648</c:v>
                </c:pt>
                <c:pt idx="331">
                  <c:v>1554.6153551681195</c:v>
                </c:pt>
                <c:pt idx="332">
                  <c:v>1556.1991361130772</c:v>
                </c:pt>
                <c:pt idx="333">
                  <c:v>1557.6830165722383</c:v>
                </c:pt>
                <c:pt idx="334">
                  <c:v>1559.0671413009147</c:v>
                </c:pt>
                <c:pt idx="335">
                  <c:v>1560.3516493113871</c:v>
                </c:pt>
                <c:pt idx="336">
                  <c:v>1561.5366741289292</c:v>
                </c:pt>
                <c:pt idx="337">
                  <c:v>1562.6223440634592</c:v>
                </c:pt>
                <c:pt idx="338">
                  <c:v>1563.6087824976619</c:v>
                </c:pt>
                <c:pt idx="339">
                  <c:v>1564.4961081922449</c:v>
                </c:pt>
                <c:pt idx="340">
                  <c:v>1565.2844356087567</c:v>
                </c:pt>
                <c:pt idx="341">
                  <c:v>1565.9738752501087</c:v>
                </c:pt>
                <c:pt idx="342">
                  <c:v>1566.564534018609</c:v>
                </c:pt>
                <c:pt idx="343">
                  <c:v>1567.0565155909271</c:v>
                </c:pt>
                <c:pt idx="344">
                  <c:v>1567.4499208089997</c:v>
                </c:pt>
                <c:pt idx="345">
                  <c:v>1567.7448480854459</c:v>
                </c:pt>
                <c:pt idx="346">
                  <c:v>1567.9413938216237</c:v>
                </c:pt>
                <c:pt idx="347">
                  <c:v>1568.0396528360352</c:v>
                </c:pt>
                <c:pt idx="348">
                  <c:v>1568.0397188004185</c:v>
                </c:pt>
                <c:pt idx="349">
                  <c:v>1567.9416846805457</c:v>
                </c:pt>
                <c:pt idx="350">
                  <c:v>1567.745643178519</c:v>
                </c:pt>
                <c:pt idx="351">
                  <c:v>1567.4516871732339</c:v>
                </c:pt>
                <c:pt idx="352">
                  <c:v>1567.0599101556518</c:v>
                </c:pt>
                <c:pt idx="353">
                  <c:v>1566.5704066556229</c:v>
                </c:pt>
                <c:pt idx="354">
                  <c:v>1565.9832726571901</c:v>
                </c:pt>
                <c:pt idx="355">
                  <c:v>1565.2986059995912</c:v>
                </c:pt>
                <c:pt idx="356">
                  <c:v>1564.516506761541</c:v>
                </c:pt>
                <c:pt idx="357">
                  <c:v>1563.6370776267743</c:v>
                </c:pt>
                <c:pt idx="358">
                  <c:v>1562.6604242292788</c:v>
                </c:pt>
                <c:pt idx="359">
                  <c:v>1561.5866554770812</c:v>
                </c:pt>
                <c:pt idx="360">
                  <c:v>1560.4158838538804</c:v>
                </c:pt>
                <c:pt idx="361">
                  <c:v>1559.1482256982199</c:v>
                </c:pt>
                <c:pt idx="362">
                  <c:v>1557.7838014602439</c:v>
                </c:pt>
                <c:pt idx="363">
                  <c:v>1556.3227359363855</c:v>
                </c:pt>
                <c:pt idx="364">
                  <c:v>1554.765158482588</c:v>
                </c:pt>
                <c:pt idx="365">
                  <c:v>1553.1112032068581</c:v>
                </c:pt>
                <c:pt idx="366">
                  <c:v>1551.3610091420937</c:v>
                </c:pt>
                <c:pt idx="367">
                  <c:v>1549.5147204002344</c:v>
                </c:pt>
                <c:pt idx="368">
                  <c:v>1547.5724863088403</c:v>
                </c:pt>
                <c:pt idx="369">
                  <c:v>1545.5344615312347</c:v>
                </c:pt>
                <c:pt idx="370">
                  <c:v>1543.400806171345</c:v>
                </c:pt>
                <c:pt idx="371">
                  <c:v>1541.1716858643522</c:v>
                </c:pt>
                <c:pt idx="372">
                  <c:v>1538.8472718542246</c:v>
                </c:pt>
                <c:pt idx="373">
                  <c:v>1536.4277410591581</c:v>
                </c:pt>
                <c:pt idx="374">
                  <c:v>1533.9132761258907</c:v>
                </c:pt>
                <c:pt idx="375">
                  <c:v>1531.3040654737931</c:v>
                </c:pt>
                <c:pt idx="376">
                  <c:v>1528.6003033295765</c:v>
                </c:pt>
                <c:pt idx="377">
                  <c:v>1525.8021897533922</c:v>
                </c:pt>
                <c:pt idx="378">
                  <c:v>1522.9099306570367</c:v>
                </c:pt>
                <c:pt idx="379">
                  <c:v>1519.9237378149126</c:v>
                </c:pt>
                <c:pt idx="380">
                  <c:v>1516.8438288683433</c:v>
                </c:pt>
                <c:pt idx="381">
                  <c:v>1513.6704273237817</c:v>
                </c:pt>
                <c:pt idx="382">
                  <c:v>1510.4037625454052</c:v>
                </c:pt>
                <c:pt idx="383">
                  <c:v>1507.0440697425456</c:v>
                </c:pt>
                <c:pt idx="384">
                  <c:v>1503.5915899523554</c:v>
                </c:pt>
                <c:pt idx="385">
                  <c:v>1500.0465700180819</c:v>
                </c:pt>
                <c:pt idx="386">
                  <c:v>1496.4092625632766</c:v>
                </c:pt>
                <c:pt idx="387">
                  <c:v>1492.6799259622451</c:v>
                </c:pt>
                <c:pt idx="388">
                  <c:v>1488.858824307008</c:v>
                </c:pt>
                <c:pt idx="389">
                  <c:v>1484.9462273710221</c:v>
                </c:pt>
                <c:pt idx="390">
                  <c:v>1480.9424105698856</c:v>
                </c:pt>
                <c:pt idx="391">
                  <c:v>1476.8476549192344</c:v>
                </c:pt>
                <c:pt idx="392">
                  <c:v>1472.6622469900126</c:v>
                </c:pt>
                <c:pt idx="393">
                  <c:v>1468.3864788612923</c:v>
                </c:pt>
                <c:pt idx="394">
                  <c:v>1464.0206480707939</c:v>
                </c:pt>
                <c:pt idx="395">
                  <c:v>1459.5650575632533</c:v>
                </c:pt>
                <c:pt idx="396">
                  <c:v>1455.0200156367659</c:v>
                </c:pt>
                <c:pt idx="397">
                  <c:v>1450.3858358872299</c:v>
                </c:pt>
                <c:pt idx="398">
                  <c:v>1445.6628371509978</c:v>
                </c:pt>
                <c:pt idx="399">
                  <c:v>1440.8513434458437</c:v>
                </c:pt>
                <c:pt idx="400">
                  <c:v>1435.9516839103405</c:v>
                </c:pt>
                <c:pt idx="401">
                  <c:v>1430.9641927417374</c:v>
                </c:pt>
                <c:pt idx="402">
                  <c:v>1425.889209132421</c:v>
                </c:pt>
                <c:pt idx="403">
                  <c:v>1420.7270772050406</c:v>
                </c:pt>
                <c:pt idx="404">
                  <c:v>1415.47814594637</c:v>
                </c:pt>
                <c:pt idx="405">
                  <c:v>1410.1427691399765</c:v>
                </c:pt>
                <c:pt idx="406">
                  <c:v>1404.7213052977627</c:v>
                </c:pt>
                <c:pt idx="407">
                  <c:v>1399.2141175904446</c:v>
                </c:pt>
                <c:pt idx="408">
                  <c:v>1393.6215737770256</c:v>
                </c:pt>
                <c:pt idx="409">
                  <c:v>1387.9440461333218</c:v>
                </c:pt>
                <c:pt idx="410">
                  <c:v>1382.1819113795955</c:v>
                </c:pt>
                <c:pt idx="411">
                  <c:v>1376.3355506073474</c:v>
                </c:pt>
                <c:pt idx="412">
                  <c:v>1370.4053492053183</c:v>
                </c:pt>
                <c:pt idx="413">
                  <c:v>1364.391696784749</c:v>
                </c:pt>
                <c:pt idx="414">
                  <c:v>1358.2949871039432</c:v>
                </c:pt>
                <c:pt idx="415">
                  <c:v>1352.1156179921818</c:v>
                </c:pt>
                <c:pt idx="416">
                  <c:v>1345.8539912730298</c:v>
                </c:pt>
                <c:pt idx="417">
                  <c:v>1339.5105126870783</c:v>
                </c:pt>
                <c:pt idx="418">
                  <c:v>1333.0855918141649</c:v>
                </c:pt>
                <c:pt idx="419">
                  <c:v>1326.57964199511</c:v>
                </c:pt>
                <c:pt idx="420">
                  <c:v>1319.9930802530107</c:v>
                </c:pt>
                <c:pt idx="421">
                  <c:v>1313.3263272141278</c:v>
                </c:pt>
                <c:pt idx="422">
                  <c:v>1306.5798070284059</c:v>
                </c:pt>
                <c:pt idx="423">
                  <c:v>1299.7539472896617</c:v>
                </c:pt>
                <c:pt idx="424">
                  <c:v>1292.8491789554757</c:v>
                </c:pt>
                <c:pt idx="425">
                  <c:v>1285.8659362668229</c:v>
                </c:pt>
                <c:pt idx="426">
                  <c:v>1278.8046566674777</c:v>
                </c:pt>
                <c:pt idx="427">
                  <c:v>1271.6657807232241</c:v>
                </c:pt>
                <c:pt idx="428">
                  <c:v>1264.4497520409066</c:v>
                </c:pt>
                <c:pt idx="429">
                  <c:v>1257.1570171873525</c:v>
                </c:pt>
                <c:pt idx="430">
                  <c:v>1249.7880256081983</c:v>
                </c:pt>
                <c:pt idx="431">
                  <c:v>1242.3432295466498</c:v>
                </c:pt>
                <c:pt idx="432">
                  <c:v>1234.8230839622083</c:v>
                </c:pt>
                <c:pt idx="433">
                  <c:v>1227.228046449392</c:v>
                </c:pt>
                <c:pt idx="434">
                  <c:v>1219.5585771564806</c:v>
                </c:pt>
                <c:pt idx="435">
                  <c:v>1211.8151387043151</c:v>
                </c:pt>
                <c:pt idx="436">
                  <c:v>1203.9981961051783</c:v>
                </c:pt>
                <c:pt idx="437">
                  <c:v>1196.1082166817848</c:v>
                </c:pt>
                <c:pt idx="438">
                  <c:v>1188.1456699864086</c:v>
                </c:pt>
                <c:pt idx="439">
                  <c:v>1180.1110277201735</c:v>
                </c:pt>
                <c:pt idx="440">
                  <c:v>1172.0047636525339</c:v>
                </c:pt>
                <c:pt idx="441">
                  <c:v>1163.8273535409717</c:v>
                </c:pt>
                <c:pt idx="442">
                  <c:v>1155.5792750509329</c:v>
                </c:pt>
                <c:pt idx="443">
                  <c:v>1147.2610076760318</c:v>
                </c:pt>
                <c:pt idx="444">
                  <c:v>1138.873032658543</c:v>
                </c:pt>
                <c:pt idx="445">
                  <c:v>1130.4158329102092</c:v>
                </c:pt>
                <c:pt idx="446">
                  <c:v>1121.8898929333848</c:v>
                </c:pt>
                <c:pt idx="447">
                  <c:v>1113.2956987425393</c:v>
                </c:pt>
                <c:pt idx="448">
                  <c:v>1104.6337377861441</c:v>
                </c:pt>
                <c:pt idx="449">
                  <c:v>1095.9044988689609</c:v>
                </c:pt>
                <c:pt idx="450">
                  <c:v>1087.1084720747569</c:v>
                </c:pt>
                <c:pt idx="451">
                  <c:v>1078.2461486894654</c:v>
                </c:pt>
                <c:pt idx="452">
                  <c:v>1069.3180211248118</c:v>
                </c:pt>
                <c:pt idx="453">
                  <c:v>1060.3245828424265</c:v>
                </c:pt>
                <c:pt idx="454">
                  <c:v>1051.266328278462</c:v>
                </c:pt>
                <c:pt idx="455">
                  <c:v>1042.1437527687342</c:v>
                </c:pt>
                <c:pt idx="456">
                  <c:v>1032.957352474406</c:v>
                </c:pt>
                <c:pt idx="457">
                  <c:v>1023.7076243082297</c:v>
                </c:pt>
                <c:pt idx="458">
                  <c:v>1014.3950658613678</c:v>
                </c:pt>
                <c:pt idx="459">
                  <c:v>1005.0201753308068</c:v>
                </c:pt>
                <c:pt idx="460">
                  <c:v>995.58345144738064</c:v>
                </c:pt>
                <c:pt idx="461">
                  <c:v>986.0853934044211</c:v>
                </c:pt>
                <c:pt idx="462">
                  <c:v>976.52650078704767</c:v>
                </c:pt>
                <c:pt idx="463">
                  <c:v>966.90727350211409</c:v>
                </c:pt>
                <c:pt idx="464">
                  <c:v>957.2282117088248</c:v>
                </c:pt>
                <c:pt idx="465">
                  <c:v>947.48981575003415</c:v>
                </c:pt>
                <c:pt idx="466">
                  <c:v>937.69258608424354</c:v>
                </c:pt>
                <c:pt idx="467">
                  <c:v>927.83702321830742</c:v>
                </c:pt>
                <c:pt idx="468">
                  <c:v>917.92362764086158</c:v>
                </c:pt>
                <c:pt idx="469">
                  <c:v>907.9528997564845</c:v>
                </c:pt>
                <c:pt idx="470">
                  <c:v>897.92533982060422</c:v>
                </c:pt>
                <c:pt idx="471">
                  <c:v>887.84144787516038</c:v>
                </c:pt>
                <c:pt idx="472">
                  <c:v>877.70172368503222</c:v>
                </c:pt>
                <c:pt idx="473">
                  <c:v>867.50666667524229</c:v>
                </c:pt>
                <c:pt idx="474">
                  <c:v>857.25677586894551</c:v>
                </c:pt>
                <c:pt idx="475">
                  <c:v>846.95254982621179</c:v>
                </c:pt>
                <c:pt idx="476">
                  <c:v>836.59448658361146</c:v>
                </c:pt>
                <c:pt idx="477">
                  <c:v>826.18308359461025</c:v>
                </c:pt>
                <c:pt idx="478">
                  <c:v>815.71883767078236</c:v>
                </c:pt>
                <c:pt idx="479">
                  <c:v>805.20224492384864</c:v>
                </c:pt>
                <c:pt idx="480">
                  <c:v>794.6338007085451</c:v>
                </c:pt>
                <c:pt idx="481">
                  <c:v>784.01399956632963</c:v>
                </c:pt>
                <c:pt idx="482">
                  <c:v>773.34333516993149</c:v>
                </c:pt>
                <c:pt idx="483">
                  <c:v>762.62230026874863</c:v>
                </c:pt>
                <c:pt idx="484">
                  <c:v>751.85138663509883</c:v>
                </c:pt>
                <c:pt idx="485">
                  <c:v>741.0310850113276</c:v>
                </c:pt>
                <c:pt idx="486">
                  <c:v>730.16188505777745</c:v>
                </c:pt>
                <c:pt idx="487">
                  <c:v>719.24427530162257</c:v>
                </c:pt>
                <c:pt idx="488">
                  <c:v>708.27874308657067</c:v>
                </c:pt>
                <c:pt idx="489">
                  <c:v>697.26577452343622</c:v>
                </c:pt>
                <c:pt idx="490">
                  <c:v>686.20585444158587</c:v>
                </c:pt>
                <c:pt idx="491">
                  <c:v>675.09946634125959</c:v>
                </c:pt>
                <c:pt idx="492">
                  <c:v>663.94709234676748</c:v>
                </c:pt>
                <c:pt idx="493">
                  <c:v>652.74921316056452</c:v>
                </c:pt>
                <c:pt idx="494">
                  <c:v>641.50630801820341</c:v>
                </c:pt>
                <c:pt idx="495">
                  <c:v>630.21885464416641</c:v>
                </c:pt>
                <c:pt idx="496">
                  <c:v>618.88732920857524</c:v>
                </c:pt>
                <c:pt idx="497">
                  <c:v>607.51220628478018</c:v>
                </c:pt>
                <c:pt idx="498">
                  <c:v>596.09395880782654</c:v>
                </c:pt>
                <c:pt idx="499">
                  <c:v>584.63305803379797</c:v>
                </c:pt>
                <c:pt idx="500">
                  <c:v>573.12997350003502</c:v>
                </c:pt>
                <c:pt idx="501">
                  <c:v>561.58517298622758</c:v>
                </c:pt>
                <c:pt idx="502">
                  <c:v>549.99912247637928</c:v>
                </c:pt>
                <c:pt idx="503">
                  <c:v>538.37228612164131</c:v>
                </c:pt>
                <c:pt idx="504">
                  <c:v>526.70512620401269</c:v>
                </c:pt>
                <c:pt idx="505">
                  <c:v>514.99810310090527</c:v>
                </c:pt>
                <c:pt idx="506">
                  <c:v>503.25167525056901</c:v>
                </c:pt>
                <c:pt idx="507">
                  <c:v>491.46629911837505</c:v>
                </c:pt>
                <c:pt idx="508">
                  <c:v>479.64242916395199</c:v>
                </c:pt>
                <c:pt idx="509">
                  <c:v>467.78051780917218</c:v>
                </c:pt>
                <c:pt idx="510">
                  <c:v>455.88101540698301</c:v>
                </c:pt>
                <c:pt idx="511">
                  <c:v>443.9443702110795</c:v>
                </c:pt>
                <c:pt idx="512">
                  <c:v>431.97102834641248</c:v>
                </c:pt>
                <c:pt idx="513">
                  <c:v>419.9614337805283</c:v>
                </c:pt>
                <c:pt idx="514">
                  <c:v>407.91602829573418</c:v>
                </c:pt>
                <c:pt idx="515">
                  <c:v>395.83525146208387</c:v>
                </c:pt>
                <c:pt idx="516">
                  <c:v>383.71954061117839</c:v>
                </c:pt>
                <c:pt idx="517">
                  <c:v>371.56933081077528</c:v>
                </c:pt>
                <c:pt idx="518">
                  <c:v>359.38505484020078</c:v>
                </c:pt>
                <c:pt idx="519">
                  <c:v>347.16714316655856</c:v>
                </c:pt>
                <c:pt idx="520">
                  <c:v>334.91602392172854</c:v>
                </c:pt>
                <c:pt idx="521">
                  <c:v>322.63212288014881</c:v>
                </c:pt>
                <c:pt idx="522">
                  <c:v>310.31586343737473</c:v>
                </c:pt>
                <c:pt idx="523">
                  <c:v>297.96766658940697</c:v>
                </c:pt>
                <c:pt idx="524">
                  <c:v>285.58795091278262</c:v>
                </c:pt>
                <c:pt idx="525">
                  <c:v>273.1771325454211</c:v>
                </c:pt>
                <c:pt idx="526">
                  <c:v>260.73562516821806</c:v>
                </c:pt>
                <c:pt idx="527">
                  <c:v>248.26383998737938</c:v>
                </c:pt>
                <c:pt idx="528">
                  <c:v>235.7621857174876</c:v>
                </c:pt>
                <c:pt idx="529">
                  <c:v>223.23106856529313</c:v>
                </c:pt>
                <c:pt idx="530">
                  <c:v>210.67089221422214</c:v>
                </c:pt>
                <c:pt idx="531">
                  <c:v>198.08205780959295</c:v>
                </c:pt>
                <c:pt idx="532">
                  <c:v>185.46496394453311</c:v>
                </c:pt>
                <c:pt idx="533">
                  <c:v>172.82000664658847</c:v>
                </c:pt>
                <c:pt idx="534">
                  <c:v>160.14757936501633</c:v>
                </c:pt>
                <c:pt idx="535">
                  <c:v>147.44807295875384</c:v>
                </c:pt>
                <c:pt idx="536">
                  <c:v>134.72187568505322</c:v>
                </c:pt>
                <c:pt idx="537">
                  <c:v>121.96937318877546</c:v>
                </c:pt>
                <c:pt idx="538">
                  <c:v>109.19094849233339</c:v>
                </c:pt>
                <c:pt idx="539">
                  <c:v>96.386981986275714</c:v>
                </c:pt>
                <c:pt idx="540">
                  <c:v>83.55785142050307</c:v>
                </c:pt>
                <c:pt idx="541">
                  <c:v>70.703931896107321</c:v>
                </c:pt>
                <c:pt idx="542">
                  <c:v>57.825595857825071</c:v>
                </c:pt>
                <c:pt idx="543">
                  <c:v>44.923213087096606</c:v>
                </c:pt>
                <c:pt idx="544">
                  <c:v>31.997150695721189</c:v>
                </c:pt>
                <c:pt idx="545">
                  <c:v>19.047773120099716</c:v>
                </c:pt>
                <c:pt idx="546">
                  <c:v>6.0754421160557044</c:v>
                </c:pt>
                <c:pt idx="547">
                  <c:v>-6.9194832457744635</c:v>
                </c:pt>
                <c:pt idx="548">
                  <c:v>-6.9324893899136759</c:v>
                </c:pt>
                <c:pt idx="549">
                  <c:v>-6.9454955561131708</c:v>
                </c:pt>
                <c:pt idx="550">
                  <c:v>-6.9585017443725965</c:v>
                </c:pt>
                <c:pt idx="551">
                  <c:v>-6.9715079546916021</c:v>
                </c:pt>
                <c:pt idx="552">
                  <c:v>-6.9845141870698351</c:v>
                </c:pt>
                <c:pt idx="553">
                  <c:v>-6.9975204415069445</c:v>
                </c:pt>
                <c:pt idx="554">
                  <c:v>-7.0105267180025779</c:v>
                </c:pt>
                <c:pt idx="555">
                  <c:v>-7.0235330165563843</c:v>
                </c:pt>
                <c:pt idx="556">
                  <c:v>-7.0365393371680121</c:v>
                </c:pt>
                <c:pt idx="557">
                  <c:v>-7.0495456798371094</c:v>
                </c:pt>
                <c:pt idx="558">
                  <c:v>-7.0625520445633247</c:v>
                </c:pt>
                <c:pt idx="559">
                  <c:v>-7.0755584313463071</c:v>
                </c:pt>
                <c:pt idx="560">
                  <c:v>-7.088564840185704</c:v>
                </c:pt>
                <c:pt idx="561">
                  <c:v>-7.1015712710811636</c:v>
                </c:pt>
                <c:pt idx="562">
                  <c:v>-7.1145777240323351</c:v>
                </c:pt>
                <c:pt idx="563">
                  <c:v>-7.1275841990388669</c:v>
                </c:pt>
                <c:pt idx="564">
                  <c:v>-7.1405906961004071</c:v>
                </c:pt>
                <c:pt idx="565">
                  <c:v>-7.1535972152166041</c:v>
                </c:pt>
                <c:pt idx="566">
                  <c:v>-7.1666037563871061</c:v>
                </c:pt>
                <c:pt idx="567">
                  <c:v>-7.1796103196115624</c:v>
                </c:pt>
                <c:pt idx="568">
                  <c:v>-7.1926169048896202</c:v>
                </c:pt>
                <c:pt idx="569">
                  <c:v>-7.2056235122209289</c:v>
                </c:pt>
                <c:pt idx="570">
                  <c:v>-7.2186301416051366</c:v>
                </c:pt>
                <c:pt idx="571">
                  <c:v>-7.2316367930418908</c:v>
                </c:pt>
                <c:pt idx="572">
                  <c:v>-7.2446434665308415</c:v>
                </c:pt>
                <c:pt idx="573">
                  <c:v>-7.257650162071636</c:v>
                </c:pt>
                <c:pt idx="574">
                  <c:v>-7.2706568796639228</c:v>
                </c:pt>
                <c:pt idx="575">
                  <c:v>-7.283663619307351</c:v>
                </c:pt>
                <c:pt idx="576">
                  <c:v>-7.2966703810015687</c:v>
                </c:pt>
                <c:pt idx="577">
                  <c:v>-7.3096771647462244</c:v>
                </c:pt>
                <c:pt idx="578">
                  <c:v>-7.3226839705409663</c:v>
                </c:pt>
                <c:pt idx="579">
                  <c:v>-7.3356907983854427</c:v>
                </c:pt>
                <c:pt idx="580">
                  <c:v>-7.3486976482793027</c:v>
                </c:pt>
                <c:pt idx="581">
                  <c:v>-7.3617045202221947</c:v>
                </c:pt>
                <c:pt idx="582">
                  <c:v>-7.3747114142137669</c:v>
                </c:pt>
                <c:pt idx="583">
                  <c:v>-7.3877183302536675</c:v>
                </c:pt>
                <c:pt idx="584">
                  <c:v>-7.400725268341545</c:v>
                </c:pt>
                <c:pt idx="585">
                  <c:v>-7.4137322284770484</c:v>
                </c:pt>
                <c:pt idx="586">
                  <c:v>-7.4267392106598251</c:v>
                </c:pt>
                <c:pt idx="587">
                  <c:v>-7.4397462148895244</c:v>
                </c:pt>
                <c:pt idx="588">
                  <c:v>-7.4527532411657944</c:v>
                </c:pt>
                <c:pt idx="589">
                  <c:v>-7.4657602894882844</c:v>
                </c:pt>
                <c:pt idx="590">
                  <c:v>-7.4787673598566418</c:v>
                </c:pt>
                <c:pt idx="591">
                  <c:v>-7.4917744522705156</c:v>
                </c:pt>
                <c:pt idx="592">
                  <c:v>-7.5047815667295543</c:v>
                </c:pt>
                <c:pt idx="593">
                  <c:v>-7.5177887032334061</c:v>
                </c:pt>
                <c:pt idx="594">
                  <c:v>-7.5307958617817201</c:v>
                </c:pt>
                <c:pt idx="595">
                  <c:v>-7.5438030423741447</c:v>
                </c:pt>
                <c:pt idx="596">
                  <c:v>-7.5568102450103272</c:v>
                </c:pt>
                <c:pt idx="597">
                  <c:v>-7.5698174696899176</c:v>
                </c:pt>
                <c:pt idx="598">
                  <c:v>-7.5828247164125635</c:v>
                </c:pt>
                <c:pt idx="599">
                  <c:v>-7.5958319851779139</c:v>
                </c:pt>
                <c:pt idx="600">
                  <c:v>-7.6088392759856172</c:v>
                </c:pt>
                <c:pt idx="601">
                  <c:v>-7.6218465888353215</c:v>
                </c:pt>
                <c:pt idx="602">
                  <c:v>-7.6348539237266753</c:v>
                </c:pt>
                <c:pt idx="603">
                  <c:v>-7.6478612806593276</c:v>
                </c:pt>
                <c:pt idx="604">
                  <c:v>-7.6608686596329267</c:v>
                </c:pt>
                <c:pt idx="605">
                  <c:v>-7.673876060647121</c:v>
                </c:pt>
                <c:pt idx="606">
                  <c:v>-7.6868834837015587</c:v>
                </c:pt>
                <c:pt idx="607">
                  <c:v>-7.699890928795889</c:v>
                </c:pt>
                <c:pt idx="608">
                  <c:v>-7.7128983959297601</c:v>
                </c:pt>
                <c:pt idx="609">
                  <c:v>-7.7259058851028204</c:v>
                </c:pt>
                <c:pt idx="610">
                  <c:v>-7.738913396314719</c:v>
                </c:pt>
                <c:pt idx="611">
                  <c:v>-7.7519209295651041</c:v>
                </c:pt>
                <c:pt idx="612">
                  <c:v>-7.7649284848536242</c:v>
                </c:pt>
                <c:pt idx="613">
                  <c:v>-7.7779360621799274</c:v>
                </c:pt>
                <c:pt idx="614">
                  <c:v>-7.7909436615436629</c:v>
                </c:pt>
                <c:pt idx="615">
                  <c:v>-7.803951282944479</c:v>
                </c:pt>
                <c:pt idx="616">
                  <c:v>-7.8169589263820241</c:v>
                </c:pt>
                <c:pt idx="617">
                  <c:v>-7.8299665918559462</c:v>
                </c:pt>
                <c:pt idx="618">
                  <c:v>-7.8429742793658948</c:v>
                </c:pt>
                <c:pt idx="619">
                  <c:v>-7.8559819889115179</c:v>
                </c:pt>
                <c:pt idx="620">
                  <c:v>-7.8689897204924648</c:v>
                </c:pt>
                <c:pt idx="621">
                  <c:v>-7.8819974741083838</c:v>
                </c:pt>
                <c:pt idx="622">
                  <c:v>-7.8950052497589231</c:v>
                </c:pt>
                <c:pt idx="623">
                  <c:v>-7.9080130474437311</c:v>
                </c:pt>
                <c:pt idx="624">
                  <c:v>-7.9210208671624569</c:v>
                </c:pt>
                <c:pt idx="625">
                  <c:v>-7.9340287089147488</c:v>
                </c:pt>
                <c:pt idx="626">
                  <c:v>-7.947036572700255</c:v>
                </c:pt>
                <c:pt idx="627">
                  <c:v>-7.9600444585186247</c:v>
                </c:pt>
                <c:pt idx="628">
                  <c:v>-7.9730523663695063</c:v>
                </c:pt>
                <c:pt idx="629">
                  <c:v>-7.986060296252548</c:v>
                </c:pt>
                <c:pt idx="630">
                  <c:v>-7.9990682481673989</c:v>
                </c:pt>
                <c:pt idx="631">
                  <c:v>-8.0120762221137074</c:v>
                </c:pt>
                <c:pt idx="632">
                  <c:v>-8.0250842180911217</c:v>
                </c:pt>
                <c:pt idx="633">
                  <c:v>-8.0380922360992901</c:v>
                </c:pt>
                <c:pt idx="634">
                  <c:v>-8.0511002761378627</c:v>
                </c:pt>
                <c:pt idx="635">
                  <c:v>-8.0641083382064878</c:v>
                </c:pt>
                <c:pt idx="636">
                  <c:v>-8.0771164223048117</c:v>
                </c:pt>
                <c:pt idx="637">
                  <c:v>-8.0901245284324865</c:v>
                </c:pt>
                <c:pt idx="638">
                  <c:v>-8.1031326565891586</c:v>
                </c:pt>
                <c:pt idx="639">
                  <c:v>-8.1161408067744762</c:v>
                </c:pt>
                <c:pt idx="640">
                  <c:v>-8.1291489789880895</c:v>
                </c:pt>
                <c:pt idx="641">
                  <c:v>-8.1421571732296467</c:v>
                </c:pt>
                <c:pt idx="642">
                  <c:v>-8.1551653894987961</c:v>
                </c:pt>
                <c:pt idx="643">
                  <c:v>-8.168173627795186</c:v>
                </c:pt>
                <c:pt idx="644">
                  <c:v>-8.1811818881184646</c:v>
                </c:pt>
                <c:pt idx="645">
                  <c:v>-8.194190170468282</c:v>
                </c:pt>
                <c:pt idx="646">
                  <c:v>-8.2071984748442848</c:v>
                </c:pt>
                <c:pt idx="647">
                  <c:v>-8.2202068012461229</c:v>
                </c:pt>
                <c:pt idx="648">
                  <c:v>-8.2332151496734447</c:v>
                </c:pt>
                <c:pt idx="649">
                  <c:v>-8.2462235201259002</c:v>
                </c:pt>
                <c:pt idx="650">
                  <c:v>-8.2592319126031359</c:v>
                </c:pt>
                <c:pt idx="651">
                  <c:v>-8.2722403271048019</c:v>
                </c:pt>
                <c:pt idx="652">
                  <c:v>-8.2852487636305465</c:v>
                </c:pt>
                <c:pt idx="653">
                  <c:v>-8.2982572221800179</c:v>
                </c:pt>
                <c:pt idx="654">
                  <c:v>-8.3112657027528645</c:v>
                </c:pt>
                <c:pt idx="655">
                  <c:v>-8.3242742053487362</c:v>
                </c:pt>
                <c:pt idx="656">
                  <c:v>-8.3372827299672814</c:v>
                </c:pt>
                <c:pt idx="657">
                  <c:v>-8.3502912766081465</c:v>
                </c:pt>
                <c:pt idx="658">
                  <c:v>-8.3632998452709835</c:v>
                </c:pt>
                <c:pt idx="659">
                  <c:v>-8.3763084359554387</c:v>
                </c:pt>
                <c:pt idx="660">
                  <c:v>-8.3893170486611623</c:v>
                </c:pt>
                <c:pt idx="661">
                  <c:v>-8.4023256833878008</c:v>
                </c:pt>
                <c:pt idx="662">
                  <c:v>-8.4153343401350043</c:v>
                </c:pt>
                <c:pt idx="663">
                  <c:v>-8.4283430189024227</c:v>
                </c:pt>
                <c:pt idx="664">
                  <c:v>-8.4413517196897025</c:v>
                </c:pt>
                <c:pt idx="665">
                  <c:v>-8.454360442496494</c:v>
                </c:pt>
                <c:pt idx="666">
                  <c:v>-8.4673691873224453</c:v>
                </c:pt>
                <c:pt idx="667">
                  <c:v>-8.4803779541672046</c:v>
                </c:pt>
                <c:pt idx="668">
                  <c:v>-8.4933867430304204</c:v>
                </c:pt>
                <c:pt idx="669">
                  <c:v>-8.5063955539117426</c:v>
                </c:pt>
                <c:pt idx="670">
                  <c:v>-8.5194043868108178</c:v>
                </c:pt>
                <c:pt idx="671">
                  <c:v>-8.532413241727296</c:v>
                </c:pt>
                <c:pt idx="672">
                  <c:v>-8.5454221186608272</c:v>
                </c:pt>
                <c:pt idx="673">
                  <c:v>-8.5584310176110581</c:v>
                </c:pt>
                <c:pt idx="674">
                  <c:v>-8.5714399385776385</c:v>
                </c:pt>
                <c:pt idx="675">
                  <c:v>-8.5844488815602169</c:v>
                </c:pt>
                <c:pt idx="676">
                  <c:v>-8.5974578465584415</c:v>
                </c:pt>
                <c:pt idx="677">
                  <c:v>-8.6104668335719605</c:v>
                </c:pt>
                <c:pt idx="678">
                  <c:v>-8.6234758426004241</c:v>
                </c:pt>
                <c:pt idx="679">
                  <c:v>-8.6364848736434805</c:v>
                </c:pt>
                <c:pt idx="680">
                  <c:v>-8.649493926700778</c:v>
                </c:pt>
                <c:pt idx="681">
                  <c:v>-8.6625030017719666</c:v>
                </c:pt>
                <c:pt idx="682">
                  <c:v>-8.6755120988566929</c:v>
                </c:pt>
                <c:pt idx="683">
                  <c:v>-8.688521217954607</c:v>
                </c:pt>
                <c:pt idx="684">
                  <c:v>-8.701530359065357</c:v>
                </c:pt>
                <c:pt idx="685">
                  <c:v>-8.7145395221885931</c:v>
                </c:pt>
                <c:pt idx="686">
                  <c:v>-8.7275487073239617</c:v>
                </c:pt>
                <c:pt idx="687">
                  <c:v>-8.740557914471113</c:v>
                </c:pt>
                <c:pt idx="688">
                  <c:v>-8.7535671436296951</c:v>
                </c:pt>
                <c:pt idx="689">
                  <c:v>-8.7665763947993582</c:v>
                </c:pt>
                <c:pt idx="690">
                  <c:v>-8.7795856679797488</c:v>
                </c:pt>
                <c:pt idx="691">
                  <c:v>-8.7925949631705169</c:v>
                </c:pt>
                <c:pt idx="692">
                  <c:v>-8.8056042803713126</c:v>
                </c:pt>
                <c:pt idx="693">
                  <c:v>-8.8186136195817824</c:v>
                </c:pt>
                <c:pt idx="694">
                  <c:v>-8.8316229808015763</c:v>
                </c:pt>
                <c:pt idx="695">
                  <c:v>-8.8446323640303426</c:v>
                </c:pt>
                <c:pt idx="696">
                  <c:v>-8.8576417692677296</c:v>
                </c:pt>
                <c:pt idx="697">
                  <c:v>-8.8706511965133856</c:v>
                </c:pt>
                <c:pt idx="698">
                  <c:v>-8.8836606457669607</c:v>
                </c:pt>
                <c:pt idx="699">
                  <c:v>-8.8966701170281031</c:v>
                </c:pt>
                <c:pt idx="700">
                  <c:v>-8.9096796102964628</c:v>
                </c:pt>
                <c:pt idx="701">
                  <c:v>-8.9226891255716865</c:v>
                </c:pt>
                <c:pt idx="702">
                  <c:v>-8.9356986628534241</c:v>
                </c:pt>
                <c:pt idx="703">
                  <c:v>-8.9487082221413239</c:v>
                </c:pt>
                <c:pt idx="704">
                  <c:v>-8.961717803435036</c:v>
                </c:pt>
                <c:pt idx="705">
                  <c:v>-8.9747274067342069</c:v>
                </c:pt>
                <c:pt idx="706">
                  <c:v>-8.9877370320384866</c:v>
                </c:pt>
                <c:pt idx="707">
                  <c:v>-9.0007466793475253</c:v>
                </c:pt>
                <c:pt idx="708">
                  <c:v>-9.0137563486609693</c:v>
                </c:pt>
                <c:pt idx="709">
                  <c:v>-9.0267660399784688</c:v>
                </c:pt>
                <c:pt idx="710">
                  <c:v>-9.0397757532996721</c:v>
                </c:pt>
                <c:pt idx="711">
                  <c:v>-9.0527854886242292</c:v>
                </c:pt>
                <c:pt idx="712">
                  <c:v>-9.0657952459517883</c:v>
                </c:pt>
                <c:pt idx="713">
                  <c:v>-9.0788050252819978</c:v>
                </c:pt>
                <c:pt idx="714">
                  <c:v>-9.091814826614506</c:v>
                </c:pt>
                <c:pt idx="715">
                  <c:v>-9.1048246499489611</c:v>
                </c:pt>
                <c:pt idx="716">
                  <c:v>-9.1178344952850132</c:v>
                </c:pt>
                <c:pt idx="717">
                  <c:v>-9.1308443626223124</c:v>
                </c:pt>
                <c:pt idx="718">
                  <c:v>-9.1438542519605051</c:v>
                </c:pt>
                <c:pt idx="719">
                  <c:v>-9.1568641632992414</c:v>
                </c:pt>
                <c:pt idx="720">
                  <c:v>-9.1698740966381695</c:v>
                </c:pt>
                <c:pt idx="721">
                  <c:v>-9.1828840519769379</c:v>
                </c:pt>
                <c:pt idx="722">
                  <c:v>-9.1958940293151965</c:v>
                </c:pt>
                <c:pt idx="723">
                  <c:v>-9.2089040286525936</c:v>
                </c:pt>
                <c:pt idx="724">
                  <c:v>-9.2219140499887793</c:v>
                </c:pt>
                <c:pt idx="725">
                  <c:v>-9.2349240933234</c:v>
                </c:pt>
                <c:pt idx="726">
                  <c:v>-9.2479341586561059</c:v>
                </c:pt>
                <c:pt idx="727">
                  <c:v>-9.2609442459865452</c:v>
                </c:pt>
                <c:pt idx="728">
                  <c:v>-9.273954355314368</c:v>
                </c:pt>
                <c:pt idx="729">
                  <c:v>-9.2869644866392225</c:v>
                </c:pt>
                <c:pt idx="730">
                  <c:v>-9.299974639960757</c:v>
                </c:pt>
                <c:pt idx="731">
                  <c:v>-9.3129848152786217</c:v>
                </c:pt>
                <c:pt idx="732">
                  <c:v>-9.3259950125924647</c:v>
                </c:pt>
                <c:pt idx="733">
                  <c:v>-9.3390052319019343</c:v>
                </c:pt>
                <c:pt idx="734">
                  <c:v>-9.3520154732066789</c:v>
                </c:pt>
                <c:pt idx="735">
                  <c:v>-9.3650257365063485</c:v>
                </c:pt>
                <c:pt idx="736">
                  <c:v>-9.3780360218005914</c:v>
                </c:pt>
                <c:pt idx="737">
                  <c:v>-9.3910463290890576</c:v>
                </c:pt>
                <c:pt idx="738">
                  <c:v>-9.4040566583713954</c:v>
                </c:pt>
                <c:pt idx="739">
                  <c:v>-9.4170670096472531</c:v>
                </c:pt>
                <c:pt idx="740">
                  <c:v>-9.4300773829162789</c:v>
                </c:pt>
                <c:pt idx="741">
                  <c:v>-9.4430877781781231</c:v>
                </c:pt>
                <c:pt idx="742">
                  <c:v>-9.4560981954324337</c:v>
                </c:pt>
                <c:pt idx="743">
                  <c:v>-9.4691086346788609</c:v>
                </c:pt>
                <c:pt idx="744">
                  <c:v>-9.4821190959170529</c:v>
                </c:pt>
                <c:pt idx="745">
                  <c:v>-9.4951295791466581</c:v>
                </c:pt>
                <c:pt idx="746">
                  <c:v>-9.5081400843673247</c:v>
                </c:pt>
                <c:pt idx="747">
                  <c:v>-9.5211506115787028</c:v>
                </c:pt>
                <c:pt idx="748">
                  <c:v>-9.5341611607804406</c:v>
                </c:pt>
                <c:pt idx="749">
                  <c:v>-9.5471717319721883</c:v>
                </c:pt>
                <c:pt idx="750">
                  <c:v>-9.560182325153594</c:v>
                </c:pt>
                <c:pt idx="751">
                  <c:v>-9.5731929403243061</c:v>
                </c:pt>
                <c:pt idx="752">
                  <c:v>-9.5862035774839747</c:v>
                </c:pt>
                <c:pt idx="753">
                  <c:v>-9.5992142366322479</c:v>
                </c:pt>
                <c:pt idx="754">
                  <c:v>-9.6122249177687742</c:v>
                </c:pt>
                <c:pt idx="755">
                  <c:v>-9.6252356208932035</c:v>
                </c:pt>
                <c:pt idx="756">
                  <c:v>-9.6382463460051842</c:v>
                </c:pt>
                <c:pt idx="757">
                  <c:v>-9.6512570931043644</c:v>
                </c:pt>
                <c:pt idx="758">
                  <c:v>-9.6642678621903944</c:v>
                </c:pt>
                <c:pt idx="759">
                  <c:v>-9.6772786532629222</c:v>
                </c:pt>
                <c:pt idx="760">
                  <c:v>-9.6902894663215982</c:v>
                </c:pt>
                <c:pt idx="761">
                  <c:v>-9.7033003013660686</c:v>
                </c:pt>
                <c:pt idx="762">
                  <c:v>-9.7163111583959854</c:v>
                </c:pt>
                <c:pt idx="763">
                  <c:v>-9.729322037410995</c:v>
                </c:pt>
                <c:pt idx="764">
                  <c:v>-9.7423329384107475</c:v>
                </c:pt>
                <c:pt idx="765">
                  <c:v>-9.7553438613948913</c:v>
                </c:pt>
                <c:pt idx="766">
                  <c:v>-9.7683548063630763</c:v>
                </c:pt>
                <c:pt idx="767">
                  <c:v>-9.7813657733149508</c:v>
                </c:pt>
                <c:pt idx="768">
                  <c:v>-9.794376762250165</c:v>
                </c:pt>
                <c:pt idx="769">
                  <c:v>-9.8073877731683652</c:v>
                </c:pt>
                <c:pt idx="770">
                  <c:v>-9.8203988060692033</c:v>
                </c:pt>
                <c:pt idx="771">
                  <c:v>-9.8334098609523259</c:v>
                </c:pt>
                <c:pt idx="772">
                  <c:v>-9.846420937817383</c:v>
                </c:pt>
                <c:pt idx="773">
                  <c:v>-9.8594320366640247</c:v>
                </c:pt>
                <c:pt idx="774">
                  <c:v>-9.8724431574918974</c:v>
                </c:pt>
                <c:pt idx="775">
                  <c:v>-9.8854543003006512</c:v>
                </c:pt>
                <c:pt idx="776">
                  <c:v>-9.8984654650899362</c:v>
                </c:pt>
                <c:pt idx="777">
                  <c:v>-9.9114766518594006</c:v>
                </c:pt>
                <c:pt idx="778">
                  <c:v>-9.9244878606086928</c:v>
                </c:pt>
                <c:pt idx="779">
                  <c:v>-9.9374990913374628</c:v>
                </c:pt>
                <c:pt idx="780">
                  <c:v>-9.9505103440453588</c:v>
                </c:pt>
                <c:pt idx="781">
                  <c:v>-9.9635216187320292</c:v>
                </c:pt>
                <c:pt idx="782">
                  <c:v>-9.9765329153971241</c:v>
                </c:pt>
                <c:pt idx="783">
                  <c:v>-9.9895442340402916</c:v>
                </c:pt>
                <c:pt idx="784">
                  <c:v>-10.002555574661182</c:v>
                </c:pt>
                <c:pt idx="785">
                  <c:v>-10.015566937259443</c:v>
                </c:pt>
                <c:pt idx="786">
                  <c:v>-10.028578321834724</c:v>
                </c:pt>
                <c:pt idx="787">
                  <c:v>-10.041589728386674</c:v>
                </c:pt>
                <c:pt idx="788">
                  <c:v>-10.054601156914943</c:v>
                </c:pt>
                <c:pt idx="789">
                  <c:v>-10.067612607419179</c:v>
                </c:pt>
                <c:pt idx="790">
                  <c:v>-10.08062407989903</c:v>
                </c:pt>
                <c:pt idx="791">
                  <c:v>-10.093635574354147</c:v>
                </c:pt>
                <c:pt idx="792">
                  <c:v>-10.106647090784179</c:v>
                </c:pt>
                <c:pt idx="793">
                  <c:v>-10.119658629188773</c:v>
                </c:pt>
                <c:pt idx="794">
                  <c:v>-10.13267018956758</c:v>
                </c:pt>
                <c:pt idx="795">
                  <c:v>-10.145681771920248</c:v>
                </c:pt>
                <c:pt idx="796">
                  <c:v>-10.158693376246426</c:v>
                </c:pt>
                <c:pt idx="797">
                  <c:v>-10.171705002545762</c:v>
                </c:pt>
                <c:pt idx="798">
                  <c:v>-10.184716650817908</c:v>
                </c:pt>
                <c:pt idx="799">
                  <c:v>-10.197728321062511</c:v>
                </c:pt>
                <c:pt idx="800">
                  <c:v>-10.210740013279221</c:v>
                </c:pt>
                <c:pt idx="801">
                  <c:v>-10.223751727467686</c:v>
                </c:pt>
                <c:pt idx="802">
                  <c:v>-10.236763463627556</c:v>
                </c:pt>
                <c:pt idx="803">
                  <c:v>-10.249775221758478</c:v>
                </c:pt>
                <c:pt idx="804">
                  <c:v>-10.262787001860103</c:v>
                </c:pt>
                <c:pt idx="805">
                  <c:v>-10.27579880393208</c:v>
                </c:pt>
                <c:pt idx="806">
                  <c:v>-10.288810627974057</c:v>
                </c:pt>
                <c:pt idx="807">
                  <c:v>-10.301822473985684</c:v>
                </c:pt>
                <c:pt idx="808">
                  <c:v>-10.314834341966609</c:v>
                </c:pt>
                <c:pt idx="809">
                  <c:v>-10.327846231916482</c:v>
                </c:pt>
                <c:pt idx="810">
                  <c:v>-10.340858143834952</c:v>
                </c:pt>
                <c:pt idx="811">
                  <c:v>-10.353870077721668</c:v>
                </c:pt>
                <c:pt idx="812">
                  <c:v>-10.366882033576278</c:v>
                </c:pt>
                <c:pt idx="813">
                  <c:v>-10.379894011398433</c:v>
                </c:pt>
                <c:pt idx="814">
                  <c:v>-10.392906011187781</c:v>
                </c:pt>
                <c:pt idx="815">
                  <c:v>-10.405918032943971</c:v>
                </c:pt>
                <c:pt idx="816">
                  <c:v>-10.418930076666653</c:v>
                </c:pt>
                <c:pt idx="817">
                  <c:v>-10.431942142355474</c:v>
                </c:pt>
                <c:pt idx="818">
                  <c:v>-10.444954230010085</c:v>
                </c:pt>
                <c:pt idx="819">
                  <c:v>-10.457966339630135</c:v>
                </c:pt>
                <c:pt idx="820">
                  <c:v>-10.470978471215272</c:v>
                </c:pt>
                <c:pt idx="821">
                  <c:v>-10.483990624765147</c:v>
                </c:pt>
                <c:pt idx="822">
                  <c:v>-10.497002800279407</c:v>
                </c:pt>
                <c:pt idx="823">
                  <c:v>-10.510014997757702</c:v>
                </c:pt>
                <c:pt idx="824">
                  <c:v>-10.523027217199681</c:v>
                </c:pt>
                <c:pt idx="825">
                  <c:v>-10.536039458604993</c:v>
                </c:pt>
                <c:pt idx="826">
                  <c:v>-10.549051721973287</c:v>
                </c:pt>
                <c:pt idx="827">
                  <c:v>-10.562064007304212</c:v>
                </c:pt>
                <c:pt idx="828">
                  <c:v>-10.575076314597418</c:v>
                </c:pt>
                <c:pt idx="829">
                  <c:v>-10.588088643852553</c:v>
                </c:pt>
                <c:pt idx="830">
                  <c:v>-10.601100995069267</c:v>
                </c:pt>
                <c:pt idx="831">
                  <c:v>-10.614113368247208</c:v>
                </c:pt>
                <c:pt idx="832">
                  <c:v>-10.627125763386026</c:v>
                </c:pt>
                <c:pt idx="833">
                  <c:v>-10.640138180485369</c:v>
                </c:pt>
                <c:pt idx="834">
                  <c:v>-10.653150619544888</c:v>
                </c:pt>
                <c:pt idx="835">
                  <c:v>-10.666163080564232</c:v>
                </c:pt>
                <c:pt idx="836">
                  <c:v>-10.679175563543049</c:v>
                </c:pt>
                <c:pt idx="837">
                  <c:v>-10.692188068480988</c:v>
                </c:pt>
                <c:pt idx="838">
                  <c:v>-10.705200595377699</c:v>
                </c:pt>
                <c:pt idx="839">
                  <c:v>-10.718213144232831</c:v>
                </c:pt>
                <c:pt idx="840">
                  <c:v>-10.731225715046032</c:v>
                </c:pt>
                <c:pt idx="841">
                  <c:v>-10.744238307816952</c:v>
                </c:pt>
                <c:pt idx="842">
                  <c:v>-10.757250922545241</c:v>
                </c:pt>
                <c:pt idx="843">
                  <c:v>-10.770263559230546</c:v>
                </c:pt>
                <c:pt idx="844">
                  <c:v>-10.783276217872519</c:v>
                </c:pt>
                <c:pt idx="845">
                  <c:v>-10.796288898470808</c:v>
                </c:pt>
                <c:pt idx="846">
                  <c:v>-10.80930160102506</c:v>
                </c:pt>
                <c:pt idx="847">
                  <c:v>-10.822314325534927</c:v>
                </c:pt>
                <c:pt idx="848">
                  <c:v>-10.835327072000057</c:v>
                </c:pt>
                <c:pt idx="849">
                  <c:v>-10.848339840420099</c:v>
                </c:pt>
                <c:pt idx="850">
                  <c:v>-10.861352630794702</c:v>
                </c:pt>
                <c:pt idx="851">
                  <c:v>-10.874365443123516</c:v>
                </c:pt>
                <c:pt idx="852">
                  <c:v>-10.88737827740619</c:v>
                </c:pt>
                <c:pt idx="853">
                  <c:v>-10.900391133642373</c:v>
                </c:pt>
                <c:pt idx="854">
                  <c:v>-10.913404011831714</c:v>
                </c:pt>
                <c:pt idx="855">
                  <c:v>-10.926416911973863</c:v>
                </c:pt>
                <c:pt idx="856">
                  <c:v>-10.939429834068468</c:v>
                </c:pt>
                <c:pt idx="857">
                  <c:v>-10.952442778115179</c:v>
                </c:pt>
                <c:pt idx="858">
                  <c:v>-10.965455744113644</c:v>
                </c:pt>
                <c:pt idx="859">
                  <c:v>-10.978468732063513</c:v>
                </c:pt>
                <c:pt idx="860">
                  <c:v>-10.991481741964437</c:v>
                </c:pt>
                <c:pt idx="861">
                  <c:v>-11.004494773816061</c:v>
                </c:pt>
                <c:pt idx="862">
                  <c:v>-11.017507827618038</c:v>
                </c:pt>
                <c:pt idx="863">
                  <c:v>-11.030520903370016</c:v>
                </c:pt>
                <c:pt idx="864">
                  <c:v>-11.043534001071643</c:v>
                </c:pt>
                <c:pt idx="865">
                  <c:v>-11.05654712072257</c:v>
                </c:pt>
                <c:pt idx="866">
                  <c:v>-11.069560262322446</c:v>
                </c:pt>
                <c:pt idx="867">
                  <c:v>-11.082573425870919</c:v>
                </c:pt>
                <c:pt idx="868">
                  <c:v>-11.095586611367638</c:v>
                </c:pt>
                <c:pt idx="869">
                  <c:v>-11.108599818812255</c:v>
                </c:pt>
                <c:pt idx="870">
                  <c:v>-11.121613048204416</c:v>
                </c:pt>
                <c:pt idx="871">
                  <c:v>-11.134626299543772</c:v>
                </c:pt>
                <c:pt idx="872">
                  <c:v>-11.147639572829972</c:v>
                </c:pt>
                <c:pt idx="873">
                  <c:v>-11.160652868062664</c:v>
                </c:pt>
                <c:pt idx="874">
                  <c:v>-11.173666185241499</c:v>
                </c:pt>
                <c:pt idx="875">
                  <c:v>-11.186679524366125</c:v>
                </c:pt>
                <c:pt idx="876">
                  <c:v>-11.199692885436193</c:v>
                </c:pt>
                <c:pt idx="877">
                  <c:v>-11.212706268451349</c:v>
                </c:pt>
                <c:pt idx="878">
                  <c:v>-11.225719673411245</c:v>
                </c:pt>
                <c:pt idx="879">
                  <c:v>-11.23873310031553</c:v>
                </c:pt>
                <c:pt idx="880">
                  <c:v>-11.251746549163853</c:v>
                </c:pt>
                <c:pt idx="881">
                  <c:v>-11.264760019955862</c:v>
                </c:pt>
                <c:pt idx="882">
                  <c:v>-11.277773512691207</c:v>
                </c:pt>
                <c:pt idx="883">
                  <c:v>-11.290787027369538</c:v>
                </c:pt>
                <c:pt idx="884">
                  <c:v>-11.303800563990503</c:v>
                </c:pt>
                <c:pt idx="885">
                  <c:v>-11.316814122553753</c:v>
                </c:pt>
                <c:pt idx="886">
                  <c:v>-11.329827703058935</c:v>
                </c:pt>
                <c:pt idx="887">
                  <c:v>-11.342841305505701</c:v>
                </c:pt>
                <c:pt idx="888">
                  <c:v>-11.355854929893699</c:v>
                </c:pt>
                <c:pt idx="889">
                  <c:v>-11.368868576222576</c:v>
                </c:pt>
                <c:pt idx="890">
                  <c:v>-11.381882244491985</c:v>
                </c:pt>
                <c:pt idx="891">
                  <c:v>-11.394895934701573</c:v>
                </c:pt>
                <c:pt idx="892">
                  <c:v>-11.407909646850991</c:v>
                </c:pt>
                <c:pt idx="893">
                  <c:v>-11.420923380939886</c:v>
                </c:pt>
                <c:pt idx="894">
                  <c:v>-11.433937136967909</c:v>
                </c:pt>
                <c:pt idx="895">
                  <c:v>-11.446950914934709</c:v>
                </c:pt>
                <c:pt idx="896">
                  <c:v>-11.459964714839934</c:v>
                </c:pt>
                <c:pt idx="897">
                  <c:v>-11.472978536683234</c:v>
                </c:pt>
                <c:pt idx="898">
                  <c:v>-11.485992380464259</c:v>
                </c:pt>
                <c:pt idx="899">
                  <c:v>-11.499006246182658</c:v>
                </c:pt>
                <c:pt idx="900">
                  <c:v>-11.51202013383808</c:v>
                </c:pt>
                <c:pt idx="901">
                  <c:v>-11.525034043430175</c:v>
                </c:pt>
                <c:pt idx="902">
                  <c:v>-11.538047974958591</c:v>
                </c:pt>
                <c:pt idx="903">
                  <c:v>-11.551061928422978</c:v>
                </c:pt>
                <c:pt idx="904">
                  <c:v>-11.564075903822987</c:v>
                </c:pt>
                <c:pt idx="905">
                  <c:v>-11.577089901158265</c:v>
                </c:pt>
                <c:pt idx="906">
                  <c:v>-11.590103920428461</c:v>
                </c:pt>
                <c:pt idx="907">
                  <c:v>-11.603117961633227</c:v>
                </c:pt>
                <c:pt idx="908">
                  <c:v>-11.61613202477221</c:v>
                </c:pt>
                <c:pt idx="909">
                  <c:v>-11.62914610984506</c:v>
                </c:pt>
                <c:pt idx="910">
                  <c:v>-11.642160216851426</c:v>
                </c:pt>
                <c:pt idx="911">
                  <c:v>-11.655174345790957</c:v>
                </c:pt>
                <c:pt idx="912">
                  <c:v>-11.668188496663305</c:v>
                </c:pt>
                <c:pt idx="913">
                  <c:v>-11.681202669468115</c:v>
                </c:pt>
                <c:pt idx="914">
                  <c:v>-11.694216864205041</c:v>
                </c:pt>
                <c:pt idx="915">
                  <c:v>-11.707231080873729</c:v>
                </c:pt>
                <c:pt idx="916">
                  <c:v>-11.720245319473829</c:v>
                </c:pt>
                <c:pt idx="917">
                  <c:v>-11.733259580004992</c:v>
                </c:pt>
                <c:pt idx="918">
                  <c:v>-11.746273862466865</c:v>
                </c:pt>
                <c:pt idx="919">
                  <c:v>-11.759288166859099</c:v>
                </c:pt>
                <c:pt idx="920">
                  <c:v>-11.772302493181343</c:v>
                </c:pt>
                <c:pt idx="921">
                  <c:v>-11.785316841433245</c:v>
                </c:pt>
                <c:pt idx="922">
                  <c:v>-11.798331211614455</c:v>
                </c:pt>
                <c:pt idx="923">
                  <c:v>-11.811345603724623</c:v>
                </c:pt>
                <c:pt idx="924">
                  <c:v>-11.8243600177634</c:v>
                </c:pt>
                <c:pt idx="925">
                  <c:v>-11.837374453730433</c:v>
                </c:pt>
                <c:pt idx="926">
                  <c:v>-11.850388911625371</c:v>
                </c:pt>
                <c:pt idx="927">
                  <c:v>-11.863403391447866</c:v>
                </c:pt>
                <c:pt idx="928">
                  <c:v>-11.876417893197564</c:v>
                </c:pt>
                <c:pt idx="929">
                  <c:v>-11.889432416874117</c:v>
                </c:pt>
                <c:pt idx="930">
                  <c:v>-11.902446962477173</c:v>
                </c:pt>
                <c:pt idx="931">
                  <c:v>-11.915461530006382</c:v>
                </c:pt>
                <c:pt idx="932">
                  <c:v>-11.928476119461394</c:v>
                </c:pt>
                <c:pt idx="933">
                  <c:v>-11.941490730841856</c:v>
                </c:pt>
                <c:pt idx="934">
                  <c:v>-11.954505364147421</c:v>
                </c:pt>
                <c:pt idx="935">
                  <c:v>-11.967520019377735</c:v>
                </c:pt>
                <c:pt idx="936">
                  <c:v>-11.98053469653245</c:v>
                </c:pt>
                <c:pt idx="937">
                  <c:v>-11.993549395611213</c:v>
                </c:pt>
                <c:pt idx="938">
                  <c:v>-12.006564116613674</c:v>
                </c:pt>
                <c:pt idx="939">
                  <c:v>-12.019578859539484</c:v>
                </c:pt>
                <c:pt idx="940">
                  <c:v>-12.032593624388291</c:v>
                </c:pt>
                <c:pt idx="941">
                  <c:v>-12.045608411159744</c:v>
                </c:pt>
                <c:pt idx="942">
                  <c:v>-12.058623219853494</c:v>
                </c:pt>
                <c:pt idx="943">
                  <c:v>-12.07163805046919</c:v>
                </c:pt>
                <c:pt idx="944">
                  <c:v>-12.08465290300648</c:v>
                </c:pt>
                <c:pt idx="945">
                  <c:v>-12.097667777465016</c:v>
                </c:pt>
                <c:pt idx="946">
                  <c:v>-12.110682673844446</c:v>
                </c:pt>
                <c:pt idx="947">
                  <c:v>-12.123697592144419</c:v>
                </c:pt>
                <c:pt idx="948">
                  <c:v>-12.136712532364584</c:v>
                </c:pt>
                <c:pt idx="949">
                  <c:v>-12.149727494504591</c:v>
                </c:pt>
                <c:pt idx="950">
                  <c:v>-12.162742478564089</c:v>
                </c:pt>
                <c:pt idx="951">
                  <c:v>-12.17575748454273</c:v>
                </c:pt>
                <c:pt idx="952">
                  <c:v>-12.188772512440162</c:v>
                </c:pt>
                <c:pt idx="953">
                  <c:v>-12.201787562256031</c:v>
                </c:pt>
                <c:pt idx="954">
                  <c:v>-12.214802633989992</c:v>
                </c:pt>
                <c:pt idx="955">
                  <c:v>-12.227817727641691</c:v>
                </c:pt>
                <c:pt idx="956">
                  <c:v>-12.240832843210779</c:v>
                </c:pt>
                <c:pt idx="957">
                  <c:v>-12.253847980696904</c:v>
                </c:pt>
                <c:pt idx="958">
                  <c:v>-12.266863140099716</c:v>
                </c:pt>
                <c:pt idx="959">
                  <c:v>-12.279878321418865</c:v>
                </c:pt>
                <c:pt idx="960">
                  <c:v>-12.292893524654</c:v>
                </c:pt>
                <c:pt idx="961">
                  <c:v>-12.30590874980477</c:v>
                </c:pt>
                <c:pt idx="962">
                  <c:v>-12.318923996870826</c:v>
                </c:pt>
                <c:pt idx="963">
                  <c:v>-12.331939265851815</c:v>
                </c:pt>
                <c:pt idx="964">
                  <c:v>-12.344954556747389</c:v>
                </c:pt>
                <c:pt idx="965">
                  <c:v>-12.357969869557197</c:v>
                </c:pt>
                <c:pt idx="966">
                  <c:v>-12.370985204280887</c:v>
                </c:pt>
                <c:pt idx="967">
                  <c:v>-12.384000560918109</c:v>
                </c:pt>
                <c:pt idx="968">
                  <c:v>-12.397015939468513</c:v>
                </c:pt>
                <c:pt idx="969">
                  <c:v>-12.410031339931749</c:v>
                </c:pt>
                <c:pt idx="970">
                  <c:v>-12.423046762307465</c:v>
                </c:pt>
                <c:pt idx="971">
                  <c:v>-12.436062206595311</c:v>
                </c:pt>
                <c:pt idx="972">
                  <c:v>-12.449077672794939</c:v>
                </c:pt>
                <c:pt idx="973">
                  <c:v>-12.462093160905996</c:v>
                </c:pt>
                <c:pt idx="974">
                  <c:v>-12.475108670928131</c:v>
                </c:pt>
                <c:pt idx="975">
                  <c:v>-12.488124202860995</c:v>
                </c:pt>
                <c:pt idx="976">
                  <c:v>-12.501139756704235</c:v>
                </c:pt>
                <c:pt idx="977">
                  <c:v>-12.514155332457504</c:v>
                </c:pt>
                <c:pt idx="978">
                  <c:v>-12.52717093012045</c:v>
                </c:pt>
                <c:pt idx="979">
                  <c:v>-12.540186549692722</c:v>
                </c:pt>
                <c:pt idx="980">
                  <c:v>-12.55320219117397</c:v>
                </c:pt>
                <c:pt idx="981">
                  <c:v>-12.566217854563844</c:v>
                </c:pt>
                <c:pt idx="982">
                  <c:v>-12.579233539861992</c:v>
                </c:pt>
                <c:pt idx="983">
                  <c:v>-12.592249247068064</c:v>
                </c:pt>
                <c:pt idx="984">
                  <c:v>-12.605264976181711</c:v>
                </c:pt>
                <c:pt idx="985">
                  <c:v>-12.618280727202581</c:v>
                </c:pt>
                <c:pt idx="986">
                  <c:v>-12.631296500130324</c:v>
                </c:pt>
                <c:pt idx="987">
                  <c:v>-12.644312294964589</c:v>
                </c:pt>
                <c:pt idx="988">
                  <c:v>-12.657328111705027</c:v>
                </c:pt>
                <c:pt idx="989">
                  <c:v>-12.670343950351286</c:v>
                </c:pt>
                <c:pt idx="990">
                  <c:v>-12.683359810903017</c:v>
                </c:pt>
                <c:pt idx="991">
                  <c:v>-12.696375693359869</c:v>
                </c:pt>
                <c:pt idx="992">
                  <c:v>-12.70939159772149</c:v>
                </c:pt>
                <c:pt idx="993">
                  <c:v>-12.722407523987531</c:v>
                </c:pt>
                <c:pt idx="994">
                  <c:v>-12.735423472157642</c:v>
                </c:pt>
                <c:pt idx="995">
                  <c:v>-12.748439442231472</c:v>
                </c:pt>
                <c:pt idx="996">
                  <c:v>-12.761455434208671</c:v>
                </c:pt>
                <c:pt idx="997">
                  <c:v>-12.774471448088887</c:v>
                </c:pt>
                <c:pt idx="998">
                  <c:v>-12.78748748387177</c:v>
                </c:pt>
                <c:pt idx="999">
                  <c:v>-12.800503541556971</c:v>
                </c:pt>
                <c:pt idx="1000">
                  <c:v>-12.813519621144138</c:v>
                </c:pt>
              </c:numCache>
            </c:numRef>
          </c:yVal>
          <c:smooth val="1"/>
          <c:extLst>
            <c:ext xmlns:c16="http://schemas.microsoft.com/office/drawing/2014/chart" uri="{C3380CC4-5D6E-409C-BE32-E72D297353CC}">
              <c16:uniqueId val="{00000001-432A-49A9-9499-7ED3E32DDB07}"/>
            </c:ext>
          </c:extLst>
        </c:ser>
        <c:ser>
          <c:idx val="2"/>
          <c:order val="2"/>
          <c:tx>
            <c:strRef>
              <c:f>Trajecto!$B$108</c:f>
              <c:strCache>
                <c:ptCount val="1"/>
                <c:pt idx="0">
                  <c:v>Descente balistique</c:v>
                </c:pt>
              </c:strCache>
            </c:strRef>
          </c:tx>
          <c:spPr>
            <a:ln w="12700">
              <a:solidFill>
                <a:srgbClr val="808080"/>
              </a:solidFill>
              <a:prstDash val="sysDash"/>
            </a:ln>
          </c:spPr>
          <c:marker>
            <c:symbol val="none"/>
          </c:marker>
          <c:xVal>
            <c:numRef>
              <c:f>Calculs!$J$4:$J$1004</c:f>
              <c:numCache>
                <c:formatCode>0.00</c:formatCode>
                <c:ptCount val="1001"/>
                <c:pt idx="0">
                  <c:v>0</c:v>
                </c:pt>
                <c:pt idx="1">
                  <c:v>1.7892997656497936E-4</c:v>
                </c:pt>
                <c:pt idx="2">
                  <c:v>1.4474288184167655E-3</c:v>
                </c:pt>
                <c:pt idx="3">
                  <c:v>4.9832137393807791E-3</c:v>
                </c:pt>
                <c:pt idx="4">
                  <c:v>1.1185805984879213E-2</c:v>
                </c:pt>
                <c:pt idx="5">
                  <c:v>1.9962106559816332E-2</c:v>
                </c:pt>
                <c:pt idx="6">
                  <c:v>3.1247287650135055E-2</c:v>
                </c:pt>
                <c:pt idx="7">
                  <c:v>4.5033399923459179E-2</c:v>
                </c:pt>
                <c:pt idx="8">
                  <c:v>6.1340984352270589E-2</c:v>
                </c:pt>
                <c:pt idx="9">
                  <c:v>8.0190597511336087E-2</c:v>
                </c:pt>
                <c:pt idx="10">
                  <c:v>0.10160281123163188</c:v>
                </c:pt>
                <c:pt idx="11">
                  <c:v>0.12559525131653826</c:v>
                </c:pt>
                <c:pt idx="12">
                  <c:v>0.152179627257715</c:v>
                </c:pt>
                <c:pt idx="13">
                  <c:v>0.18136467950163004</c:v>
                </c:pt>
                <c:pt idx="14">
                  <c:v>0.21315913574829407</c:v>
                </c:pt>
                <c:pt idx="15">
                  <c:v>0.24757171066501538</c:v>
                </c:pt>
                <c:pt idx="16">
                  <c:v>0.28461110559901903</c:v>
                </c:pt>
                <c:pt idx="17">
                  <c:v>0.32428600828894893</c:v>
                </c:pt>
                <c:pt idx="18">
                  <c:v>0.36660509257527152</c:v>
                </c:pt>
                <c:pt idx="19">
                  <c:v>0.41157701810960073</c:v>
                </c:pt>
                <c:pt idx="20">
                  <c:v>0.45921043006296369</c:v>
                </c:pt>
                <c:pt idx="21">
                  <c:v>0.5095127693343231</c:v>
                </c:pt>
                <c:pt idx="22">
                  <c:v>0.56248907919422608</c:v>
                </c:pt>
                <c:pt idx="23">
                  <c:v>0.61814318931996148</c:v>
                </c:pt>
                <c:pt idx="24">
                  <c:v>0.67647890344921857</c:v>
                </c:pt>
                <c:pt idx="25">
                  <c:v>0.73749999919546472</c:v>
                </c:pt>
                <c:pt idx="26">
                  <c:v>0.8012941763834075</c:v>
                </c:pt>
                <c:pt idx="27">
                  <c:v>0.86795272947429092</c:v>
                </c:pt>
                <c:pt idx="28">
                  <c:v>0.93748653958243822</c:v>
                </c:pt>
                <c:pt idx="29">
                  <c:v>1.0099062825247531</c:v>
                </c:pt>
                <c:pt idx="30">
                  <c:v>1.085222377190548</c:v>
                </c:pt>
                <c:pt idx="31">
                  <c:v>1.1634450013451973</c:v>
                </c:pt>
                <c:pt idx="32">
                  <c:v>1.2445841058013298</c:v>
                </c:pt>
                <c:pt idx="33">
                  <c:v>1.3286494271723839</c:v>
                </c:pt>
                <c:pt idx="34">
                  <c:v>1.415650499389117</c:v>
                </c:pt>
                <c:pt idx="35">
                  <c:v>1.5055966641317808</c:v>
                </c:pt>
                <c:pt idx="36">
                  <c:v>1.5984970803078113</c:v>
                </c:pt>
                <c:pt idx="37">
                  <c:v>1.6943607326860135</c:v>
                </c:pt>
                <c:pt idx="38">
                  <c:v>1.7931964397825528</c:v>
                </c:pt>
                <c:pt idx="39">
                  <c:v>1.8950128610809818</c:v>
                </c:pt>
                <c:pt idx="40">
                  <c:v>1.9998185036575469</c:v>
                </c:pt>
                <c:pt idx="41">
                  <c:v>2.1076207712838904</c:v>
                </c:pt>
                <c:pt idx="42">
                  <c:v>2.218425005839372</c:v>
                </c:pt>
                <c:pt idx="43">
                  <c:v>2.3322354399259564</c:v>
                </c:pt>
                <c:pt idx="44">
                  <c:v>2.449056156621757</c:v>
                </c:pt>
                <c:pt idx="45">
                  <c:v>2.5688910945344472</c:v>
                </c:pt>
                <c:pt idx="46">
                  <c:v>2.6917440524969045</c:v>
                </c:pt>
                <c:pt idx="47">
                  <c:v>2.8176186939381216</c:v>
                </c:pt>
                <c:pt idx="48">
                  <c:v>2.9465185509587153</c:v>
                </c:pt>
                <c:pt idx="49">
                  <c:v>3.0784470281371492</c:v>
                </c:pt>
                <c:pt idx="50">
                  <c:v>3.2134074060899813</c:v>
                </c:pt>
                <c:pt idx="51">
                  <c:v>3.351402844807001</c:v>
                </c:pt>
                <c:pt idx="52">
                  <c:v>3.4924363867799717</c:v>
                </c:pt>
                <c:pt idx="53">
                  <c:v>3.6365109599418122</c:v>
                </c:pt>
                <c:pt idx="54">
                  <c:v>3.7836293804313885</c:v>
                </c:pt>
                <c:pt idx="55">
                  <c:v>3.9337943551976151</c:v>
                </c:pt>
                <c:pt idx="56">
                  <c:v>4.0870084844552679</c:v>
                </c:pt>
                <c:pt idx="57">
                  <c:v>4.2432742640037509</c:v>
                </c:pt>
                <c:pt idx="58">
                  <c:v>4.4025940874190415</c:v>
                </c:pt>
                <c:pt idx="59">
                  <c:v>4.5649702481281036</c:v>
                </c:pt>
                <c:pt idx="60">
                  <c:v>4.7304049413742542</c:v>
                </c:pt>
                <c:pt idx="61">
                  <c:v>4.8989002660812258</c:v>
                </c:pt>
                <c:pt idx="62">
                  <c:v>5.0704582266230132</c:v>
                </c:pt>
                <c:pt idx="63">
                  <c:v>5.2450807345059918</c:v>
                </c:pt>
                <c:pt idx="64">
                  <c:v>5.4227696099692642</c:v>
                </c:pt>
                <c:pt idx="65">
                  <c:v>5.6035265835087165</c:v>
                </c:pt>
                <c:pt idx="66">
                  <c:v>5.7873532973298154</c:v>
                </c:pt>
                <c:pt idx="67">
                  <c:v>5.9742513067337928</c:v>
                </c:pt>
                <c:pt idx="68">
                  <c:v>6.1642220814415012</c:v>
                </c:pt>
                <c:pt idx="69">
                  <c:v>6.3572670068588977</c:v>
                </c:pt>
                <c:pt idx="70">
                  <c:v>6.5533873852878211</c:v>
                </c:pt>
                <c:pt idx="71">
                  <c:v>6.7525844370854538</c:v>
                </c:pt>
                <c:pt idx="72">
                  <c:v>6.954859301775608</c:v>
                </c:pt>
                <c:pt idx="73">
                  <c:v>7.1602130391147609</c:v>
                </c:pt>
                <c:pt idx="74">
                  <c:v>7.3686466301155544</c:v>
                </c:pt>
                <c:pt idx="75">
                  <c:v>7.5801609780302721</c:v>
                </c:pt>
                <c:pt idx="76">
                  <c:v>7.794756909296658</c:v>
                </c:pt>
                <c:pt idx="77">
                  <c:v>8.0124351744482567</c:v>
                </c:pt>
                <c:pt idx="78">
                  <c:v>8.2331964489913236</c:v>
                </c:pt>
                <c:pt idx="79">
                  <c:v>8.4570413342502153</c:v>
                </c:pt>
                <c:pt idx="80">
                  <c:v>8.683970358183041</c:v>
                </c:pt>
                <c:pt idx="81">
                  <c:v>8.9139829542945961</c:v>
                </c:pt>
                <c:pt idx="82">
                  <c:v>9.1470764357997627</c:v>
                </c:pt>
                <c:pt idx="83">
                  <c:v>9.3832470122053717</c:v>
                </c:pt>
                <c:pt idx="84">
                  <c:v>9.6224908107447931</c:v>
                </c:pt>
                <c:pt idx="85">
                  <c:v>9.8648038773720774</c:v>
                </c:pt>
                <c:pt idx="86">
                  <c:v>10.110182177729953</c:v>
                </c:pt>
                <c:pt idx="87">
                  <c:v>10.3586215980931</c:v>
                </c:pt>
                <c:pt idx="88">
                  <c:v>10.610117946288042</c:v>
                </c:pt>
                <c:pt idx="89">
                  <c:v>10.864666952590948</c:v>
                </c:pt>
                <c:pt idx="90">
                  <c:v>11.122264270604477</c:v>
                </c:pt>
                <c:pt idx="91">
                  <c:v>11.382905022507245</c:v>
                </c:pt>
                <c:pt idx="92">
                  <c:v>11.646583342379879</c:v>
                </c:pt>
                <c:pt idx="93">
                  <c:v>11.91329283025769</c:v>
                </c:pt>
                <c:pt idx="94">
                  <c:v>12.183027008137143</c:v>
                </c:pt>
                <c:pt idx="95">
                  <c:v>12.455779320894628</c:v>
                </c:pt>
                <c:pt idx="96">
                  <c:v>12.731543137188357</c:v>
                </c:pt>
                <c:pt idx="97">
                  <c:v>13.010311750344218</c:v>
                </c:pt>
                <c:pt idx="98">
                  <c:v>13.292078379226389</c:v>
                </c:pt>
                <c:pt idx="99">
                  <c:v>13.57683616909347</c:v>
                </c:pt>
                <c:pt idx="100">
                  <c:v>13.864578192440836</c:v>
                </c:pt>
                <c:pt idx="101">
                  <c:v>14.155297376350045</c:v>
                </c:pt>
                <c:pt idx="102">
                  <c:v>14.448986429548018</c:v>
                </c:pt>
                <c:pt idx="103">
                  <c:v>14.745637916355145</c:v>
                </c:pt>
                <c:pt idx="104">
                  <c:v>15.04524433090991</c:v>
                </c:pt>
                <c:pt idx="105">
                  <c:v>15.347798097971733</c:v>
                </c:pt>
                <c:pt idx="106">
                  <c:v>15.653291573713307</c:v>
                </c:pt>
                <c:pt idx="107">
                  <c:v>15.961717046502892</c:v>
                </c:pt>
                <c:pt idx="108">
                  <c:v>16.27306673767702</c:v>
                </c:pt>
                <c:pt idx="109">
                  <c:v>16.58733280230404</c:v>
                </c:pt>
                <c:pt idx="110">
                  <c:v>16.904507329938905</c:v>
                </c:pt>
                <c:pt idx="111">
                  <c:v>17.224583197876726</c:v>
                </c:pt>
                <c:pt idx="112">
                  <c:v>17.547554927316444</c:v>
                </c:pt>
                <c:pt idx="113">
                  <c:v>17.873417835004652</c:v>
                </c:pt>
                <c:pt idx="114">
                  <c:v>18.202167181847798</c:v>
                </c:pt>
                <c:pt idx="115">
                  <c:v>18.533798173417278</c:v>
                </c:pt>
                <c:pt idx="116">
                  <c:v>18.868305960449607</c:v>
                </c:pt>
                <c:pt idx="117">
                  <c:v>19.205685639341908</c:v>
                </c:pt>
                <c:pt idx="118">
                  <c:v>19.545932252642903</c:v>
                </c:pt>
                <c:pt idx="119">
                  <c:v>19.889040789539624</c:v>
                </c:pt>
                <c:pt idx="120">
                  <c:v>20.235006186340019</c:v>
                </c:pt>
                <c:pt idx="121">
                  <c:v>20.583821902847102</c:v>
                </c:pt>
                <c:pt idx="122">
                  <c:v>20.935478494280126</c:v>
                </c:pt>
                <c:pt idx="123">
                  <c:v>21.289965030840758</c:v>
                </c:pt>
                <c:pt idx="124">
                  <c:v>21.647270521898832</c:v>
                </c:pt>
                <c:pt idx="125">
                  <c:v>22.007383916803164</c:v>
                </c:pt>
                <c:pt idx="126">
                  <c:v>22.370294105686341</c:v>
                </c:pt>
                <c:pt idx="127">
                  <c:v>22.735989920263702</c:v>
                </c:pt>
                <c:pt idx="128">
                  <c:v>23.104460134626635</c:v>
                </c:pt>
                <c:pt idx="129">
                  <c:v>23.475693466030386</c:v>
                </c:pt>
                <c:pt idx="130">
                  <c:v>23.849678575676499</c:v>
                </c:pt>
                <c:pt idx="131">
                  <c:v>24.22640369415118</c:v>
                </c:pt>
                <c:pt idx="132">
                  <c:v>24.605856245813058</c:v>
                </c:pt>
                <c:pt idx="133">
                  <c:v>24.988023223789575</c:v>
                </c:pt>
                <c:pt idx="134">
                  <c:v>25.372891566061412</c:v>
                </c:pt>
                <c:pt idx="135">
                  <c:v>25.760448156314386</c:v>
                </c:pt>
                <c:pt idx="136">
                  <c:v>26.150679824785865</c:v>
                </c:pt>
                <c:pt idx="137">
                  <c:v>26.543573349105799</c:v>
                </c:pt>
                <c:pt idx="138">
                  <c:v>26.939115455132459</c:v>
                </c:pt>
                <c:pt idx="139">
                  <c:v>27.337292817782952</c:v>
                </c:pt>
                <c:pt idx="140">
                  <c:v>27.738092061858637</c:v>
                </c:pt>
                <c:pt idx="141">
                  <c:v>28.141495246640073</c:v>
                </c:pt>
                <c:pt idx="142">
                  <c:v>28.547475339462455</c:v>
                </c:pt>
                <c:pt idx="143">
                  <c:v>28.956000722050604</c:v>
                </c:pt>
                <c:pt idx="144">
                  <c:v>29.367039708534971</c:v>
                </c:pt>
                <c:pt idx="145">
                  <c:v>29.780560547587509</c:v>
                </c:pt>
                <c:pt idx="146">
                  <c:v>30.196531424537593</c:v>
                </c:pt>
                <c:pt idx="147">
                  <c:v>30.61492046346801</c:v>
                </c:pt>
                <c:pt idx="148">
                  <c:v>31.035695729291103</c:v>
                </c:pt>
                <c:pt idx="149">
                  <c:v>31.458825229805033</c:v>
                </c:pt>
                <c:pt idx="150">
                  <c:v>31.884276917730208</c:v>
                </c:pt>
                <c:pt idx="151">
                  <c:v>32.312018692725871</c:v>
                </c:pt>
                <c:pt idx="152">
                  <c:v>32.742018403386844</c:v>
                </c:pt>
                <c:pt idx="153">
                  <c:v>33.174243849220417</c:v>
                </c:pt>
                <c:pt idx="154">
                  <c:v>33.608662782603396</c:v>
                </c:pt>
                <c:pt idx="155">
                  <c:v>34.045242910719253</c:v>
                </c:pt>
                <c:pt idx="156">
                  <c:v>34.483930322078059</c:v>
                </c:pt>
                <c:pt idx="157">
                  <c:v>34.92462787832725</c:v>
                </c:pt>
                <c:pt idx="158">
                  <c:v>35.367216770925353</c:v>
                </c:pt>
                <c:pt idx="159">
                  <c:v>35.811578118604466</c:v>
                </c:pt>
                <c:pt idx="160">
                  <c:v>36.257592981334824</c:v>
                </c:pt>
                <c:pt idx="161">
                  <c:v>36.705114872221273</c:v>
                </c:pt>
                <c:pt idx="162">
                  <c:v>37.153942248869846</c:v>
                </c:pt>
                <c:pt idx="163">
                  <c:v>37.603848668083614</c:v>
                </c:pt>
                <c:pt idx="164">
                  <c:v>38.054612976057101</c:v>
                </c:pt>
                <c:pt idx="165">
                  <c:v>38.506043043587127</c:v>
                </c:pt>
                <c:pt idx="166">
                  <c:v>38.957999493957715</c:v>
                </c:pt>
                <c:pt idx="167">
                  <c:v>39.410349340342641</c:v>
                </c:pt>
                <c:pt idx="168">
                  <c:v>39.862934118427646</c:v>
                </c:pt>
                <c:pt idx="169">
                  <c:v>40.315548551444436</c:v>
                </c:pt>
                <c:pt idx="170">
                  <c:v>40.767933771760433</c:v>
                </c:pt>
                <c:pt idx="171">
                  <c:v>41.219908555212577</c:v>
                </c:pt>
                <c:pt idx="172">
                  <c:v>41.671427848854393</c:v>
                </c:pt>
                <c:pt idx="173">
                  <c:v>42.122492862915699</c:v>
                </c:pt>
                <c:pt idx="174">
                  <c:v>42.573104803021707</c:v>
                </c:pt>
                <c:pt idx="175">
                  <c:v>43.023264870216877</c:v>
                </c:pt>
                <c:pt idx="176">
                  <c:v>43.472974260988636</c:v>
                </c:pt>
                <c:pt idx="177">
                  <c:v>43.922234167290867</c:v>
                </c:pt>
                <c:pt idx="178">
                  <c:v>44.371045776567335</c:v>
                </c:pt>
                <c:pt idx="179">
                  <c:v>44.819410271774899</c:v>
                </c:pt>
                <c:pt idx="180">
                  <c:v>45.267328831406608</c:v>
                </c:pt>
                <c:pt idx="181">
                  <c:v>45.714802629514622</c:v>
                </c:pt>
                <c:pt idx="182">
                  <c:v>46.161832835733016</c:v>
                </c:pt>
                <c:pt idx="183">
                  <c:v>46.608420615300403</c:v>
                </c:pt>
                <c:pt idx="184">
                  <c:v>47.054567129082443</c:v>
                </c:pt>
                <c:pt idx="185">
                  <c:v>47.500273533594182</c:v>
                </c:pt>
                <c:pt idx="186">
                  <c:v>47.945540981022276</c:v>
                </c:pt>
                <c:pt idx="187">
                  <c:v>48.39037061924703</c:v>
                </c:pt>
                <c:pt idx="188">
                  <c:v>48.834763591864345</c:v>
                </c:pt>
                <c:pt idx="189">
                  <c:v>49.278721038207486</c:v>
                </c:pt>
                <c:pt idx="190">
                  <c:v>49.722244093368737</c:v>
                </c:pt>
                <c:pt idx="191">
                  <c:v>50.165333888220907</c:v>
                </c:pt>
                <c:pt idx="192">
                  <c:v>50.607991549438694</c:v>
                </c:pt>
                <c:pt idx="193">
                  <c:v>51.050218199519918</c:v>
                </c:pt>
                <c:pt idx="194">
                  <c:v>51.492014956806635</c:v>
                </c:pt>
                <c:pt idx="195">
                  <c:v>51.933382935506089</c:v>
                </c:pt>
                <c:pt idx="196">
                  <c:v>52.374323245711551</c:v>
                </c:pt>
                <c:pt idx="197">
                  <c:v>52.814836993423008</c:v>
                </c:pt>
                <c:pt idx="198">
                  <c:v>53.254925280567761</c:v>
                </c:pt>
                <c:pt idx="199">
                  <c:v>53.69458920502084</c:v>
                </c:pt>
                <c:pt idx="200">
                  <c:v>54.133829860625326</c:v>
                </c:pt>
                <c:pt idx="201">
                  <c:v>58.503041046905885</c:v>
                </c:pt>
                <c:pt idx="202">
                  <c:v>62.830626810240574</c:v>
                </c:pt>
                <c:pt idx="203">
                  <c:v>67.117643965684536</c:v>
                </c:pt>
                <c:pt idx="204">
                  <c:v>71.365111550687885</c:v>
                </c:pt>
                <c:pt idx="205">
                  <c:v>75.574012650867189</c:v>
                </c:pt>
                <c:pt idx="206">
                  <c:v>79.745296116155473</c:v>
                </c:pt>
                <c:pt idx="207">
                  <c:v>83.879878175183563</c:v>
                </c:pt>
                <c:pt idx="208">
                  <c:v>87.978643955094199</c:v>
                </c:pt>
                <c:pt idx="209">
                  <c:v>92.042448913400179</c:v>
                </c:pt>
                <c:pt idx="210">
                  <c:v>96.072120187962554</c:v>
                </c:pt>
                <c:pt idx="211">
                  <c:v>100.06845787067839</c:v>
                </c:pt>
                <c:pt idx="212">
                  <c:v>104.03223621002586</c:v>
                </c:pt>
                <c:pt idx="213">
                  <c:v>107.96420474721168</c:v>
                </c:pt>
                <c:pt idx="214">
                  <c:v>111.86508939029925</c:v>
                </c:pt>
                <c:pt idx="215">
                  <c:v>115.73559343036112</c:v>
                </c:pt>
                <c:pt idx="216">
                  <c:v>119.57639850339403</c:v>
                </c:pt>
                <c:pt idx="217">
                  <c:v>123.38816550145492</c:v>
                </c:pt>
                <c:pt idx="218">
                  <c:v>127.17153543622089</c:v>
                </c:pt>
                <c:pt idx="219">
                  <c:v>130.92713025794177</c:v>
                </c:pt>
                <c:pt idx="220">
                  <c:v>134.65555363253887</c:v>
                </c:pt>
                <c:pt idx="221">
                  <c:v>138.3573916794067</c:v>
                </c:pt>
                <c:pt idx="222">
                  <c:v>142.03321367229265</c:v>
                </c:pt>
                <c:pt idx="223">
                  <c:v>145.68357270546375</c:v>
                </c:pt>
                <c:pt idx="224">
                  <c:v>149.30900632721557</c:v>
                </c:pt>
                <c:pt idx="225">
                  <c:v>152.91003714263752</c:v>
                </c:pt>
                <c:pt idx="226">
                  <c:v>156.48717338741832</c:v>
                </c:pt>
                <c:pt idx="227">
                  <c:v>160.0409094743554</c:v>
                </c:pt>
                <c:pt idx="228">
                  <c:v>163.57172651412057</c:v>
                </c:pt>
                <c:pt idx="229">
                  <c:v>167.0800928117323</c:v>
                </c:pt>
                <c:pt idx="230">
                  <c:v>170.56646434008957</c:v>
                </c:pt>
                <c:pt idx="231">
                  <c:v>174.03128519183443</c:v>
                </c:pt>
                <c:pt idx="232">
                  <c:v>177.47498801072931</c:v>
                </c:pt>
                <c:pt idx="233">
                  <c:v>180.89799440365911</c:v>
                </c:pt>
                <c:pt idx="234">
                  <c:v>184.30071533429884</c:v>
                </c:pt>
                <c:pt idx="235">
                  <c:v>187.68355149942172</c:v>
                </c:pt>
                <c:pt idx="236">
                  <c:v>191.04689368876274</c:v>
                </c:pt>
                <c:pt idx="237">
                  <c:v>194.3911231292964</c:v>
                </c:pt>
                <c:pt idx="238">
                  <c:v>197.71661181473522</c:v>
                </c:pt>
                <c:pt idx="239">
                  <c:v>201.02372282100643</c:v>
                </c:pt>
                <c:pt idx="240">
                  <c:v>204.31281060841957</c:v>
                </c:pt>
                <c:pt idx="241">
                  <c:v>207.58422131119502</c:v>
                </c:pt>
                <c:pt idx="242">
                  <c:v>210.83829301498417</c:v>
                </c:pt>
                <c:pt idx="243">
                  <c:v>214.07535602297509</c:v>
                </c:pt>
                <c:pt idx="244">
                  <c:v>217.29573311114319</c:v>
                </c:pt>
                <c:pt idx="245">
                  <c:v>220.49973977317427</c:v>
                </c:pt>
                <c:pt idx="246">
                  <c:v>223.68768445555713</c:v>
                </c:pt>
                <c:pt idx="247">
                  <c:v>226.85986878331485</c:v>
                </c:pt>
                <c:pt idx="248">
                  <c:v>230.01658777681766</c:v>
                </c:pt>
                <c:pt idx="249">
                  <c:v>233.1581300600952</c:v>
                </c:pt>
                <c:pt idx="250">
                  <c:v>236.28477806104328</c:v>
                </c:pt>
                <c:pt idx="251">
                  <c:v>239.39680820389836</c:v>
                </c:pt>
                <c:pt idx="252">
                  <c:v>242.49449109433226</c:v>
                </c:pt>
                <c:pt idx="253">
                  <c:v>245.57809169750112</c:v>
                </c:pt>
                <c:pt idx="254">
                  <c:v>248.64786950936386</c:v>
                </c:pt>
                <c:pt idx="255">
                  <c:v>251.70407872156909</c:v>
                </c:pt>
                <c:pt idx="256">
                  <c:v>254.74696838019312</c:v>
                </c:pt>
                <c:pt idx="257">
                  <c:v>257.77678253859671</c:v>
                </c:pt>
                <c:pt idx="258">
                  <c:v>260.79376040465439</c:v>
                </c:pt>
                <c:pt idx="259">
                  <c:v>263.79813648259619</c:v>
                </c:pt>
                <c:pt idx="260">
                  <c:v>266.79014070969009</c:v>
                </c:pt>
                <c:pt idx="261">
                  <c:v>269.76999858798007</c:v>
                </c:pt>
                <c:pt idx="262">
                  <c:v>272.73793131128519</c:v>
                </c:pt>
                <c:pt idx="263">
                  <c:v>275.69415588765293</c:v>
                </c:pt>
                <c:pt idx="264">
                  <c:v>278.63888525745097</c:v>
                </c:pt>
                <c:pt idx="265">
                  <c:v>281.57232840727158</c:v>
                </c:pt>
                <c:pt idx="266">
                  <c:v>284.4946904798141</c:v>
                </c:pt>
                <c:pt idx="267">
                  <c:v>287.40617287990176</c:v>
                </c:pt>
                <c:pt idx="268">
                  <c:v>290.30697337678203</c:v>
                </c:pt>
                <c:pt idx="269">
                  <c:v>293.19728620285059</c:v>
                </c:pt>
                <c:pt idx="270">
                  <c:v>296.07730214893286</c:v>
                </c:pt>
                <c:pt idx="271">
                  <c:v>298.94720865624902</c:v>
                </c:pt>
                <c:pt idx="272">
                  <c:v>301.80718990518261</c:v>
                </c:pt>
                <c:pt idx="273">
                  <c:v>304.6574269009655</c:v>
                </c:pt>
                <c:pt idx="274">
                  <c:v>307.49809755638648</c:v>
                </c:pt>
                <c:pt idx="275">
                  <c:v>310.32937677162442</c:v>
                </c:pt>
                <c:pt idx="276">
                  <c:v>313.15143651130177</c:v>
                </c:pt>
                <c:pt idx="277">
                  <c:v>315.96444587884804</c:v>
                </c:pt>
                <c:pt idx="278">
                  <c:v>318.76857118825825</c:v>
                </c:pt>
                <c:pt idx="279">
                  <c:v>321.56397603332545</c:v>
                </c:pt>
                <c:pt idx="280">
                  <c:v>324.35082135442258</c:v>
                </c:pt>
                <c:pt idx="281">
                  <c:v>327.12926550290308</c:v>
                </c:pt>
                <c:pt idx="282">
                  <c:v>329.8994643031852</c:v>
                </c:pt>
                <c:pt idx="283">
                  <c:v>332.66157111258087</c:v>
                </c:pt>
                <c:pt idx="284">
                  <c:v>335.41573687892503</c:v>
                </c:pt>
                <c:pt idx="285">
                  <c:v>338.16211019605674</c:v>
                </c:pt>
                <c:pt idx="286">
                  <c:v>340.90083735719918</c:v>
                </c:pt>
                <c:pt idx="287">
                  <c:v>343.63206240628176</c:v>
                </c:pt>
                <c:pt idx="288">
                  <c:v>346.35592718724206</c:v>
                </c:pt>
                <c:pt idx="289">
                  <c:v>349.07257139134219</c:v>
                </c:pt>
                <c:pt idx="290">
                  <c:v>351.78213260252897</c:v>
                </c:pt>
                <c:pt idx="291">
                  <c:v>354.48474634086335</c:v>
                </c:pt>
                <c:pt idx="292">
                  <c:v>357.18054610403965</c:v>
                </c:pt>
                <c:pt idx="293">
                  <c:v>359.8696634070111</c:v>
                </c:pt>
                <c:pt idx="294">
                  <c:v>362.55222781973339</c:v>
                </c:pt>
                <c:pt idx="295">
                  <c:v>365.22836700303253</c:v>
                </c:pt>
                <c:pt idx="296">
                  <c:v>367.89820674259994</c:v>
                </c:pt>
                <c:pt idx="297">
                  <c:v>370.56187098111076</c:v>
                </c:pt>
                <c:pt idx="298">
                  <c:v>373.21948184845792</c:v>
                </c:pt>
                <c:pt idx="299">
                  <c:v>375.87115969008755</c:v>
                </c:pt>
                <c:pt idx="300">
                  <c:v>378.51702309341704</c:v>
                </c:pt>
                <c:pt idx="301">
                  <c:v>381.15718891231006</c:v>
                </c:pt>
                <c:pt idx="302">
                  <c:v>383.79177228957741</c:v>
                </c:pt>
                <c:pt idx="303">
                  <c:v>386.4208866774656</c:v>
                </c:pt>
                <c:pt idx="304">
                  <c:v>389.04464385608901</c:v>
                </c:pt>
                <c:pt idx="305">
                  <c:v>391.66315394975345</c:v>
                </c:pt>
                <c:pt idx="306">
                  <c:v>394.2765254411126</c:v>
                </c:pt>
                <c:pt idx="307">
                  <c:v>396.88486518308986</c:v>
                </c:pt>
                <c:pt idx="308">
                  <c:v>399.48827840849128</c:v>
                </c:pt>
                <c:pt idx="309">
                  <c:v>402.08686873722593</c:v>
                </c:pt>
                <c:pt idx="310">
                  <c:v>404.68073818104131</c:v>
                </c:pt>
                <c:pt idx="311">
                  <c:v>407.26998714567304</c:v>
                </c:pt>
                <c:pt idx="312">
                  <c:v>409.85471443029792</c:v>
                </c:pt>
                <c:pt idx="313">
                  <c:v>412.43501722417028</c:v>
                </c:pt>
                <c:pt idx="314">
                  <c:v>415.01099110031248</c:v>
                </c:pt>
                <c:pt idx="315">
                  <c:v>417.58273000611962</c:v>
                </c:pt>
                <c:pt idx="316">
                  <c:v>420.15032625073064</c:v>
                </c:pt>
                <c:pt idx="317">
                  <c:v>422.71387048900817</c:v>
                </c:pt>
                <c:pt idx="318">
                  <c:v>425.2734517019619</c:v>
                </c:pt>
                <c:pt idx="319">
                  <c:v>427.82915717344304</c:v>
                </c:pt>
                <c:pt idx="320">
                  <c:v>430.38107246293168</c:v>
                </c:pt>
                <c:pt idx="321">
                  <c:v>432.92928137423621</c:v>
                </c:pt>
                <c:pt idx="322">
                  <c:v>435.47386591992267</c:v>
                </c:pt>
                <c:pt idx="323">
                  <c:v>438.01490628129505</c:v>
                </c:pt>
                <c:pt idx="324">
                  <c:v>440.5524807637546</c:v>
                </c:pt>
                <c:pt idx="325">
                  <c:v>443.08666574737993</c:v>
                </c:pt>
                <c:pt idx="326">
                  <c:v>445.61753563258776</c:v>
                </c:pt>
                <c:pt idx="327">
                  <c:v>448.14516278076326</c:v>
                </c:pt>
                <c:pt idx="328">
                  <c:v>450.66961744978551</c:v>
                </c:pt>
                <c:pt idx="329">
                  <c:v>453.1909677244214</c:v>
                </c:pt>
                <c:pt idx="330">
                  <c:v>455.70927944162383</c:v>
                </c:pt>
                <c:pt idx="331">
                  <c:v>458.22461611084339</c:v>
                </c:pt>
                <c:pt idx="332">
                  <c:v>460.73703882955533</c:v>
                </c:pt>
                <c:pt idx="333">
                  <c:v>463.24660619430972</c:v>
                </c:pt>
                <c:pt idx="334">
                  <c:v>465.75337420773729</c:v>
                </c:pt>
                <c:pt idx="335">
                  <c:v>468.25739618208422</c:v>
                </c:pt>
                <c:pt idx="336">
                  <c:v>470.75872264000435</c:v>
                </c:pt>
                <c:pt idx="337">
                  <c:v>473.25740121350509</c:v>
                </c:pt>
                <c:pt idx="338">
                  <c:v>475.75347654211879</c:v>
                </c:pt>
                <c:pt idx="339">
                  <c:v>478.24699017154677</c:v>
                </c:pt>
                <c:pt idx="340">
                  <c:v>480.73798045419397</c:v>
                </c:pt>
                <c:pt idx="341">
                  <c:v>483.22648245316498</c:v>
                </c:pt>
                <c:pt idx="342">
                  <c:v>485.71252785141667</c:v>
                </c:pt>
                <c:pt idx="343">
                  <c:v>488.19614486784985</c:v>
                </c:pt>
                <c:pt idx="344">
                  <c:v>490.6773581821563</c:v>
                </c:pt>
                <c:pt idx="345">
                  <c:v>493.15618887021139</c:v>
                </c:pt>
                <c:pt idx="346">
                  <c:v>495.63265435170877</c:v>
                </c:pt>
                <c:pt idx="347">
                  <c:v>498.10676835156522</c:v>
                </c:pt>
                <c:pt idx="348">
                  <c:v>500.5785408763889</c:v>
                </c:pt>
                <c:pt idx="349">
                  <c:v>503.04797820700134</c:v>
                </c:pt>
                <c:pt idx="350">
                  <c:v>505.51508290765275</c:v>
                </c:pt>
                <c:pt idx="351">
                  <c:v>507.97985385218311</c:v>
                </c:pt>
                <c:pt idx="352">
                  <c:v>510.44228626698077</c:v>
                </c:pt>
                <c:pt idx="353">
                  <c:v>512.90237179019596</c:v>
                </c:pt>
                <c:pt idx="354">
                  <c:v>515.36009854630231</c:v>
                </c:pt>
                <c:pt idx="355">
                  <c:v>517.81545123477906</c:v>
                </c:pt>
                <c:pt idx="356">
                  <c:v>520.26841123142958</c:v>
                </c:pt>
                <c:pt idx="357">
                  <c:v>522.71895670066215</c:v>
                </c:pt>
                <c:pt idx="358">
                  <c:v>525.16706271694272</c:v>
                </c:pt>
                <c:pt idx="359">
                  <c:v>527.61270139358612</c:v>
                </c:pt>
                <c:pt idx="360">
                  <c:v>530.05584201706881</c:v>
                </c:pt>
                <c:pt idx="361">
                  <c:v>532.49645118512433</c:v>
                </c:pt>
                <c:pt idx="362">
                  <c:v>534.93449294699963</c:v>
                </c:pt>
                <c:pt idx="363">
                  <c:v>537.36992894440129</c:v>
                </c:pt>
                <c:pt idx="364">
                  <c:v>539.80271855183173</c:v>
                </c:pt>
                <c:pt idx="365">
                  <c:v>542.23281901519704</c:v>
                </c:pt>
                <c:pt idx="366">
                  <c:v>544.66018558774681</c:v>
                </c:pt>
                <c:pt idx="367">
                  <c:v>547.08477166258456</c:v>
                </c:pt>
                <c:pt idx="368">
                  <c:v>549.50652890114816</c:v>
                </c:pt>
                <c:pt idx="369">
                  <c:v>551.92540735721059</c:v>
                </c:pt>
                <c:pt idx="370">
                  <c:v>554.34135559608194</c:v>
                </c:pt>
                <c:pt idx="371">
                  <c:v>556.75432080880967</c:v>
                </c:pt>
                <c:pt idx="372">
                  <c:v>559.16424892126975</c:v>
                </c:pt>
                <c:pt idx="373">
                  <c:v>561.57108469812306</c:v>
                </c:pt>
                <c:pt idx="374">
                  <c:v>563.97477184167781</c:v>
                </c:pt>
                <c:pt idx="375">
                  <c:v>566.37525308574982</c:v>
                </c:pt>
                <c:pt idx="376">
                  <c:v>568.77247028465331</c:v>
                </c:pt>
                <c:pt idx="377">
                  <c:v>571.16636449748501</c:v>
                </c:pt>
                <c:pt idx="378">
                  <c:v>573.5568760678857</c:v>
                </c:pt>
                <c:pt idx="379">
                  <c:v>575.94394469947736</c:v>
                </c:pt>
                <c:pt idx="380">
                  <c:v>578.327509527183</c:v>
                </c:pt>
                <c:pt idx="381">
                  <c:v>580.70750918463852</c:v>
                </c:pt>
                <c:pt idx="382">
                  <c:v>583.08388186790705</c:v>
                </c:pt>
                <c:pt idx="383">
                  <c:v>585.45656539570211</c:v>
                </c:pt>
                <c:pt idx="384">
                  <c:v>587.82549726632158</c:v>
                </c:pt>
                <c:pt idx="385">
                  <c:v>590.19061471148564</c:v>
                </c:pt>
                <c:pt idx="386">
                  <c:v>592.55185474726727</c:v>
                </c:pt>
                <c:pt idx="387">
                  <c:v>594.90915422229023</c:v>
                </c:pt>
                <c:pt idx="388">
                  <c:v>597.26244986336485</c:v>
                </c:pt>
                <c:pt idx="389">
                  <c:v>599.6116783187199</c:v>
                </c:pt>
                <c:pt idx="390">
                  <c:v>601.95677619897947</c:v>
                </c:pt>
                <c:pt idx="391">
                  <c:v>604.29768011602619</c:v>
                </c:pt>
                <c:pt idx="392">
                  <c:v>606.63432671988107</c:v>
                </c:pt>
                <c:pt idx="393">
                  <c:v>608.96665273372321</c:v>
                </c:pt>
                <c:pt idx="394">
                  <c:v>611.29459498716278</c:v>
                </c:pt>
                <c:pt idx="395">
                  <c:v>613.61809044787447</c:v>
                </c:pt>
                <c:pt idx="396">
                  <c:v>615.93707625168986</c:v>
                </c:pt>
                <c:pt idx="397">
                  <c:v>618.25148973124067</c:v>
                </c:pt>
                <c:pt idx="398">
                  <c:v>620.56126844323796</c:v>
                </c:pt>
                <c:pt idx="399">
                  <c:v>622.86635019446692</c:v>
                </c:pt>
                <c:pt idx="400">
                  <c:v>625.16667306657018</c:v>
                </c:pt>
                <c:pt idx="401">
                  <c:v>627.46217543968771</c:v>
                </c:pt>
                <c:pt idx="402">
                  <c:v>629.75279601501688</c:v>
                </c:pt>
                <c:pt idx="403">
                  <c:v>632.03847383635059</c:v>
                </c:pt>
                <c:pt idx="404">
                  <c:v>634.31914831064796</c:v>
                </c:pt>
                <c:pt idx="405">
                  <c:v>636.59475922768786</c:v>
                </c:pt>
                <c:pt idx="406">
                  <c:v>638.865246778852</c:v>
                </c:pt>
                <c:pt idx="407">
                  <c:v>641.13055157508074</c:v>
                </c:pt>
                <c:pt idx="408">
                  <c:v>643.39061466404155</c:v>
                </c:pt>
                <c:pt idx="409">
                  <c:v>645.64537754654793</c:v>
                </c:pt>
                <c:pt idx="410">
                  <c:v>647.89478219226339</c:v>
                </c:pt>
                <c:pt idx="411">
                  <c:v>650.1387710547217</c:v>
                </c:pt>
                <c:pt idx="412">
                  <c:v>652.37728708569512</c:v>
                </c:pt>
                <c:pt idx="413">
                  <c:v>654.61027374893672</c:v>
                </c:pt>
                <c:pt idx="414">
                  <c:v>656.83767503332433</c:v>
                </c:pt>
                <c:pt idx="415">
                  <c:v>659.05943546542881</c:v>
                </c:pt>
                <c:pt idx="416">
                  <c:v>661.27550012153074</c:v>
                </c:pt>
                <c:pt idx="417">
                  <c:v>663.48581463910546</c:v>
                </c:pt>
                <c:pt idx="418">
                  <c:v>665.69032522779708</c:v>
                </c:pt>
                <c:pt idx="419">
                  <c:v>667.88897867989908</c:v>
                </c:pt>
                <c:pt idx="420">
                  <c:v>670.08172238035957</c:v>
                </c:pt>
                <c:pt idx="421">
                  <c:v>672.26850431632693</c:v>
                </c:pt>
                <c:pt idx="422">
                  <c:v>674.44927308625154</c:v>
                </c:pt>
                <c:pt idx="423">
                  <c:v>676.62397790855732</c:v>
                </c:pt>
                <c:pt idx="424">
                  <c:v>678.792568629897</c:v>
                </c:pt>
                <c:pt idx="425">
                  <c:v>680.95499573300367</c:v>
                </c:pt>
                <c:pt idx="426">
                  <c:v>683.11121034415078</c:v>
                </c:pt>
                <c:pt idx="427">
                  <c:v>685.26116424023155</c:v>
                </c:pt>
                <c:pt idx="428">
                  <c:v>687.40480985546935</c:v>
                </c:pt>
                <c:pt idx="429">
                  <c:v>689.54210028776765</c:v>
                </c:pt>
                <c:pt idx="430">
                  <c:v>691.67298930471122</c:v>
                </c:pt>
                <c:pt idx="431">
                  <c:v>693.79743134922592</c:v>
                </c:pt>
                <c:pt idx="432">
                  <c:v>695.91538154490718</c:v>
                </c:pt>
                <c:pt idx="433">
                  <c:v>698.02679570102475</c:v>
                </c:pt>
                <c:pt idx="434">
                  <c:v>700.13163031721149</c:v>
                </c:pt>
                <c:pt idx="435">
                  <c:v>702.22984258784504</c:v>
                </c:pt>
                <c:pt idx="436">
                  <c:v>704.32139040612822</c:v>
                </c:pt>
                <c:pt idx="437">
                  <c:v>706.40623236787587</c:v>
                </c:pt>
                <c:pt idx="438">
                  <c:v>708.484327775015</c:v>
                </c:pt>
                <c:pt idx="439">
                  <c:v>710.55563663880423</c:v>
                </c:pt>
                <c:pt idx="440">
                  <c:v>712.62011968277966</c:v>
                </c:pt>
                <c:pt idx="441">
                  <c:v>714.67773834543175</c:v>
                </c:pt>
                <c:pt idx="442">
                  <c:v>716.7284547826207</c:v>
                </c:pt>
                <c:pt idx="443">
                  <c:v>718.77223186973492</c:v>
                </c:pt>
                <c:pt idx="444">
                  <c:v>720.80903320359846</c:v>
                </c:pt>
                <c:pt idx="445">
                  <c:v>722.83882310413264</c:v>
                </c:pt>
                <c:pt idx="446">
                  <c:v>724.86156661577706</c:v>
                </c:pt>
                <c:pt idx="447">
                  <c:v>726.87722950867533</c:v>
                </c:pt>
                <c:pt idx="448">
                  <c:v>728.88577827963036</c:v>
                </c:pt>
                <c:pt idx="449">
                  <c:v>730.88718015283314</c:v>
                </c:pt>
                <c:pt idx="450">
                  <c:v>732.8814030803718</c:v>
                </c:pt>
                <c:pt idx="451">
                  <c:v>734.86841574252321</c:v>
                </c:pt>
                <c:pt idx="452">
                  <c:v>736.84818754783305</c:v>
                </c:pt>
                <c:pt idx="453">
                  <c:v>738.820688632989</c:v>
                </c:pt>
                <c:pt idx="454">
                  <c:v>740.78588986249019</c:v>
                </c:pt>
                <c:pt idx="455">
                  <c:v>742.74376282811841</c:v>
                </c:pt>
                <c:pt idx="456">
                  <c:v>744.69427984821448</c:v>
                </c:pt>
                <c:pt idx="457">
                  <c:v>746.6374139667646</c:v>
                </c:pt>
                <c:pt idx="458">
                  <c:v>748.57313895230027</c:v>
                </c:pt>
                <c:pt idx="459">
                  <c:v>750.50142929661615</c:v>
                </c:pt>
                <c:pt idx="460">
                  <c:v>752.42226021330964</c:v>
                </c:pt>
                <c:pt idx="461">
                  <c:v>754.33560763614594</c:v>
                </c:pt>
                <c:pt idx="462">
                  <c:v>756.24144821725326</c:v>
                </c:pt>
                <c:pt idx="463">
                  <c:v>758.1397593251512</c:v>
                </c:pt>
                <c:pt idx="464">
                  <c:v>760.03051904261645</c:v>
                </c:pt>
                <c:pt idx="465">
                  <c:v>761.9137061643894</c:v>
                </c:pt>
                <c:pt idx="466">
                  <c:v>763.78930019472568</c:v>
                </c:pt>
                <c:pt idx="467">
                  <c:v>765.65728134479616</c:v>
                </c:pt>
                <c:pt idx="468">
                  <c:v>767.51763052993886</c:v>
                </c:pt>
                <c:pt idx="469">
                  <c:v>769.37032936676678</c:v>
                </c:pt>
                <c:pt idx="470">
                  <c:v>771.21536017013477</c:v>
                </c:pt>
                <c:pt idx="471">
                  <c:v>773.05270594996944</c:v>
                </c:pt>
                <c:pt idx="472">
                  <c:v>774.8823504079653</c:v>
                </c:pt>
                <c:pt idx="473">
                  <c:v>776.70427793415047</c:v>
                </c:pt>
                <c:pt idx="474">
                  <c:v>778.51847360332636</c:v>
                </c:pt>
                <c:pt idx="475">
                  <c:v>780.32492317138303</c:v>
                </c:pt>
                <c:pt idx="476">
                  <c:v>782.12361307149547</c:v>
                </c:pt>
                <c:pt idx="477">
                  <c:v>783.91453041020281</c:v>
                </c:pt>
                <c:pt idx="478">
                  <c:v>785.69766296337434</c:v>
                </c:pt>
                <c:pt idx="479">
                  <c:v>787.47299917206578</c:v>
                </c:pt>
                <c:pt idx="480">
                  <c:v>789.24052813826847</c:v>
                </c:pt>
                <c:pt idx="481">
                  <c:v>791.00023962055559</c:v>
                </c:pt>
                <c:pt idx="482">
                  <c:v>792.75212402962757</c:v>
                </c:pt>
                <c:pt idx="483">
                  <c:v>794.49617242376075</c:v>
                </c:pt>
                <c:pt idx="484">
                  <c:v>796.23237650416206</c:v>
                </c:pt>
                <c:pt idx="485">
                  <c:v>797.96072861023288</c:v>
                </c:pt>
                <c:pt idx="486">
                  <c:v>799.68122171474488</c:v>
                </c:pt>
                <c:pt idx="487">
                  <c:v>801.3938494189315</c:v>
                </c:pt>
                <c:pt idx="488">
                  <c:v>803.09860594749762</c:v>
                </c:pt>
                <c:pt idx="489">
                  <c:v>804.79548614355076</c:v>
                </c:pt>
                <c:pt idx="490">
                  <c:v>806.48448546345605</c:v>
                </c:pt>
                <c:pt idx="491">
                  <c:v>808.1655999716188</c:v>
                </c:pt>
                <c:pt idx="492">
                  <c:v>809.83882633519727</c:v>
                </c:pt>
                <c:pt idx="493">
                  <c:v>811.50416181874812</c:v>
                </c:pt>
                <c:pt idx="494">
                  <c:v>813.16160427880777</c:v>
                </c:pt>
                <c:pt idx="495">
                  <c:v>814.81115215841214</c:v>
                </c:pt>
                <c:pt idx="496">
                  <c:v>816.45280448155847</c:v>
                </c:pt>
                <c:pt idx="497">
                  <c:v>818.08656084761026</c:v>
                </c:pt>
                <c:pt idx="498">
                  <c:v>819.71242142564972</c:v>
                </c:pt>
                <c:pt idx="499">
                  <c:v>821.33038694877928</c:v>
                </c:pt>
                <c:pt idx="500">
                  <c:v>822.94045870837522</c:v>
                </c:pt>
                <c:pt idx="501">
                  <c:v>824.54263854829651</c:v>
                </c:pt>
                <c:pt idx="502">
                  <c:v>826.13692885905016</c:v>
                </c:pt>
                <c:pt idx="503">
                  <c:v>827.72333257191644</c:v>
                </c:pt>
                <c:pt idx="504">
                  <c:v>829.30185315303686</c:v>
                </c:pt>
                <c:pt idx="505">
                  <c:v>830.87249459746658</c:v>
                </c:pt>
                <c:pt idx="506">
                  <c:v>832.43526142319354</c:v>
                </c:pt>
                <c:pt idx="507">
                  <c:v>833.99015866512775</c:v>
                </c:pt>
                <c:pt idx="508">
                  <c:v>835.53719186906199</c:v>
                </c:pt>
                <c:pt idx="509">
                  <c:v>837.07636708560688</c:v>
                </c:pt>
                <c:pt idx="510">
                  <c:v>838.60769086410221</c:v>
                </c:pt>
                <c:pt idx="511">
                  <c:v>840.13117024650717</c:v>
                </c:pt>
                <c:pt idx="512">
                  <c:v>841.64681276127112</c:v>
                </c:pt>
                <c:pt idx="513">
                  <c:v>843.1546264171875</c:v>
                </c:pt>
                <c:pt idx="514">
                  <c:v>844.6546196972331</c:v>
                </c:pt>
                <c:pt idx="515">
                  <c:v>846.14680155239444</c:v>
                </c:pt>
                <c:pt idx="516">
                  <c:v>847.63118139548305</c:v>
                </c:pt>
                <c:pt idx="517">
                  <c:v>849.10776909494257</c:v>
                </c:pt>
                <c:pt idx="518">
                  <c:v>850.57657496864886</c:v>
                </c:pt>
                <c:pt idx="519">
                  <c:v>852.03760977770526</c:v>
                </c:pt>
                <c:pt idx="520">
                  <c:v>853.49088472023516</c:v>
                </c:pt>
                <c:pt idx="521">
                  <c:v>854.93641142517322</c:v>
                </c:pt>
                <c:pt idx="522">
                  <c:v>856.3742019460575</c:v>
                </c:pt>
                <c:pt idx="523">
                  <c:v>857.80426875482419</c:v>
                </c:pt>
                <c:pt idx="524">
                  <c:v>859.22662473560661</c:v>
                </c:pt>
                <c:pt idx="525">
                  <c:v>860.64128317854022</c:v>
                </c:pt>
                <c:pt idx="526">
                  <c:v>862.04825777357519</c:v>
                </c:pt>
                <c:pt idx="527">
                  <c:v>863.44756260429858</c:v>
                </c:pt>
                <c:pt idx="528">
                  <c:v>864.83921214176701</c:v>
                </c:pt>
                <c:pt idx="529">
                  <c:v>866.22322123835227</c:v>
                </c:pt>
                <c:pt idx="530">
                  <c:v>867.59960512160046</c:v>
                </c:pt>
                <c:pt idx="531">
                  <c:v>868.96837938810722</c:v>
                </c:pt>
                <c:pt idx="532">
                  <c:v>870.32955999740898</c:v>
                </c:pt>
                <c:pt idx="533">
                  <c:v>871.68316326589354</c:v>
                </c:pt>
                <c:pt idx="534">
                  <c:v>873.02920586072969</c:v>
                </c:pt>
                <c:pt idx="535">
                  <c:v>874.36770479381812</c:v>
                </c:pt>
                <c:pt idx="536">
                  <c:v>875.69867741576491</c:v>
                </c:pt>
                <c:pt idx="537">
                  <c:v>877.02214140987815</c:v>
                </c:pt>
                <c:pt idx="538">
                  <c:v>878.33811478618986</c:v>
                </c:pt>
                <c:pt idx="539">
                  <c:v>879.64661587550393</c:v>
                </c:pt>
                <c:pt idx="540">
                  <c:v>880.94766332347103</c:v>
                </c:pt>
                <c:pt idx="541">
                  <c:v>882.241276084692</c:v>
                </c:pt>
                <c:pt idx="542">
                  <c:v>883.52747341685097</c:v>
                </c:pt>
                <c:pt idx="543">
                  <c:v>884.80627487487868</c:v>
                </c:pt>
                <c:pt idx="544">
                  <c:v>886.07770030514746</c:v>
                </c:pt>
                <c:pt idx="545">
                  <c:v>887.3417698396986</c:v>
                </c:pt>
                <c:pt idx="546">
                  <c:v>888.59850389050348</c:v>
                </c:pt>
                <c:pt idx="547">
                  <c:v>889.84792314375909</c:v>
                </c:pt>
                <c:pt idx="548">
                  <c:v>889.84792314375909</c:v>
                </c:pt>
                <c:pt idx="549">
                  <c:v>889.84792314375909</c:v>
                </c:pt>
                <c:pt idx="550">
                  <c:v>889.84792314375909</c:v>
                </c:pt>
                <c:pt idx="551">
                  <c:v>889.84792314375909</c:v>
                </c:pt>
                <c:pt idx="552">
                  <c:v>889.84792314375909</c:v>
                </c:pt>
                <c:pt idx="553">
                  <c:v>889.84792314375909</c:v>
                </c:pt>
                <c:pt idx="554">
                  <c:v>889.84792314375909</c:v>
                </c:pt>
                <c:pt idx="555">
                  <c:v>889.84792314375909</c:v>
                </c:pt>
                <c:pt idx="556">
                  <c:v>889.84792314375909</c:v>
                </c:pt>
                <c:pt idx="557">
                  <c:v>889.84792314375909</c:v>
                </c:pt>
                <c:pt idx="558">
                  <c:v>889.84792314375909</c:v>
                </c:pt>
                <c:pt idx="559">
                  <c:v>889.84792314375909</c:v>
                </c:pt>
                <c:pt idx="560">
                  <c:v>889.84792314375909</c:v>
                </c:pt>
                <c:pt idx="561">
                  <c:v>889.84792314375909</c:v>
                </c:pt>
                <c:pt idx="562">
                  <c:v>889.84792314375909</c:v>
                </c:pt>
                <c:pt idx="563">
                  <c:v>889.84792314375909</c:v>
                </c:pt>
                <c:pt idx="564">
                  <c:v>889.84792314375909</c:v>
                </c:pt>
                <c:pt idx="565">
                  <c:v>889.84792314375909</c:v>
                </c:pt>
                <c:pt idx="566">
                  <c:v>889.84792314375909</c:v>
                </c:pt>
                <c:pt idx="567">
                  <c:v>889.84792314375909</c:v>
                </c:pt>
                <c:pt idx="568">
                  <c:v>889.84792314375909</c:v>
                </c:pt>
                <c:pt idx="569">
                  <c:v>889.84792314375909</c:v>
                </c:pt>
                <c:pt idx="570">
                  <c:v>889.84792314375909</c:v>
                </c:pt>
                <c:pt idx="571">
                  <c:v>889.84792314375909</c:v>
                </c:pt>
                <c:pt idx="572">
                  <c:v>889.84792314375909</c:v>
                </c:pt>
                <c:pt idx="573">
                  <c:v>889.84792314375909</c:v>
                </c:pt>
                <c:pt idx="574">
                  <c:v>889.84792314375909</c:v>
                </c:pt>
                <c:pt idx="575">
                  <c:v>889.84792314375909</c:v>
                </c:pt>
                <c:pt idx="576">
                  <c:v>889.84792314375909</c:v>
                </c:pt>
                <c:pt idx="577">
                  <c:v>889.84792314375909</c:v>
                </c:pt>
                <c:pt idx="578">
                  <c:v>889.84792314375909</c:v>
                </c:pt>
                <c:pt idx="579">
                  <c:v>889.84792314375909</c:v>
                </c:pt>
                <c:pt idx="580">
                  <c:v>889.84792314375909</c:v>
                </c:pt>
                <c:pt idx="581">
                  <c:v>889.84792314375909</c:v>
                </c:pt>
                <c:pt idx="582">
                  <c:v>889.84792314375909</c:v>
                </c:pt>
                <c:pt idx="583">
                  <c:v>889.84792314375909</c:v>
                </c:pt>
                <c:pt idx="584">
                  <c:v>889.84792314375909</c:v>
                </c:pt>
                <c:pt idx="585">
                  <c:v>889.84792314375909</c:v>
                </c:pt>
                <c:pt idx="586">
                  <c:v>889.84792314375909</c:v>
                </c:pt>
                <c:pt idx="587">
                  <c:v>889.84792314375909</c:v>
                </c:pt>
                <c:pt idx="588">
                  <c:v>889.84792314375909</c:v>
                </c:pt>
                <c:pt idx="589">
                  <c:v>889.84792314375909</c:v>
                </c:pt>
                <c:pt idx="590">
                  <c:v>889.84792314375909</c:v>
                </c:pt>
                <c:pt idx="591">
                  <c:v>889.84792314375909</c:v>
                </c:pt>
                <c:pt idx="592">
                  <c:v>889.84792314375909</c:v>
                </c:pt>
                <c:pt idx="593">
                  <c:v>889.84792314375909</c:v>
                </c:pt>
                <c:pt idx="594">
                  <c:v>889.84792314375909</c:v>
                </c:pt>
                <c:pt idx="595">
                  <c:v>889.84792314375909</c:v>
                </c:pt>
                <c:pt idx="596">
                  <c:v>889.84792314375909</c:v>
                </c:pt>
                <c:pt idx="597">
                  <c:v>889.84792314375909</c:v>
                </c:pt>
                <c:pt idx="598">
                  <c:v>889.84792314375909</c:v>
                </c:pt>
                <c:pt idx="599">
                  <c:v>889.84792314375909</c:v>
                </c:pt>
                <c:pt idx="600">
                  <c:v>889.84792314375909</c:v>
                </c:pt>
                <c:pt idx="601">
                  <c:v>889.84792314375909</c:v>
                </c:pt>
                <c:pt idx="602">
                  <c:v>889.84792314375909</c:v>
                </c:pt>
                <c:pt idx="603">
                  <c:v>889.84792314375909</c:v>
                </c:pt>
                <c:pt idx="604">
                  <c:v>889.84792314375909</c:v>
                </c:pt>
                <c:pt idx="605">
                  <c:v>889.84792314375909</c:v>
                </c:pt>
                <c:pt idx="606">
                  <c:v>889.84792314375909</c:v>
                </c:pt>
                <c:pt idx="607">
                  <c:v>889.84792314375909</c:v>
                </c:pt>
                <c:pt idx="608">
                  <c:v>889.84792314375909</c:v>
                </c:pt>
                <c:pt idx="609">
                  <c:v>889.84792314375909</c:v>
                </c:pt>
                <c:pt idx="610">
                  <c:v>889.84792314375909</c:v>
                </c:pt>
                <c:pt idx="611">
                  <c:v>889.84792314375909</c:v>
                </c:pt>
                <c:pt idx="612">
                  <c:v>889.84792314375909</c:v>
                </c:pt>
                <c:pt idx="613">
                  <c:v>889.84792314375909</c:v>
                </c:pt>
                <c:pt idx="614">
                  <c:v>889.84792314375909</c:v>
                </c:pt>
                <c:pt idx="615">
                  <c:v>889.84792314375909</c:v>
                </c:pt>
                <c:pt idx="616">
                  <c:v>889.84792314375909</c:v>
                </c:pt>
                <c:pt idx="617">
                  <c:v>889.84792314375909</c:v>
                </c:pt>
                <c:pt idx="618">
                  <c:v>889.84792314375909</c:v>
                </c:pt>
                <c:pt idx="619">
                  <c:v>889.84792314375909</c:v>
                </c:pt>
                <c:pt idx="620">
                  <c:v>889.84792314375909</c:v>
                </c:pt>
                <c:pt idx="621">
                  <c:v>889.84792314375909</c:v>
                </c:pt>
                <c:pt idx="622">
                  <c:v>889.84792314375909</c:v>
                </c:pt>
                <c:pt idx="623">
                  <c:v>889.84792314375909</c:v>
                </c:pt>
                <c:pt idx="624">
                  <c:v>889.84792314375909</c:v>
                </c:pt>
                <c:pt idx="625">
                  <c:v>889.84792314375909</c:v>
                </c:pt>
                <c:pt idx="626">
                  <c:v>889.84792314375909</c:v>
                </c:pt>
                <c:pt idx="627">
                  <c:v>889.84792314375909</c:v>
                </c:pt>
                <c:pt idx="628">
                  <c:v>889.84792314375909</c:v>
                </c:pt>
                <c:pt idx="629">
                  <c:v>889.84792314375909</c:v>
                </c:pt>
                <c:pt idx="630">
                  <c:v>889.84792314375909</c:v>
                </c:pt>
                <c:pt idx="631">
                  <c:v>889.84792314375909</c:v>
                </c:pt>
                <c:pt idx="632">
                  <c:v>889.84792314375909</c:v>
                </c:pt>
                <c:pt idx="633">
                  <c:v>889.84792314375909</c:v>
                </c:pt>
                <c:pt idx="634">
                  <c:v>889.84792314375909</c:v>
                </c:pt>
                <c:pt idx="635">
                  <c:v>889.84792314375909</c:v>
                </c:pt>
                <c:pt idx="636">
                  <c:v>889.84792314375909</c:v>
                </c:pt>
                <c:pt idx="637">
                  <c:v>889.84792314375909</c:v>
                </c:pt>
                <c:pt idx="638">
                  <c:v>889.84792314375909</c:v>
                </c:pt>
                <c:pt idx="639">
                  <c:v>889.84792314375909</c:v>
                </c:pt>
                <c:pt idx="640">
                  <c:v>889.84792314375909</c:v>
                </c:pt>
                <c:pt idx="641">
                  <c:v>889.84792314375909</c:v>
                </c:pt>
                <c:pt idx="642">
                  <c:v>889.84792314375909</c:v>
                </c:pt>
                <c:pt idx="643">
                  <c:v>889.84792314375909</c:v>
                </c:pt>
                <c:pt idx="644">
                  <c:v>889.84792314375909</c:v>
                </c:pt>
                <c:pt idx="645">
                  <c:v>889.84792314375909</c:v>
                </c:pt>
                <c:pt idx="646">
                  <c:v>889.84792314375909</c:v>
                </c:pt>
                <c:pt idx="647">
                  <c:v>889.84792314375909</c:v>
                </c:pt>
                <c:pt idx="648">
                  <c:v>889.84792314375909</c:v>
                </c:pt>
                <c:pt idx="649">
                  <c:v>889.84792314375909</c:v>
                </c:pt>
                <c:pt idx="650">
                  <c:v>889.84792314375909</c:v>
                </c:pt>
                <c:pt idx="651">
                  <c:v>889.84792314375909</c:v>
                </c:pt>
                <c:pt idx="652">
                  <c:v>889.84792314375909</c:v>
                </c:pt>
                <c:pt idx="653">
                  <c:v>889.84792314375909</c:v>
                </c:pt>
                <c:pt idx="654">
                  <c:v>889.84792314375909</c:v>
                </c:pt>
                <c:pt idx="655">
                  <c:v>889.84792314375909</c:v>
                </c:pt>
                <c:pt idx="656">
                  <c:v>889.84792314375909</c:v>
                </c:pt>
                <c:pt idx="657">
                  <c:v>889.84792314375909</c:v>
                </c:pt>
                <c:pt idx="658">
                  <c:v>889.84792314375909</c:v>
                </c:pt>
                <c:pt idx="659">
                  <c:v>889.84792314375909</c:v>
                </c:pt>
                <c:pt idx="660">
                  <c:v>889.84792314375909</c:v>
                </c:pt>
                <c:pt idx="661">
                  <c:v>889.84792314375909</c:v>
                </c:pt>
                <c:pt idx="662">
                  <c:v>889.84792314375909</c:v>
                </c:pt>
                <c:pt idx="663">
                  <c:v>889.84792314375909</c:v>
                </c:pt>
                <c:pt idx="664">
                  <c:v>889.84792314375909</c:v>
                </c:pt>
                <c:pt idx="665">
                  <c:v>889.84792314375909</c:v>
                </c:pt>
                <c:pt idx="666">
                  <c:v>889.84792314375909</c:v>
                </c:pt>
                <c:pt idx="667">
                  <c:v>889.84792314375909</c:v>
                </c:pt>
                <c:pt idx="668">
                  <c:v>889.84792314375909</c:v>
                </c:pt>
                <c:pt idx="669">
                  <c:v>889.84792314375909</c:v>
                </c:pt>
                <c:pt idx="670">
                  <c:v>889.84792314375909</c:v>
                </c:pt>
                <c:pt idx="671">
                  <c:v>889.84792314375909</c:v>
                </c:pt>
                <c:pt idx="672">
                  <c:v>889.84792314375909</c:v>
                </c:pt>
                <c:pt idx="673">
                  <c:v>889.84792314375909</c:v>
                </c:pt>
                <c:pt idx="674">
                  <c:v>889.84792314375909</c:v>
                </c:pt>
                <c:pt idx="675">
                  <c:v>889.84792314375909</c:v>
                </c:pt>
                <c:pt idx="676">
                  <c:v>889.84792314375909</c:v>
                </c:pt>
                <c:pt idx="677">
                  <c:v>889.84792314375909</c:v>
                </c:pt>
                <c:pt idx="678">
                  <c:v>889.84792314375909</c:v>
                </c:pt>
                <c:pt idx="679">
                  <c:v>889.84792314375909</c:v>
                </c:pt>
                <c:pt idx="680">
                  <c:v>889.84792314375909</c:v>
                </c:pt>
                <c:pt idx="681">
                  <c:v>889.84792314375909</c:v>
                </c:pt>
                <c:pt idx="682">
                  <c:v>889.84792314375909</c:v>
                </c:pt>
                <c:pt idx="683">
                  <c:v>889.84792314375909</c:v>
                </c:pt>
                <c:pt idx="684">
                  <c:v>889.84792314375909</c:v>
                </c:pt>
                <c:pt idx="685">
                  <c:v>889.84792314375909</c:v>
                </c:pt>
                <c:pt idx="686">
                  <c:v>889.84792314375909</c:v>
                </c:pt>
                <c:pt idx="687">
                  <c:v>889.84792314375909</c:v>
                </c:pt>
                <c:pt idx="688">
                  <c:v>889.84792314375909</c:v>
                </c:pt>
                <c:pt idx="689">
                  <c:v>889.84792314375909</c:v>
                </c:pt>
                <c:pt idx="690">
                  <c:v>889.84792314375909</c:v>
                </c:pt>
                <c:pt idx="691">
                  <c:v>889.84792314375909</c:v>
                </c:pt>
                <c:pt idx="692">
                  <c:v>889.84792314375909</c:v>
                </c:pt>
                <c:pt idx="693">
                  <c:v>889.84792314375909</c:v>
                </c:pt>
                <c:pt idx="694">
                  <c:v>889.84792314375909</c:v>
                </c:pt>
                <c:pt idx="695">
                  <c:v>889.84792314375909</c:v>
                </c:pt>
                <c:pt idx="696">
                  <c:v>889.84792314375909</c:v>
                </c:pt>
                <c:pt idx="697">
                  <c:v>889.84792314375909</c:v>
                </c:pt>
                <c:pt idx="698">
                  <c:v>889.84792314375909</c:v>
                </c:pt>
                <c:pt idx="699">
                  <c:v>889.84792314375909</c:v>
                </c:pt>
                <c:pt idx="700">
                  <c:v>889.84792314375909</c:v>
                </c:pt>
                <c:pt idx="701">
                  <c:v>889.84792314375909</c:v>
                </c:pt>
                <c:pt idx="702">
                  <c:v>889.84792314375909</c:v>
                </c:pt>
                <c:pt idx="703">
                  <c:v>889.84792314375909</c:v>
                </c:pt>
                <c:pt idx="704">
                  <c:v>889.84792314375909</c:v>
                </c:pt>
                <c:pt idx="705">
                  <c:v>889.84792314375909</c:v>
                </c:pt>
                <c:pt idx="706">
                  <c:v>889.84792314375909</c:v>
                </c:pt>
                <c:pt idx="707">
                  <c:v>889.84792314375909</c:v>
                </c:pt>
                <c:pt idx="708">
                  <c:v>889.84792314375909</c:v>
                </c:pt>
                <c:pt idx="709">
                  <c:v>889.84792314375909</c:v>
                </c:pt>
                <c:pt idx="710">
                  <c:v>889.84792314375909</c:v>
                </c:pt>
                <c:pt idx="711">
                  <c:v>889.84792314375909</c:v>
                </c:pt>
                <c:pt idx="712">
                  <c:v>889.84792314375909</c:v>
                </c:pt>
                <c:pt idx="713">
                  <c:v>889.84792314375909</c:v>
                </c:pt>
                <c:pt idx="714">
                  <c:v>889.84792314375909</c:v>
                </c:pt>
                <c:pt idx="715">
                  <c:v>889.84792314375909</c:v>
                </c:pt>
                <c:pt idx="716">
                  <c:v>889.84792314375909</c:v>
                </c:pt>
                <c:pt idx="717">
                  <c:v>889.84792314375909</c:v>
                </c:pt>
                <c:pt idx="718">
                  <c:v>889.84792314375909</c:v>
                </c:pt>
                <c:pt idx="719">
                  <c:v>889.84792314375909</c:v>
                </c:pt>
                <c:pt idx="720">
                  <c:v>889.84792314375909</c:v>
                </c:pt>
                <c:pt idx="721">
                  <c:v>889.84792314375909</c:v>
                </c:pt>
                <c:pt idx="722">
                  <c:v>889.84792314375909</c:v>
                </c:pt>
                <c:pt idx="723">
                  <c:v>889.84792314375909</c:v>
                </c:pt>
                <c:pt idx="724">
                  <c:v>889.84792314375909</c:v>
                </c:pt>
                <c:pt idx="725">
                  <c:v>889.84792314375909</c:v>
                </c:pt>
                <c:pt idx="726">
                  <c:v>889.84792314375909</c:v>
                </c:pt>
                <c:pt idx="727">
                  <c:v>889.84792314375909</c:v>
                </c:pt>
                <c:pt idx="728">
                  <c:v>889.84792314375909</c:v>
                </c:pt>
                <c:pt idx="729">
                  <c:v>889.84792314375909</c:v>
                </c:pt>
                <c:pt idx="730">
                  <c:v>889.84792314375909</c:v>
                </c:pt>
                <c:pt idx="731">
                  <c:v>889.84792314375909</c:v>
                </c:pt>
                <c:pt idx="732">
                  <c:v>889.84792314375909</c:v>
                </c:pt>
                <c:pt idx="733">
                  <c:v>889.84792314375909</c:v>
                </c:pt>
                <c:pt idx="734">
                  <c:v>889.84792314375909</c:v>
                </c:pt>
                <c:pt idx="735">
                  <c:v>889.84792314375909</c:v>
                </c:pt>
                <c:pt idx="736">
                  <c:v>889.84792314375909</c:v>
                </c:pt>
                <c:pt idx="737">
                  <c:v>889.84792314375909</c:v>
                </c:pt>
                <c:pt idx="738">
                  <c:v>889.84792314375909</c:v>
                </c:pt>
                <c:pt idx="739">
                  <c:v>889.84792314375909</c:v>
                </c:pt>
                <c:pt idx="740">
                  <c:v>889.84792314375909</c:v>
                </c:pt>
                <c:pt idx="741">
                  <c:v>889.84792314375909</c:v>
                </c:pt>
                <c:pt idx="742">
                  <c:v>889.84792314375909</c:v>
                </c:pt>
                <c:pt idx="743">
                  <c:v>889.84792314375909</c:v>
                </c:pt>
                <c:pt idx="744">
                  <c:v>889.84792314375909</c:v>
                </c:pt>
                <c:pt idx="745">
                  <c:v>889.84792314375909</c:v>
                </c:pt>
                <c:pt idx="746">
                  <c:v>889.84792314375909</c:v>
                </c:pt>
                <c:pt idx="747">
                  <c:v>889.84792314375909</c:v>
                </c:pt>
                <c:pt idx="748">
                  <c:v>889.84792314375909</c:v>
                </c:pt>
                <c:pt idx="749">
                  <c:v>889.84792314375909</c:v>
                </c:pt>
                <c:pt idx="750">
                  <c:v>889.84792314375909</c:v>
                </c:pt>
                <c:pt idx="751">
                  <c:v>889.84792314375909</c:v>
                </c:pt>
                <c:pt idx="752">
                  <c:v>889.84792314375909</c:v>
                </c:pt>
                <c:pt idx="753">
                  <c:v>889.84792314375909</c:v>
                </c:pt>
                <c:pt idx="754">
                  <c:v>889.84792314375909</c:v>
                </c:pt>
                <c:pt idx="755">
                  <c:v>889.84792314375909</c:v>
                </c:pt>
                <c:pt idx="756">
                  <c:v>889.84792314375909</c:v>
                </c:pt>
                <c:pt idx="757">
                  <c:v>889.84792314375909</c:v>
                </c:pt>
                <c:pt idx="758">
                  <c:v>889.84792314375909</c:v>
                </c:pt>
                <c:pt idx="759">
                  <c:v>889.84792314375909</c:v>
                </c:pt>
                <c:pt idx="760">
                  <c:v>889.84792314375909</c:v>
                </c:pt>
                <c:pt idx="761">
                  <c:v>889.84792314375909</c:v>
                </c:pt>
                <c:pt idx="762">
                  <c:v>889.84792314375909</c:v>
                </c:pt>
                <c:pt idx="763">
                  <c:v>889.84792314375909</c:v>
                </c:pt>
                <c:pt idx="764">
                  <c:v>889.84792314375909</c:v>
                </c:pt>
                <c:pt idx="765">
                  <c:v>889.84792314375909</c:v>
                </c:pt>
                <c:pt idx="766">
                  <c:v>889.84792314375909</c:v>
                </c:pt>
                <c:pt idx="767">
                  <c:v>889.84792314375909</c:v>
                </c:pt>
                <c:pt idx="768">
                  <c:v>889.84792314375909</c:v>
                </c:pt>
                <c:pt idx="769">
                  <c:v>889.84792314375909</c:v>
                </c:pt>
                <c:pt idx="770">
                  <c:v>889.84792314375909</c:v>
                </c:pt>
                <c:pt idx="771">
                  <c:v>889.84792314375909</c:v>
                </c:pt>
                <c:pt idx="772">
                  <c:v>889.84792314375909</c:v>
                </c:pt>
                <c:pt idx="773">
                  <c:v>889.84792314375909</c:v>
                </c:pt>
                <c:pt idx="774">
                  <c:v>889.84792314375909</c:v>
                </c:pt>
                <c:pt idx="775">
                  <c:v>889.84792314375909</c:v>
                </c:pt>
                <c:pt idx="776">
                  <c:v>889.84792314375909</c:v>
                </c:pt>
                <c:pt idx="777">
                  <c:v>889.84792314375909</c:v>
                </c:pt>
                <c:pt idx="778">
                  <c:v>889.84792314375909</c:v>
                </c:pt>
                <c:pt idx="779">
                  <c:v>889.84792314375909</c:v>
                </c:pt>
                <c:pt idx="780">
                  <c:v>889.84792314375909</c:v>
                </c:pt>
                <c:pt idx="781">
                  <c:v>889.84792314375909</c:v>
                </c:pt>
                <c:pt idx="782">
                  <c:v>889.84792314375909</c:v>
                </c:pt>
                <c:pt idx="783">
                  <c:v>889.84792314375909</c:v>
                </c:pt>
                <c:pt idx="784">
                  <c:v>889.84792314375909</c:v>
                </c:pt>
                <c:pt idx="785">
                  <c:v>889.84792314375909</c:v>
                </c:pt>
                <c:pt idx="786">
                  <c:v>889.84792314375909</c:v>
                </c:pt>
                <c:pt idx="787">
                  <c:v>889.84792314375909</c:v>
                </c:pt>
                <c:pt idx="788">
                  <c:v>889.84792314375909</c:v>
                </c:pt>
                <c:pt idx="789">
                  <c:v>889.84792314375909</c:v>
                </c:pt>
                <c:pt idx="790">
                  <c:v>889.84792314375909</c:v>
                </c:pt>
                <c:pt idx="791">
                  <c:v>889.84792314375909</c:v>
                </c:pt>
                <c:pt idx="792">
                  <c:v>889.84792314375909</c:v>
                </c:pt>
                <c:pt idx="793">
                  <c:v>889.84792314375909</c:v>
                </c:pt>
                <c:pt idx="794">
                  <c:v>889.84792314375909</c:v>
                </c:pt>
                <c:pt idx="795">
                  <c:v>889.84792314375909</c:v>
                </c:pt>
                <c:pt idx="796">
                  <c:v>889.84792314375909</c:v>
                </c:pt>
                <c:pt idx="797">
                  <c:v>889.84792314375909</c:v>
                </c:pt>
                <c:pt idx="798">
                  <c:v>889.84792314375909</c:v>
                </c:pt>
                <c:pt idx="799">
                  <c:v>889.84792314375909</c:v>
                </c:pt>
                <c:pt idx="800">
                  <c:v>889.84792314375909</c:v>
                </c:pt>
                <c:pt idx="801">
                  <c:v>889.84792314375909</c:v>
                </c:pt>
                <c:pt idx="802">
                  <c:v>889.84792314375909</c:v>
                </c:pt>
                <c:pt idx="803">
                  <c:v>889.84792314375909</c:v>
                </c:pt>
                <c:pt idx="804">
                  <c:v>889.84792314375909</c:v>
                </c:pt>
                <c:pt idx="805">
                  <c:v>889.84792314375909</c:v>
                </c:pt>
                <c:pt idx="806">
                  <c:v>889.84792314375909</c:v>
                </c:pt>
                <c:pt idx="807">
                  <c:v>889.84792314375909</c:v>
                </c:pt>
                <c:pt idx="808">
                  <c:v>889.84792314375909</c:v>
                </c:pt>
                <c:pt idx="809">
                  <c:v>889.84792314375909</c:v>
                </c:pt>
                <c:pt idx="810">
                  <c:v>889.84792314375909</c:v>
                </c:pt>
                <c:pt idx="811">
                  <c:v>889.84792314375909</c:v>
                </c:pt>
                <c:pt idx="812">
                  <c:v>889.84792314375909</c:v>
                </c:pt>
                <c:pt idx="813">
                  <c:v>889.84792314375909</c:v>
                </c:pt>
                <c:pt idx="814">
                  <c:v>889.84792314375909</c:v>
                </c:pt>
                <c:pt idx="815">
                  <c:v>889.84792314375909</c:v>
                </c:pt>
                <c:pt idx="816">
                  <c:v>889.84792314375909</c:v>
                </c:pt>
                <c:pt idx="817">
                  <c:v>889.84792314375909</c:v>
                </c:pt>
                <c:pt idx="818">
                  <c:v>889.84792314375909</c:v>
                </c:pt>
                <c:pt idx="819">
                  <c:v>889.84792314375909</c:v>
                </c:pt>
                <c:pt idx="820">
                  <c:v>889.84792314375909</c:v>
                </c:pt>
                <c:pt idx="821">
                  <c:v>889.84792314375909</c:v>
                </c:pt>
                <c:pt idx="822">
                  <c:v>889.84792314375909</c:v>
                </c:pt>
                <c:pt idx="823">
                  <c:v>889.84792314375909</c:v>
                </c:pt>
                <c:pt idx="824">
                  <c:v>889.84792314375909</c:v>
                </c:pt>
                <c:pt idx="825">
                  <c:v>889.84792314375909</c:v>
                </c:pt>
                <c:pt idx="826">
                  <c:v>889.84792314375909</c:v>
                </c:pt>
                <c:pt idx="827">
                  <c:v>889.84792314375909</c:v>
                </c:pt>
                <c:pt idx="828">
                  <c:v>889.84792314375909</c:v>
                </c:pt>
                <c:pt idx="829">
                  <c:v>889.84792314375909</c:v>
                </c:pt>
                <c:pt idx="830">
                  <c:v>889.84792314375909</c:v>
                </c:pt>
                <c:pt idx="831">
                  <c:v>889.84792314375909</c:v>
                </c:pt>
                <c:pt idx="832">
                  <c:v>889.84792314375909</c:v>
                </c:pt>
                <c:pt idx="833">
                  <c:v>889.84792314375909</c:v>
                </c:pt>
                <c:pt idx="834">
                  <c:v>889.84792314375909</c:v>
                </c:pt>
                <c:pt idx="835">
                  <c:v>889.84792314375909</c:v>
                </c:pt>
                <c:pt idx="836">
                  <c:v>889.84792314375909</c:v>
                </c:pt>
                <c:pt idx="837">
                  <c:v>889.84792314375909</c:v>
                </c:pt>
                <c:pt idx="838">
                  <c:v>889.84792314375909</c:v>
                </c:pt>
                <c:pt idx="839">
                  <c:v>889.84792314375909</c:v>
                </c:pt>
                <c:pt idx="840">
                  <c:v>889.84792314375909</c:v>
                </c:pt>
                <c:pt idx="841">
                  <c:v>889.84792314375909</c:v>
                </c:pt>
                <c:pt idx="842">
                  <c:v>889.84792314375909</c:v>
                </c:pt>
                <c:pt idx="843">
                  <c:v>889.84792314375909</c:v>
                </c:pt>
                <c:pt idx="844">
                  <c:v>889.84792314375909</c:v>
                </c:pt>
                <c:pt idx="845">
                  <c:v>889.84792314375909</c:v>
                </c:pt>
                <c:pt idx="846">
                  <c:v>889.84792314375909</c:v>
                </c:pt>
                <c:pt idx="847">
                  <c:v>889.84792314375909</c:v>
                </c:pt>
                <c:pt idx="848">
                  <c:v>889.84792314375909</c:v>
                </c:pt>
                <c:pt idx="849">
                  <c:v>889.84792314375909</c:v>
                </c:pt>
                <c:pt idx="850">
                  <c:v>889.84792314375909</c:v>
                </c:pt>
                <c:pt idx="851">
                  <c:v>889.84792314375909</c:v>
                </c:pt>
                <c:pt idx="852">
                  <c:v>889.84792314375909</c:v>
                </c:pt>
                <c:pt idx="853">
                  <c:v>889.84792314375909</c:v>
                </c:pt>
                <c:pt idx="854">
                  <c:v>889.84792314375909</c:v>
                </c:pt>
                <c:pt idx="855">
                  <c:v>889.84792314375909</c:v>
                </c:pt>
                <c:pt idx="856">
                  <c:v>889.84792314375909</c:v>
                </c:pt>
                <c:pt idx="857">
                  <c:v>889.84792314375909</c:v>
                </c:pt>
                <c:pt idx="858">
                  <c:v>889.84792314375909</c:v>
                </c:pt>
                <c:pt idx="859">
                  <c:v>889.84792314375909</c:v>
                </c:pt>
                <c:pt idx="860">
                  <c:v>889.84792314375909</c:v>
                </c:pt>
                <c:pt idx="861">
                  <c:v>889.84792314375909</c:v>
                </c:pt>
                <c:pt idx="862">
                  <c:v>889.84792314375909</c:v>
                </c:pt>
                <c:pt idx="863">
                  <c:v>889.84792314375909</c:v>
                </c:pt>
                <c:pt idx="864">
                  <c:v>889.84792314375909</c:v>
                </c:pt>
                <c:pt idx="865">
                  <c:v>889.84792314375909</c:v>
                </c:pt>
                <c:pt idx="866">
                  <c:v>889.84792314375909</c:v>
                </c:pt>
                <c:pt idx="867">
                  <c:v>889.84792314375909</c:v>
                </c:pt>
                <c:pt idx="868">
                  <c:v>889.84792314375909</c:v>
                </c:pt>
                <c:pt idx="869">
                  <c:v>889.84792314375909</c:v>
                </c:pt>
                <c:pt idx="870">
                  <c:v>889.84792314375909</c:v>
                </c:pt>
                <c:pt idx="871">
                  <c:v>889.84792314375909</c:v>
                </c:pt>
                <c:pt idx="872">
                  <c:v>889.84792314375909</c:v>
                </c:pt>
                <c:pt idx="873">
                  <c:v>889.84792314375909</c:v>
                </c:pt>
                <c:pt idx="874">
                  <c:v>889.84792314375909</c:v>
                </c:pt>
                <c:pt idx="875">
                  <c:v>889.84792314375909</c:v>
                </c:pt>
                <c:pt idx="876">
                  <c:v>889.84792314375909</c:v>
                </c:pt>
                <c:pt idx="877">
                  <c:v>889.84792314375909</c:v>
                </c:pt>
                <c:pt idx="878">
                  <c:v>889.84792314375909</c:v>
                </c:pt>
                <c:pt idx="879">
                  <c:v>889.84792314375909</c:v>
                </c:pt>
                <c:pt idx="880">
                  <c:v>889.84792314375909</c:v>
                </c:pt>
                <c:pt idx="881">
                  <c:v>889.84792314375909</c:v>
                </c:pt>
                <c:pt idx="882">
                  <c:v>889.84792314375909</c:v>
                </c:pt>
                <c:pt idx="883">
                  <c:v>889.84792314375909</c:v>
                </c:pt>
                <c:pt idx="884">
                  <c:v>889.84792314375909</c:v>
                </c:pt>
                <c:pt idx="885">
                  <c:v>889.84792314375909</c:v>
                </c:pt>
                <c:pt idx="886">
                  <c:v>889.84792314375909</c:v>
                </c:pt>
                <c:pt idx="887">
                  <c:v>889.84792314375909</c:v>
                </c:pt>
                <c:pt idx="888">
                  <c:v>889.84792314375909</c:v>
                </c:pt>
                <c:pt idx="889">
                  <c:v>889.84792314375909</c:v>
                </c:pt>
                <c:pt idx="890">
                  <c:v>889.84792314375909</c:v>
                </c:pt>
                <c:pt idx="891">
                  <c:v>889.84792314375909</c:v>
                </c:pt>
                <c:pt idx="892">
                  <c:v>889.84792314375909</c:v>
                </c:pt>
                <c:pt idx="893">
                  <c:v>889.84792314375909</c:v>
                </c:pt>
                <c:pt idx="894">
                  <c:v>889.84792314375909</c:v>
                </c:pt>
                <c:pt idx="895">
                  <c:v>889.84792314375909</c:v>
                </c:pt>
                <c:pt idx="896">
                  <c:v>889.84792314375909</c:v>
                </c:pt>
                <c:pt idx="897">
                  <c:v>889.84792314375909</c:v>
                </c:pt>
                <c:pt idx="898">
                  <c:v>889.84792314375909</c:v>
                </c:pt>
                <c:pt idx="899">
                  <c:v>889.84792314375909</c:v>
                </c:pt>
                <c:pt idx="900">
                  <c:v>889.84792314375909</c:v>
                </c:pt>
                <c:pt idx="901">
                  <c:v>889.84792314375909</c:v>
                </c:pt>
                <c:pt idx="902">
                  <c:v>889.84792314375909</c:v>
                </c:pt>
                <c:pt idx="903">
                  <c:v>889.84792314375909</c:v>
                </c:pt>
                <c:pt idx="904">
                  <c:v>889.84792314375909</c:v>
                </c:pt>
                <c:pt idx="905">
                  <c:v>889.84792314375909</c:v>
                </c:pt>
                <c:pt idx="906">
                  <c:v>889.84792314375909</c:v>
                </c:pt>
                <c:pt idx="907">
                  <c:v>889.84792314375909</c:v>
                </c:pt>
                <c:pt idx="908">
                  <c:v>889.84792314375909</c:v>
                </c:pt>
                <c:pt idx="909">
                  <c:v>889.84792314375909</c:v>
                </c:pt>
                <c:pt idx="910">
                  <c:v>889.84792314375909</c:v>
                </c:pt>
                <c:pt idx="911">
                  <c:v>889.84792314375909</c:v>
                </c:pt>
                <c:pt idx="912">
                  <c:v>889.84792314375909</c:v>
                </c:pt>
                <c:pt idx="913">
                  <c:v>889.84792314375909</c:v>
                </c:pt>
                <c:pt idx="914">
                  <c:v>889.84792314375909</c:v>
                </c:pt>
                <c:pt idx="915">
                  <c:v>889.84792314375909</c:v>
                </c:pt>
                <c:pt idx="916">
                  <c:v>889.84792314375909</c:v>
                </c:pt>
                <c:pt idx="917">
                  <c:v>889.84792314375909</c:v>
                </c:pt>
                <c:pt idx="918">
                  <c:v>889.84792314375909</c:v>
                </c:pt>
                <c:pt idx="919">
                  <c:v>889.84792314375909</c:v>
                </c:pt>
                <c:pt idx="920">
                  <c:v>889.84792314375909</c:v>
                </c:pt>
                <c:pt idx="921">
                  <c:v>889.84792314375909</c:v>
                </c:pt>
                <c:pt idx="922">
                  <c:v>889.84792314375909</c:v>
                </c:pt>
                <c:pt idx="923">
                  <c:v>889.84792314375909</c:v>
                </c:pt>
                <c:pt idx="924">
                  <c:v>889.84792314375909</c:v>
                </c:pt>
                <c:pt idx="925">
                  <c:v>889.84792314375909</c:v>
                </c:pt>
                <c:pt idx="926">
                  <c:v>889.84792314375909</c:v>
                </c:pt>
                <c:pt idx="927">
                  <c:v>889.84792314375909</c:v>
                </c:pt>
                <c:pt idx="928">
                  <c:v>889.84792314375909</c:v>
                </c:pt>
                <c:pt idx="929">
                  <c:v>889.84792314375909</c:v>
                </c:pt>
                <c:pt idx="930">
                  <c:v>889.84792314375909</c:v>
                </c:pt>
                <c:pt idx="931">
                  <c:v>889.84792314375909</c:v>
                </c:pt>
                <c:pt idx="932">
                  <c:v>889.84792314375909</c:v>
                </c:pt>
                <c:pt idx="933">
                  <c:v>889.84792314375909</c:v>
                </c:pt>
                <c:pt idx="934">
                  <c:v>889.84792314375909</c:v>
                </c:pt>
                <c:pt idx="935">
                  <c:v>889.84792314375909</c:v>
                </c:pt>
                <c:pt idx="936">
                  <c:v>889.84792314375909</c:v>
                </c:pt>
                <c:pt idx="937">
                  <c:v>889.84792314375909</c:v>
                </c:pt>
                <c:pt idx="938">
                  <c:v>889.84792314375909</c:v>
                </c:pt>
                <c:pt idx="939">
                  <c:v>889.84792314375909</c:v>
                </c:pt>
                <c:pt idx="940">
                  <c:v>889.84792314375909</c:v>
                </c:pt>
                <c:pt idx="941">
                  <c:v>889.84792314375909</c:v>
                </c:pt>
                <c:pt idx="942">
                  <c:v>889.84792314375909</c:v>
                </c:pt>
                <c:pt idx="943">
                  <c:v>889.84792314375909</c:v>
                </c:pt>
                <c:pt idx="944">
                  <c:v>889.84792314375909</c:v>
                </c:pt>
                <c:pt idx="945">
                  <c:v>889.84792314375909</c:v>
                </c:pt>
                <c:pt idx="946">
                  <c:v>889.84792314375909</c:v>
                </c:pt>
                <c:pt idx="947">
                  <c:v>889.84792314375909</c:v>
                </c:pt>
                <c:pt idx="948">
                  <c:v>889.84792314375909</c:v>
                </c:pt>
                <c:pt idx="949">
                  <c:v>889.84792314375909</c:v>
                </c:pt>
                <c:pt idx="950">
                  <c:v>889.84792314375909</c:v>
                </c:pt>
                <c:pt idx="951">
                  <c:v>889.84792314375909</c:v>
                </c:pt>
                <c:pt idx="952">
                  <c:v>889.84792314375909</c:v>
                </c:pt>
                <c:pt idx="953">
                  <c:v>889.84792314375909</c:v>
                </c:pt>
                <c:pt idx="954">
                  <c:v>889.84792314375909</c:v>
                </c:pt>
                <c:pt idx="955">
                  <c:v>889.84792314375909</c:v>
                </c:pt>
                <c:pt idx="956">
                  <c:v>889.84792314375909</c:v>
                </c:pt>
                <c:pt idx="957">
                  <c:v>889.84792314375909</c:v>
                </c:pt>
                <c:pt idx="958">
                  <c:v>889.84792314375909</c:v>
                </c:pt>
                <c:pt idx="959">
                  <c:v>889.84792314375909</c:v>
                </c:pt>
                <c:pt idx="960">
                  <c:v>889.84792314375909</c:v>
                </c:pt>
                <c:pt idx="961">
                  <c:v>889.84792314375909</c:v>
                </c:pt>
                <c:pt idx="962">
                  <c:v>889.84792314375909</c:v>
                </c:pt>
                <c:pt idx="963">
                  <c:v>889.84792314375909</c:v>
                </c:pt>
                <c:pt idx="964">
                  <c:v>889.84792314375909</c:v>
                </c:pt>
                <c:pt idx="965">
                  <c:v>889.84792314375909</c:v>
                </c:pt>
                <c:pt idx="966">
                  <c:v>889.84792314375909</c:v>
                </c:pt>
                <c:pt idx="967">
                  <c:v>889.84792314375909</c:v>
                </c:pt>
                <c:pt idx="968">
                  <c:v>889.84792314375909</c:v>
                </c:pt>
                <c:pt idx="969">
                  <c:v>889.84792314375909</c:v>
                </c:pt>
                <c:pt idx="970">
                  <c:v>889.84792314375909</c:v>
                </c:pt>
                <c:pt idx="971">
                  <c:v>889.84792314375909</c:v>
                </c:pt>
                <c:pt idx="972">
                  <c:v>889.84792314375909</c:v>
                </c:pt>
                <c:pt idx="973">
                  <c:v>889.84792314375909</c:v>
                </c:pt>
                <c:pt idx="974">
                  <c:v>889.84792314375909</c:v>
                </c:pt>
                <c:pt idx="975">
                  <c:v>889.84792314375909</c:v>
                </c:pt>
                <c:pt idx="976">
                  <c:v>889.84792314375909</c:v>
                </c:pt>
                <c:pt idx="977">
                  <c:v>889.84792314375909</c:v>
                </c:pt>
                <c:pt idx="978">
                  <c:v>889.84792314375909</c:v>
                </c:pt>
                <c:pt idx="979">
                  <c:v>889.84792314375909</c:v>
                </c:pt>
                <c:pt idx="980">
                  <c:v>889.84792314375909</c:v>
                </c:pt>
                <c:pt idx="981">
                  <c:v>889.84792314375909</c:v>
                </c:pt>
                <c:pt idx="982">
                  <c:v>889.84792314375909</c:v>
                </c:pt>
                <c:pt idx="983">
                  <c:v>889.84792314375909</c:v>
                </c:pt>
                <c:pt idx="984">
                  <c:v>889.84792314375909</c:v>
                </c:pt>
                <c:pt idx="985">
                  <c:v>889.84792314375909</c:v>
                </c:pt>
                <c:pt idx="986">
                  <c:v>889.84792314375909</c:v>
                </c:pt>
                <c:pt idx="987">
                  <c:v>889.84792314375909</c:v>
                </c:pt>
                <c:pt idx="988">
                  <c:v>889.84792314375909</c:v>
                </c:pt>
                <c:pt idx="989">
                  <c:v>889.84792314375909</c:v>
                </c:pt>
                <c:pt idx="990">
                  <c:v>889.84792314375909</c:v>
                </c:pt>
                <c:pt idx="991">
                  <c:v>889.84792314375909</c:v>
                </c:pt>
                <c:pt idx="992">
                  <c:v>889.84792314375909</c:v>
                </c:pt>
                <c:pt idx="993">
                  <c:v>889.84792314375909</c:v>
                </c:pt>
                <c:pt idx="994">
                  <c:v>889.84792314375909</c:v>
                </c:pt>
                <c:pt idx="995">
                  <c:v>889.84792314375909</c:v>
                </c:pt>
                <c:pt idx="996">
                  <c:v>889.84792314375909</c:v>
                </c:pt>
                <c:pt idx="997">
                  <c:v>889.84792314375909</c:v>
                </c:pt>
                <c:pt idx="998">
                  <c:v>889.84792314375909</c:v>
                </c:pt>
                <c:pt idx="999">
                  <c:v>889.84792314375909</c:v>
                </c:pt>
                <c:pt idx="1000">
                  <c:v>889.84792314375909</c:v>
                </c:pt>
              </c:numCache>
            </c:numRef>
          </c:xVal>
          <c:yVal>
            <c:numRef>
              <c:f>Calculs!$K$4:$K$1004</c:f>
              <c:numCache>
                <c:formatCode>0.00</c:formatCode>
                <c:ptCount val="1001"/>
                <c:pt idx="0">
                  <c:v>0</c:v>
                </c:pt>
                <c:pt idx="1">
                  <c:v>1.014835289857519E-3</c:v>
                </c:pt>
                <c:pt idx="2">
                  <c:v>8.2092717621669274E-3</c:v>
                </c:pt>
                <c:pt idx="3">
                  <c:v>2.826280262367881E-2</c:v>
                </c:pt>
                <c:pt idx="4">
                  <c:v>6.3441336380832408E-2</c:v>
                </c:pt>
                <c:pt idx="5">
                  <c:v>0.11321685656357894</c:v>
                </c:pt>
                <c:pt idx="6">
                  <c:v>0.17722168839409749</c:v>
                </c:pt>
                <c:pt idx="7">
                  <c:v>0.25541074679293435</c:v>
                </c:pt>
                <c:pt idx="8">
                  <c:v>0.34790053114657993</c:v>
                </c:pt>
                <c:pt idx="9">
                  <c:v>0.4548076293392046</c:v>
                </c:pt>
                <c:pt idx="10">
                  <c:v>0.5762487157900873</c:v>
                </c:pt>
                <c:pt idx="11">
                  <c:v>0.71232375635665535</c:v>
                </c:pt>
                <c:pt idx="12">
                  <c:v>0.86309916219158467</c:v>
                </c:pt>
                <c:pt idx="13">
                  <c:v>1.0286245053401553</c:v>
                </c:pt>
                <c:pt idx="14">
                  <c:v>1.208949285564338</c:v>
                </c:pt>
                <c:pt idx="15">
                  <c:v>1.4041229287194446</c:v>
                </c:pt>
                <c:pt idx="16">
                  <c:v>1.6141947851243379</c:v>
                </c:pt>
                <c:pt idx="17">
                  <c:v>1.8392141279253065</c:v>
                </c:pt>
                <c:pt idx="18">
                  <c:v>2.0792301514537108</c:v>
                </c:pt>
                <c:pt idx="19">
                  <c:v>2.3342919695775111</c:v>
                </c:pt>
                <c:pt idx="20">
                  <c:v>2.6044486140467877</c:v>
                </c:pt>
                <c:pt idx="21">
                  <c:v>2.8897422865207414</c:v>
                </c:pt>
                <c:pt idx="22">
                  <c:v>3.1902015903762195</c:v>
                </c:pt>
                <c:pt idx="23">
                  <c:v>3.5058482460334504</c:v>
                </c:pt>
                <c:pt idx="24">
                  <c:v>3.836703826804376</c:v>
                </c:pt>
                <c:pt idx="25">
                  <c:v>4.1827897578456144</c:v>
                </c:pt>
                <c:pt idx="26">
                  <c:v>4.5441125127268629</c:v>
                </c:pt>
                <c:pt idx="27">
                  <c:v>4.9206777754406357</c:v>
                </c:pt>
                <c:pt idx="28">
                  <c:v>5.3125052505906112</c:v>
                </c:pt>
                <c:pt idx="29">
                  <c:v>5.7196145188719516</c:v>
                </c:pt>
                <c:pt idx="30">
                  <c:v>6.1420250454300582</c:v>
                </c:pt>
                <c:pt idx="31">
                  <c:v>6.5797561762952155</c:v>
                </c:pt>
                <c:pt idx="32">
                  <c:v>7.0328271350771372</c:v>
                </c:pt>
                <c:pt idx="33">
                  <c:v>7.5012570198865358</c:v>
                </c:pt>
                <c:pt idx="34">
                  <c:v>7.9850648004560352</c:v>
                </c:pt>
                <c:pt idx="35">
                  <c:v>8.4842693154369879</c:v>
                </c:pt>
                <c:pt idx="36">
                  <c:v>8.998889269852226</c:v>
                </c:pt>
                <c:pt idx="37">
                  <c:v>9.5289432326876877</c:v>
                </c:pt>
                <c:pt idx="38">
                  <c:v>10.074449634608213</c:v>
                </c:pt>
                <c:pt idx="39">
                  <c:v>10.63542676578486</c:v>
                </c:pt>
                <c:pt idx="40">
                  <c:v>11.211892773822738</c:v>
                </c:pt>
                <c:pt idx="41">
                  <c:v>11.803860402368862</c:v>
                </c:pt>
                <c:pt idx="42">
                  <c:v>12.411331715763811</c:v>
                </c:pt>
                <c:pt idx="43">
                  <c:v>13.034303336940619</c:v>
                </c:pt>
                <c:pt idx="44">
                  <c:v>13.672771699736666</c:v>
                </c:pt>
                <c:pt idx="45">
                  <c:v>14.326733047819415</c:v>
                </c:pt>
                <c:pt idx="46">
                  <c:v>14.996183433682525</c:v>
                </c:pt>
                <c:pt idx="47">
                  <c:v>15.681118717707127</c:v>
                </c:pt>
                <c:pt idx="48">
                  <c:v>16.381534567283673</c:v>
                </c:pt>
                <c:pt idx="49">
                  <c:v>17.097426455990202</c:v>
                </c:pt>
                <c:pt idx="50">
                  <c:v>17.828789662823397</c:v>
                </c:pt>
                <c:pt idx="51">
                  <c:v>18.575619271479084</c:v>
                </c:pt>
                <c:pt idx="52">
                  <c:v>19.337910169679283</c:v>
                </c:pt>
                <c:pt idx="53">
                  <c:v>20.115657048543085</c:v>
                </c:pt>
                <c:pt idx="54">
                  <c:v>20.908854401999015</c:v>
                </c:pt>
                <c:pt idx="55">
                  <c:v>21.717496526236687</c:v>
                </c:pt>
                <c:pt idx="56">
                  <c:v>22.541577519195783</c:v>
                </c:pt>
                <c:pt idx="57">
                  <c:v>23.381091280090605</c:v>
                </c:pt>
                <c:pt idx="58">
                  <c:v>24.236031508968555</c:v>
                </c:pt>
                <c:pt idx="59">
                  <c:v>25.106391706301096</c:v>
                </c:pt>
                <c:pt idx="60">
                  <c:v>25.992165172605819</c:v>
                </c:pt>
                <c:pt idx="61">
                  <c:v>26.893345008098414</c:v>
                </c:pt>
                <c:pt idx="62">
                  <c:v>27.809924112373409</c:v>
                </c:pt>
                <c:pt idx="63">
                  <c:v>28.741895184112654</c:v>
                </c:pt>
                <c:pt idx="64">
                  <c:v>29.689250720820588</c:v>
                </c:pt>
                <c:pt idx="65">
                  <c:v>30.651983018585437</c:v>
                </c:pt>
                <c:pt idx="66">
                  <c:v>31.630084171865516</c:v>
                </c:pt>
                <c:pt idx="67">
                  <c:v>32.62354607329992</c:v>
                </c:pt>
                <c:pt idx="68">
                  <c:v>33.632360413542884</c:v>
                </c:pt>
                <c:pt idx="69">
                  <c:v>34.656518681121227</c:v>
                </c:pt>
                <c:pt idx="70">
                  <c:v>35.69601216231424</c:v>
                </c:pt>
                <c:pt idx="71">
                  <c:v>36.75083194105548</c:v>
                </c:pt>
                <c:pt idx="72">
                  <c:v>37.82096889885603</c:v>
                </c:pt>
                <c:pt idx="73">
                  <c:v>38.906413714748616</c:v>
                </c:pt>
                <c:pt idx="74">
                  <c:v>40.00715686525227</c:v>
                </c:pt>
                <c:pt idx="75">
                  <c:v>41.12318862435707</c:v>
                </c:pt>
                <c:pt idx="76">
                  <c:v>42.254499063528542</c:v>
                </c:pt>
                <c:pt idx="77">
                  <c:v>43.401078051731403</c:v>
                </c:pt>
                <c:pt idx="78">
                  <c:v>44.562915255472312</c:v>
                </c:pt>
                <c:pt idx="79">
                  <c:v>45.740000138861248</c:v>
                </c:pt>
                <c:pt idx="80">
                  <c:v>46.932321963691273</c:v>
                </c:pt>
                <c:pt idx="81">
                  <c:v>48.139864422620498</c:v>
                </c:pt>
                <c:pt idx="82">
                  <c:v>49.362600260516437</c:v>
                </c:pt>
                <c:pt idx="83">
                  <c:v>50.600496626797494</c:v>
                </c:pt>
                <c:pt idx="84">
                  <c:v>51.853520440092936</c:v>
                </c:pt>
                <c:pt idx="85">
                  <c:v>53.121638389303747</c:v>
                </c:pt>
                <c:pt idx="86">
                  <c:v>54.40481693468324</c:v>
                </c:pt>
                <c:pt idx="87">
                  <c:v>55.703022308937122</c:v>
                </c:pt>
                <c:pt idx="88">
                  <c:v>57.016220518342564</c:v>
                </c:pt>
                <c:pt idx="89">
                  <c:v>58.344377343885952</c:v>
                </c:pt>
                <c:pt idx="90">
                  <c:v>59.687458342418907</c:v>
                </c:pt>
                <c:pt idx="91">
                  <c:v>61.045426473207243</c:v>
                </c:pt>
                <c:pt idx="92">
                  <c:v>62.41823971967262</c:v>
                </c:pt>
                <c:pt idx="93">
                  <c:v>63.805853459542291</c:v>
                </c:pt>
                <c:pt idx="94">
                  <c:v>65.208222840061339</c:v>
                </c:pt>
                <c:pt idx="95">
                  <c:v>66.625302779676446</c:v>
                </c:pt>
                <c:pt idx="96">
                  <c:v>68.05704796973626</c:v>
                </c:pt>
                <c:pt idx="97">
                  <c:v>69.503412876207904</c:v>
                </c:pt>
                <c:pt idx="98">
                  <c:v>70.964351741409232</c:v>
                </c:pt>
                <c:pt idx="99">
                  <c:v>72.439818585756555</c:v>
                </c:pt>
                <c:pt idx="100">
                  <c:v>73.929767209527313</c:v>
                </c:pt>
                <c:pt idx="101">
                  <c:v>75.434150814277572</c:v>
                </c:pt>
                <c:pt idx="102">
                  <c:v>76.952921623574568</c:v>
                </c:pt>
                <c:pt idx="103">
                  <c:v>78.486031264390817</c:v>
                </c:pt>
                <c:pt idx="104">
                  <c:v>80.033431149247576</c:v>
                </c:pt>
                <c:pt idx="105">
                  <c:v>81.595072478120144</c:v>
                </c:pt>
                <c:pt idx="106">
                  <c:v>83.170906240356075</c:v>
                </c:pt>
                <c:pt idx="107">
                  <c:v>84.760883216605734</c:v>
                </c:pt>
                <c:pt idx="108">
                  <c:v>86.364953980764994</c:v>
                </c:pt>
                <c:pt idx="109">
                  <c:v>87.983068901929698</c:v>
                </c:pt>
                <c:pt idx="110">
                  <c:v>89.615178146361458</c:v>
                </c:pt>
                <c:pt idx="111">
                  <c:v>91.261236064969438</c:v>
                </c:pt>
                <c:pt idx="112">
                  <c:v>92.921205588025856</c:v>
                </c:pt>
                <c:pt idx="113">
                  <c:v>94.595053848995107</c:v>
                </c:pt>
                <c:pt idx="114">
                  <c:v>96.282747800752887</c:v>
                </c:pt>
                <c:pt idx="115">
                  <c:v>97.984254216810271</c:v>
                </c:pt>
                <c:pt idx="116">
                  <c:v>99.699539692548342</c:v>
                </c:pt>
                <c:pt idx="117">
                  <c:v>101.42857064646307</c:v>
                </c:pt>
                <c:pt idx="118">
                  <c:v>103.17131332142036</c:v>
                </c:pt>
                <c:pt idx="119">
                  <c:v>104.92773378592094</c:v>
                </c:pt>
                <c:pt idx="120">
                  <c:v>106.69779793537506</c:v>
                </c:pt>
                <c:pt idx="121">
                  <c:v>108.4814642092374</c:v>
                </c:pt>
                <c:pt idx="122">
                  <c:v>110.27867629734055</c:v>
                </c:pt>
                <c:pt idx="123">
                  <c:v>112.08937041547584</c:v>
                </c:pt>
                <c:pt idx="124">
                  <c:v>113.91348259247557</c:v>
                </c:pt>
                <c:pt idx="125">
                  <c:v>115.75094867289528</c:v>
                </c:pt>
                <c:pt idx="126">
                  <c:v>117.60170431970077</c:v>
                </c:pt>
                <c:pt idx="127">
                  <c:v>119.46568501695968</c:v>
                </c:pt>
                <c:pt idx="128">
                  <c:v>121.34282607253705</c:v>
                </c:pt>
                <c:pt idx="129">
                  <c:v>123.2330626207945</c:v>
                </c:pt>
                <c:pt idx="130">
                  <c:v>125.1363296252927</c:v>
                </c:pt>
                <c:pt idx="131">
                  <c:v>127.05255997182877</c:v>
                </c:pt>
                <c:pt idx="132">
                  <c:v>128.98168255907402</c:v>
                </c:pt>
                <c:pt idx="133">
                  <c:v>130.92362420915705</c:v>
                </c:pt>
                <c:pt idx="134">
                  <c:v>132.87831158084617</c:v>
                </c:pt>
                <c:pt idx="135">
                  <c:v>134.84567117265215</c:v>
                </c:pt>
                <c:pt idx="136">
                  <c:v>136.82562932593001</c:v>
                </c:pt>
                <c:pt idx="137">
                  <c:v>138.81811222797924</c:v>
                </c:pt>
                <c:pt idx="138">
                  <c:v>140.82304591514207</c:v>
                </c:pt>
                <c:pt idx="139">
                  <c:v>142.84035627589932</c:v>
                </c:pt>
                <c:pt idx="140">
                  <c:v>144.86996905396333</c:v>
                </c:pt>
                <c:pt idx="141">
                  <c:v>146.91178698708333</c:v>
                </c:pt>
                <c:pt idx="142">
                  <c:v>148.96566692288272</c:v>
                </c:pt>
                <c:pt idx="143">
                  <c:v>151.03144267539574</c:v>
                </c:pt>
                <c:pt idx="144">
                  <c:v>153.10894790750638</c:v>
                </c:pt>
                <c:pt idx="145">
                  <c:v>155.19801613987988</c:v>
                </c:pt>
                <c:pt idx="146">
                  <c:v>157.2984807598383</c:v>
                </c:pt>
                <c:pt idx="147">
                  <c:v>159.41017503017829</c:v>
                </c:pt>
                <c:pt idx="148">
                  <c:v>161.5329320979302</c:v>
                </c:pt>
                <c:pt idx="149">
                  <c:v>163.66658500305633</c:v>
                </c:pt>
                <c:pt idx="150">
                  <c:v>165.81096668708767</c:v>
                </c:pt>
                <c:pt idx="151">
                  <c:v>167.96591000169732</c:v>
                </c:pt>
                <c:pt idx="152">
                  <c:v>170.13124771720939</c:v>
                </c:pt>
                <c:pt idx="153">
                  <c:v>172.30681253104228</c:v>
                </c:pt>
                <c:pt idx="154">
                  <c:v>174.49243707608477</c:v>
                </c:pt>
                <c:pt idx="155">
                  <c:v>176.68795392900398</c:v>
                </c:pt>
                <c:pt idx="156">
                  <c:v>178.89308714213681</c:v>
                </c:pt>
                <c:pt idx="157">
                  <c:v>181.10734374515161</c:v>
                </c:pt>
                <c:pt idx="158">
                  <c:v>183.33012231697492</c:v>
                </c:pt>
                <c:pt idx="159">
                  <c:v>185.56082161710287</c:v>
                </c:pt>
                <c:pt idx="160">
                  <c:v>187.79884065168349</c:v>
                </c:pt>
                <c:pt idx="161">
                  <c:v>190.04344076972521</c:v>
                </c:pt>
                <c:pt idx="162">
                  <c:v>192.29360783695529</c:v>
                </c:pt>
                <c:pt idx="163">
                  <c:v>194.54820373809588</c:v>
                </c:pt>
                <c:pt idx="164">
                  <c:v>196.80611785876218</c:v>
                </c:pt>
                <c:pt idx="165">
                  <c:v>199.06638591248998</c:v>
                </c:pt>
                <c:pt idx="166">
                  <c:v>201.32830857749934</c:v>
                </c:pt>
                <c:pt idx="167">
                  <c:v>203.59121916885027</c:v>
                </c:pt>
                <c:pt idx="168">
                  <c:v>205.85432411080905</c:v>
                </c:pt>
                <c:pt idx="169">
                  <c:v>208.11659647290509</c:v>
                </c:pt>
                <c:pt idx="170">
                  <c:v>210.37674232348601</c:v>
                </c:pt>
                <c:pt idx="171">
                  <c:v>212.63385665462681</c:v>
                </c:pt>
                <c:pt idx="172">
                  <c:v>214.88771531735478</c:v>
                </c:pt>
                <c:pt idx="173">
                  <c:v>217.13832534242837</c:v>
                </c:pt>
                <c:pt idx="174">
                  <c:v>219.38569373336375</c:v>
                </c:pt>
                <c:pt idx="175">
                  <c:v>221.62982746657516</c:v>
                </c:pt>
                <c:pt idx="176">
                  <c:v>223.8707334915145</c:v>
                </c:pt>
                <c:pt idx="177">
                  <c:v>226.10841873080986</c:v>
                </c:pt>
                <c:pt idx="178">
                  <c:v>228.34289008040329</c:v>
                </c:pt>
                <c:pt idx="179">
                  <c:v>230.57415440968754</c:v>
                </c:pt>
                <c:pt idx="180">
                  <c:v>232.80221856164206</c:v>
                </c:pt>
                <c:pt idx="181">
                  <c:v>235.02708935296801</c:v>
                </c:pt>
                <c:pt idx="182">
                  <c:v>237.24877357422241</c:v>
                </c:pt>
                <c:pt idx="183">
                  <c:v>239.46727798995155</c:v>
                </c:pt>
                <c:pt idx="184">
                  <c:v>241.68260933882334</c:v>
                </c:pt>
                <c:pt idx="185">
                  <c:v>243.89477433375896</c:v>
                </c:pt>
                <c:pt idx="186">
                  <c:v>246.10377966206366</c:v>
                </c:pt>
                <c:pt idx="187">
                  <c:v>248.30963198555665</c:v>
                </c:pt>
                <c:pt idx="188">
                  <c:v>250.51233794070015</c:v>
                </c:pt>
                <c:pt idx="189">
                  <c:v>252.7119041387277</c:v>
                </c:pt>
                <c:pt idx="190">
                  <c:v>254.90833716577166</c:v>
                </c:pt>
                <c:pt idx="191">
                  <c:v>257.10164358298971</c:v>
                </c:pt>
                <c:pt idx="192">
                  <c:v>259.29182992669087</c:v>
                </c:pt>
                <c:pt idx="193">
                  <c:v>261.47890270846034</c:v>
                </c:pt>
                <c:pt idx="194">
                  <c:v>263.66286841528387</c:v>
                </c:pt>
                <c:pt idx="195">
                  <c:v>265.8437335096711</c:v>
                </c:pt>
                <c:pt idx="196">
                  <c:v>268.02150442977836</c:v>
                </c:pt>
                <c:pt idx="197">
                  <c:v>270.19618758953044</c:v>
                </c:pt>
                <c:pt idx="198">
                  <c:v>272.3677893787418</c:v>
                </c:pt>
                <c:pt idx="199">
                  <c:v>274.5363161632369</c:v>
                </c:pt>
                <c:pt idx="200">
                  <c:v>276.7017742849697</c:v>
                </c:pt>
                <c:pt idx="201">
                  <c:v>298.18806844452359</c:v>
                </c:pt>
                <c:pt idx="202">
                  <c:v>319.37155913113872</c:v>
                </c:pt>
                <c:pt idx="203">
                  <c:v>340.25836315811733</c:v>
                </c:pt>
                <c:pt idx="204">
                  <c:v>360.85437383944549</c:v>
                </c:pt>
                <c:pt idx="205">
                  <c:v>381.1652717252208</c:v>
                </c:pt>
                <c:pt idx="206">
                  <c:v>401.19653469204792</c:v>
                </c:pt>
                <c:pt idx="207">
                  <c:v>420.95344743459793</c:v>
                </c:pt>
                <c:pt idx="208">
                  <c:v>440.44111040069697</c:v>
                </c:pt>
                <c:pt idx="209">
                  <c:v>459.66444820883692</c:v>
                </c:pt>
                <c:pt idx="210">
                  <c:v>478.62821758385189</c:v>
                </c:pt>
                <c:pt idx="211">
                  <c:v>497.33701484364508</c:v>
                </c:pt>
                <c:pt idx="212">
                  <c:v>515.79528296724777</c:v>
                </c:pt>
                <c:pt idx="213">
                  <c:v>534.00731827212758</c:v>
                </c:pt>
                <c:pt idx="214">
                  <c:v>551.97727672650228</c:v>
                </c:pt>
                <c:pt idx="215">
                  <c:v>569.70917992045008</c:v>
                </c:pt>
                <c:pt idx="216">
                  <c:v>587.2069207178065</c:v>
                </c:pt>
                <c:pt idx="217">
                  <c:v>604.47426860919734</c:v>
                </c:pt>
                <c:pt idx="218">
                  <c:v>621.51487478504953</c:v>
                </c:pt>
                <c:pt idx="219">
                  <c:v>638.33227694604579</c:v>
                </c:pt>
                <c:pt idx="220">
                  <c:v>654.92990386722522</c:v>
                </c:pt>
                <c:pt idx="221">
                  <c:v>671.31107973076951</c:v>
                </c:pt>
                <c:pt idx="222">
                  <c:v>687.47902824145251</c:v>
                </c:pt>
                <c:pt idx="223">
                  <c:v>703.43687653774646</c:v>
                </c:pt>
                <c:pt idx="224">
                  <c:v>719.1876589106804</c:v>
                </c:pt>
                <c:pt idx="225">
                  <c:v>734.73432034171162</c:v>
                </c:pt>
                <c:pt idx="226">
                  <c:v>750.07971987010762</c:v>
                </c:pt>
                <c:pt idx="227">
                  <c:v>765.22663379962705</c:v>
                </c:pt>
                <c:pt idx="228">
                  <c:v>780.17775875363714</c:v>
                </c:pt>
                <c:pt idx="229">
                  <c:v>794.93571458719885</c:v>
                </c:pt>
                <c:pt idx="230">
                  <c:v>809.50304716409653</c:v>
                </c:pt>
                <c:pt idx="231">
                  <c:v>823.8822310062684</c:v>
                </c:pt>
                <c:pt idx="232">
                  <c:v>838.07567182261812</c:v>
                </c:pt>
                <c:pt idx="233">
                  <c:v>852.08570892374257</c:v>
                </c:pt>
                <c:pt idx="234">
                  <c:v>865.9146175286993</c:v>
                </c:pt>
                <c:pt idx="235">
                  <c:v>879.5646109695557</c:v>
                </c:pt>
                <c:pt idx="236">
                  <c:v>893.03784279910587</c:v>
                </c:pt>
                <c:pt idx="237">
                  <c:v>906.3364088068106</c:v>
                </c:pt>
                <c:pt idx="238">
                  <c:v>919.46234894771032</c:v>
                </c:pt>
                <c:pt idx="239">
                  <c:v>932.41764918877345</c:v>
                </c:pt>
                <c:pt idx="240">
                  <c:v>945.20424327687579</c:v>
                </c:pt>
                <c:pt idx="241">
                  <c:v>957.82401443236006</c:v>
                </c:pt>
                <c:pt idx="242">
                  <c:v>970.27879697189155</c:v>
                </c:pt>
                <c:pt idx="243">
                  <c:v>982.57037786410933</c:v>
                </c:pt>
                <c:pt idx="244">
                  <c:v>994.70049822137241</c:v>
                </c:pt>
                <c:pt idx="245">
                  <c:v>1006.6708547307095</c:v>
                </c:pt>
                <c:pt idx="246">
                  <c:v>1018.483101026906</c:v>
                </c:pt>
                <c:pt idx="247">
                  <c:v>1030.1388490104957</c:v>
                </c:pt>
                <c:pt idx="248">
                  <c:v>1041.6396701132724</c:v>
                </c:pt>
                <c:pt idx="249">
                  <c:v>1052.987096513787</c:v>
                </c:pt>
                <c:pt idx="250">
                  <c:v>1064.1826223051685</c:v>
                </c:pt>
                <c:pt idx="251">
                  <c:v>1075.2277046174697</c:v>
                </c:pt>
                <c:pt idx="252">
                  <c:v>1086.1237646966292</c:v>
                </c:pt>
                <c:pt idx="253">
                  <c:v>1096.8721889420215</c:v>
                </c:pt>
                <c:pt idx="254">
                  <c:v>1107.4743299044674</c:v>
                </c:pt>
                <c:pt idx="255">
                  <c:v>1117.9315072464747</c:v>
                </c:pt>
                <c:pt idx="256">
                  <c:v>1128.2450086663891</c:v>
                </c:pt>
                <c:pt idx="257">
                  <c:v>1138.4160907880448</c:v>
                </c:pt>
                <c:pt idx="258">
                  <c:v>1148.4459800174252</c:v>
                </c:pt>
                <c:pt idx="259">
                  <c:v>1158.3358733677655</c:v>
                </c:pt>
                <c:pt idx="260">
                  <c:v>1168.0869392544566</c:v>
                </c:pt>
                <c:pt idx="261">
                  <c:v>1177.7003182610395</c:v>
                </c:pt>
                <c:pt idx="262">
                  <c:v>1187.1771238775182</c:v>
                </c:pt>
                <c:pt idx="263">
                  <c:v>1196.5184432121555</c:v>
                </c:pt>
                <c:pt idx="264">
                  <c:v>1205.7253376778583</c:v>
                </c:pt>
                <c:pt idx="265">
                  <c:v>1214.7988436542075</c:v>
                </c:pt>
                <c:pt idx="266">
                  <c:v>1223.7399731261344</c:v>
                </c:pt>
                <c:pt idx="267">
                  <c:v>1232.5497143001958</c:v>
                </c:pt>
                <c:pt idx="268">
                  <c:v>1241.2290321993603</c:v>
                </c:pt>
                <c:pt idx="269">
                  <c:v>1249.7788692371664</c:v>
                </c:pt>
                <c:pt idx="270">
                  <c:v>1258.2001457720798</c:v>
                </c:pt>
                <c:pt idx="271">
                  <c:v>1266.4937606428352</c:v>
                </c:pt>
                <c:pt idx="272">
                  <c:v>1274.6605916855115</c:v>
                </c:pt>
                <c:pt idx="273">
                  <c:v>1282.701496233057</c:v>
                </c:pt>
                <c:pt idx="274">
                  <c:v>1290.6173115979454</c:v>
                </c:pt>
                <c:pt idx="275">
                  <c:v>1298.4088555386154</c:v>
                </c:pt>
                <c:pt idx="276">
                  <c:v>1306.0769267103153</c:v>
                </c:pt>
                <c:pt idx="277">
                  <c:v>1313.622305100949</c:v>
                </c:pt>
                <c:pt idx="278">
                  <c:v>1321.0457524524904</c:v>
                </c:pt>
                <c:pt idx="279">
                  <c:v>1328.348012668511</c:v>
                </c:pt>
                <c:pt idx="280">
                  <c:v>1335.5298122083414</c:v>
                </c:pt>
                <c:pt idx="281">
                  <c:v>1342.5918604683645</c:v>
                </c:pt>
                <c:pt idx="282">
                  <c:v>1349.5348501509188</c:v>
                </c:pt>
                <c:pt idx="283">
                  <c:v>1356.3594576212674</c:v>
                </c:pt>
                <c:pt idx="284">
                  <c:v>1363.066343253075</c:v>
                </c:pt>
                <c:pt idx="285">
                  <c:v>1369.6561517628111</c:v>
                </c:pt>
                <c:pt idx="286">
                  <c:v>1376.129512533485</c:v>
                </c:pt>
                <c:pt idx="287">
                  <c:v>1382.4870399281037</c:v>
                </c:pt>
                <c:pt idx="288">
                  <c:v>1388.7293335932236</c:v>
                </c:pt>
                <c:pt idx="289">
                  <c:v>1394.8569787529584</c:v>
                </c:pt>
                <c:pt idx="290">
                  <c:v>1400.8705464937912</c:v>
                </c:pt>
                <c:pt idx="291">
                  <c:v>1406.7705940405247</c:v>
                </c:pt>
                <c:pt idx="292">
                  <c:v>1412.5576650236951</c:v>
                </c:pt>
                <c:pt idx="293">
                  <c:v>1418.2322897387626</c:v>
                </c:pt>
                <c:pt idx="294">
                  <c:v>1423.7949853973826</c:v>
                </c:pt>
                <c:pt idx="295">
                  <c:v>1429.2462563710544</c:v>
                </c:pt>
                <c:pt idx="296">
                  <c:v>1434.5865944274333</c:v>
                </c:pt>
                <c:pt idx="297">
                  <c:v>1439.816478959588</c:v>
                </c:pt>
                <c:pt idx="298">
                  <c:v>1444.9363772084766</c:v>
                </c:pt>
                <c:pt idx="299">
                  <c:v>1449.9467444789107</c:v>
                </c:pt>
                <c:pt idx="300">
                  <c:v>1454.8480243492709</c:v>
                </c:pt>
                <c:pt idx="301">
                  <c:v>1459.6406488752384</c:v>
                </c:pt>
                <c:pt idx="302">
                  <c:v>1464.3250387877956</c:v>
                </c:pt>
                <c:pt idx="303">
                  <c:v>1468.9016036857581</c:v>
                </c:pt>
                <c:pt idx="304">
                  <c:v>1473.3707422230914</c:v>
                </c:pt>
                <c:pt idx="305">
                  <c:v>1477.7328422912717</c:v>
                </c:pt>
                <c:pt idx="306">
                  <c:v>1481.988281196951</c:v>
                </c:pt>
                <c:pt idx="307">
                  <c:v>1486.1374258351873</c:v>
                </c:pt>
                <c:pt idx="308">
                  <c:v>1490.1806328585112</c:v>
                </c:pt>
                <c:pt idx="309">
                  <c:v>1494.1182488421023</c:v>
                </c:pt>
                <c:pt idx="310">
                  <c:v>1497.9506104453583</c:v>
                </c:pt>
                <c:pt idx="311">
                  <c:v>1501.6780445701515</c:v>
                </c:pt>
                <c:pt idx="312">
                  <c:v>1505.3008685160778</c:v>
                </c:pt>
                <c:pt idx="313">
                  <c:v>1508.8193901330187</c:v>
                </c:pt>
                <c:pt idx="314">
                  <c:v>1512.2339079713545</c:v>
                </c:pt>
                <c:pt idx="315">
                  <c:v>1515.5447114301844</c:v>
                </c:pt>
                <c:pt idx="316">
                  <c:v>1518.7520809039358</c:v>
                </c:pt>
                <c:pt idx="317">
                  <c:v>1521.856287927767</c:v>
                </c:pt>
                <c:pt idx="318">
                  <c:v>1524.8575953221971</c:v>
                </c:pt>
                <c:pt idx="319">
                  <c:v>1527.7562573374339</c:v>
                </c:pt>
                <c:pt idx="320">
                  <c:v>1530.5525197978991</c:v>
                </c:pt>
                <c:pt idx="321">
                  <c:v>1533.2466202474986</c:v>
                </c:pt>
                <c:pt idx="322">
                  <c:v>1535.8387880962241</c:v>
                </c:pt>
                <c:pt idx="323">
                  <c:v>1538.3292447687206</c:v>
                </c:pt>
                <c:pt idx="324">
                  <c:v>1540.7182038555113</c:v>
                </c:pt>
                <c:pt idx="325">
                  <c:v>1543.0058712676168</c:v>
                </c:pt>
                <c:pt idx="326">
                  <c:v>1545.1924453953729</c:v>
                </c:pt>
                <c:pt idx="327">
                  <c:v>1547.278117272303</c:v>
                </c:pt>
                <c:pt idx="328">
                  <c:v>1549.2630707449644</c:v>
                </c:pt>
                <c:pt idx="329">
                  <c:v>1551.1474826497463</c:v>
                </c:pt>
                <c:pt idx="330">
                  <c:v>1552.931522997648</c:v>
                </c:pt>
                <c:pt idx="331">
                  <c:v>1554.6153551681195</c:v>
                </c:pt>
                <c:pt idx="332">
                  <c:v>1556.1991361130772</c:v>
                </c:pt>
                <c:pt idx="333">
                  <c:v>1557.6830165722383</c:v>
                </c:pt>
                <c:pt idx="334">
                  <c:v>1559.0671413009147</c:v>
                </c:pt>
                <c:pt idx="335">
                  <c:v>1560.3516493113871</c:v>
                </c:pt>
                <c:pt idx="336">
                  <c:v>1561.5366741289292</c:v>
                </c:pt>
                <c:pt idx="337">
                  <c:v>1562.6223440634592</c:v>
                </c:pt>
                <c:pt idx="338">
                  <c:v>1563.6087824976619</c:v>
                </c:pt>
                <c:pt idx="339">
                  <c:v>1564.4961081922449</c:v>
                </c:pt>
                <c:pt idx="340">
                  <c:v>1565.2844356087567</c:v>
                </c:pt>
                <c:pt idx="341">
                  <c:v>1565.9738752501087</c:v>
                </c:pt>
                <c:pt idx="342">
                  <c:v>1566.564534018609</c:v>
                </c:pt>
                <c:pt idx="343">
                  <c:v>1567.0565155909271</c:v>
                </c:pt>
                <c:pt idx="344">
                  <c:v>1567.4499208089997</c:v>
                </c:pt>
                <c:pt idx="345">
                  <c:v>1567.7448480854459</c:v>
                </c:pt>
                <c:pt idx="346">
                  <c:v>1567.9413938216237</c:v>
                </c:pt>
                <c:pt idx="347">
                  <c:v>1568.0396528360352</c:v>
                </c:pt>
                <c:pt idx="348">
                  <c:v>1568.0397188004185</c:v>
                </c:pt>
                <c:pt idx="349">
                  <c:v>1567.9416846805457</c:v>
                </c:pt>
                <c:pt idx="350">
                  <c:v>1567.745643178519</c:v>
                </c:pt>
                <c:pt idx="351">
                  <c:v>1567.4516871732339</c:v>
                </c:pt>
                <c:pt idx="352">
                  <c:v>1567.0599101556518</c:v>
                </c:pt>
                <c:pt idx="353">
                  <c:v>1566.5704066556229</c:v>
                </c:pt>
                <c:pt idx="354">
                  <c:v>1565.9832726571901</c:v>
                </c:pt>
                <c:pt idx="355">
                  <c:v>1565.2986059995912</c:v>
                </c:pt>
                <c:pt idx="356">
                  <c:v>1564.516506761541</c:v>
                </c:pt>
                <c:pt idx="357">
                  <c:v>1563.6370776267743</c:v>
                </c:pt>
                <c:pt idx="358">
                  <c:v>1562.6604242292788</c:v>
                </c:pt>
                <c:pt idx="359">
                  <c:v>1561.5866554770812</c:v>
                </c:pt>
                <c:pt idx="360">
                  <c:v>1560.4158838538804</c:v>
                </c:pt>
                <c:pt idx="361">
                  <c:v>1559.1482256982199</c:v>
                </c:pt>
                <c:pt idx="362">
                  <c:v>1557.7838014602439</c:v>
                </c:pt>
                <c:pt idx="363">
                  <c:v>1556.3227359363855</c:v>
                </c:pt>
                <c:pt idx="364">
                  <c:v>1554.765158482588</c:v>
                </c:pt>
                <c:pt idx="365">
                  <c:v>1553.1112032068581</c:v>
                </c:pt>
                <c:pt idx="366">
                  <c:v>1551.3610091420937</c:v>
                </c:pt>
                <c:pt idx="367">
                  <c:v>1549.5147204002344</c:v>
                </c:pt>
                <c:pt idx="368">
                  <c:v>1547.5724863088403</c:v>
                </c:pt>
                <c:pt idx="369">
                  <c:v>1545.5344615312347</c:v>
                </c:pt>
                <c:pt idx="370">
                  <c:v>1543.400806171345</c:v>
                </c:pt>
                <c:pt idx="371">
                  <c:v>1541.1716858643522</c:v>
                </c:pt>
                <c:pt idx="372">
                  <c:v>1538.8472718542246</c:v>
                </c:pt>
                <c:pt idx="373">
                  <c:v>1536.4277410591581</c:v>
                </c:pt>
                <c:pt idx="374">
                  <c:v>1533.9132761258907</c:v>
                </c:pt>
                <c:pt idx="375">
                  <c:v>1531.3040654737931</c:v>
                </c:pt>
                <c:pt idx="376">
                  <c:v>1528.6003033295765</c:v>
                </c:pt>
                <c:pt idx="377">
                  <c:v>1525.8021897533922</c:v>
                </c:pt>
                <c:pt idx="378">
                  <c:v>1522.9099306570367</c:v>
                </c:pt>
                <c:pt idx="379">
                  <c:v>1519.9237378149126</c:v>
                </c:pt>
                <c:pt idx="380">
                  <c:v>1516.8438288683433</c:v>
                </c:pt>
                <c:pt idx="381">
                  <c:v>1513.6704273237817</c:v>
                </c:pt>
                <c:pt idx="382">
                  <c:v>1510.4037625454052</c:v>
                </c:pt>
                <c:pt idx="383">
                  <c:v>1507.0440697425456</c:v>
                </c:pt>
                <c:pt idx="384">
                  <c:v>1503.5915899523554</c:v>
                </c:pt>
                <c:pt idx="385">
                  <c:v>1500.0465700180819</c:v>
                </c:pt>
                <c:pt idx="386">
                  <c:v>1496.4092625632766</c:v>
                </c:pt>
                <c:pt idx="387">
                  <c:v>1492.6799259622451</c:v>
                </c:pt>
                <c:pt idx="388">
                  <c:v>1488.858824307008</c:v>
                </c:pt>
                <c:pt idx="389">
                  <c:v>1484.9462273710221</c:v>
                </c:pt>
                <c:pt idx="390">
                  <c:v>1480.9424105698856</c:v>
                </c:pt>
                <c:pt idx="391">
                  <c:v>1476.8476549192344</c:v>
                </c:pt>
                <c:pt idx="392">
                  <c:v>1472.6622469900126</c:v>
                </c:pt>
                <c:pt idx="393">
                  <c:v>1468.3864788612923</c:v>
                </c:pt>
                <c:pt idx="394">
                  <c:v>1464.0206480707939</c:v>
                </c:pt>
                <c:pt idx="395">
                  <c:v>1459.5650575632533</c:v>
                </c:pt>
                <c:pt idx="396">
                  <c:v>1455.0200156367659</c:v>
                </c:pt>
                <c:pt idx="397">
                  <c:v>1450.3858358872299</c:v>
                </c:pt>
                <c:pt idx="398">
                  <c:v>1445.6628371509978</c:v>
                </c:pt>
                <c:pt idx="399">
                  <c:v>1440.8513434458437</c:v>
                </c:pt>
                <c:pt idx="400">
                  <c:v>1435.9516839103405</c:v>
                </c:pt>
                <c:pt idx="401">
                  <c:v>1430.9641927417374</c:v>
                </c:pt>
                <c:pt idx="402">
                  <c:v>1425.889209132421</c:v>
                </c:pt>
                <c:pt idx="403">
                  <c:v>1420.7270772050406</c:v>
                </c:pt>
                <c:pt idx="404">
                  <c:v>1415.47814594637</c:v>
                </c:pt>
                <c:pt idx="405">
                  <c:v>1410.1427691399765</c:v>
                </c:pt>
                <c:pt idx="406">
                  <c:v>1404.7213052977627</c:v>
                </c:pt>
                <c:pt idx="407">
                  <c:v>1399.2141175904446</c:v>
                </c:pt>
                <c:pt idx="408">
                  <c:v>1393.6215737770256</c:v>
                </c:pt>
                <c:pt idx="409">
                  <c:v>1387.9440461333218</c:v>
                </c:pt>
                <c:pt idx="410">
                  <c:v>1382.1819113795955</c:v>
                </c:pt>
                <c:pt idx="411">
                  <c:v>1376.3355506073474</c:v>
                </c:pt>
                <c:pt idx="412">
                  <c:v>1370.4053492053183</c:v>
                </c:pt>
                <c:pt idx="413">
                  <c:v>1364.391696784749</c:v>
                </c:pt>
                <c:pt idx="414">
                  <c:v>1358.2949871039432</c:v>
                </c:pt>
                <c:pt idx="415">
                  <c:v>1352.1156179921818</c:v>
                </c:pt>
                <c:pt idx="416">
                  <c:v>1345.8539912730298</c:v>
                </c:pt>
                <c:pt idx="417">
                  <c:v>1339.5105126870783</c:v>
                </c:pt>
                <c:pt idx="418">
                  <c:v>1333.0855918141649</c:v>
                </c:pt>
                <c:pt idx="419">
                  <c:v>1326.57964199511</c:v>
                </c:pt>
                <c:pt idx="420">
                  <c:v>1319.9930802530107</c:v>
                </c:pt>
                <c:pt idx="421">
                  <c:v>1313.3263272141278</c:v>
                </c:pt>
                <c:pt idx="422">
                  <c:v>1306.5798070284059</c:v>
                </c:pt>
                <c:pt idx="423">
                  <c:v>1299.7539472896617</c:v>
                </c:pt>
                <c:pt idx="424">
                  <c:v>1292.8491789554757</c:v>
                </c:pt>
                <c:pt idx="425">
                  <c:v>1285.8659362668229</c:v>
                </c:pt>
                <c:pt idx="426">
                  <c:v>1278.8046566674777</c:v>
                </c:pt>
                <c:pt idx="427">
                  <c:v>1271.6657807232241</c:v>
                </c:pt>
                <c:pt idx="428">
                  <c:v>1264.4497520409066</c:v>
                </c:pt>
                <c:pt idx="429">
                  <c:v>1257.1570171873525</c:v>
                </c:pt>
                <c:pt idx="430">
                  <c:v>1249.7880256081983</c:v>
                </c:pt>
                <c:pt idx="431">
                  <c:v>1242.3432295466498</c:v>
                </c:pt>
                <c:pt idx="432">
                  <c:v>1234.8230839622083</c:v>
                </c:pt>
                <c:pt idx="433">
                  <c:v>1227.228046449392</c:v>
                </c:pt>
                <c:pt idx="434">
                  <c:v>1219.5585771564806</c:v>
                </c:pt>
                <c:pt idx="435">
                  <c:v>1211.8151387043151</c:v>
                </c:pt>
                <c:pt idx="436">
                  <c:v>1203.9981961051783</c:v>
                </c:pt>
                <c:pt idx="437">
                  <c:v>1196.1082166817848</c:v>
                </c:pt>
                <c:pt idx="438">
                  <c:v>1188.1456699864086</c:v>
                </c:pt>
                <c:pt idx="439">
                  <c:v>1180.1110277201735</c:v>
                </c:pt>
                <c:pt idx="440">
                  <c:v>1172.0047636525339</c:v>
                </c:pt>
                <c:pt idx="441">
                  <c:v>1163.8273535409717</c:v>
                </c:pt>
                <c:pt idx="442">
                  <c:v>1155.5792750509329</c:v>
                </c:pt>
                <c:pt idx="443">
                  <c:v>1147.2610076760318</c:v>
                </c:pt>
                <c:pt idx="444">
                  <c:v>1138.873032658543</c:v>
                </c:pt>
                <c:pt idx="445">
                  <c:v>1130.4158329102092</c:v>
                </c:pt>
                <c:pt idx="446">
                  <c:v>1121.8898929333848</c:v>
                </c:pt>
                <c:pt idx="447">
                  <c:v>1113.2956987425393</c:v>
                </c:pt>
                <c:pt idx="448">
                  <c:v>1104.6337377861441</c:v>
                </c:pt>
                <c:pt idx="449">
                  <c:v>1095.9044988689609</c:v>
                </c:pt>
                <c:pt idx="450">
                  <c:v>1087.1084720747569</c:v>
                </c:pt>
                <c:pt idx="451">
                  <c:v>1078.2461486894654</c:v>
                </c:pt>
                <c:pt idx="452">
                  <c:v>1069.3180211248118</c:v>
                </c:pt>
                <c:pt idx="453">
                  <c:v>1060.3245828424265</c:v>
                </c:pt>
                <c:pt idx="454">
                  <c:v>1051.266328278462</c:v>
                </c:pt>
                <c:pt idx="455">
                  <c:v>1042.1437527687342</c:v>
                </c:pt>
                <c:pt idx="456">
                  <c:v>1032.957352474406</c:v>
                </c:pt>
                <c:pt idx="457">
                  <c:v>1023.7076243082297</c:v>
                </c:pt>
                <c:pt idx="458">
                  <c:v>1014.3950658613678</c:v>
                </c:pt>
                <c:pt idx="459">
                  <c:v>1005.0201753308068</c:v>
                </c:pt>
                <c:pt idx="460">
                  <c:v>995.58345144738064</c:v>
                </c:pt>
                <c:pt idx="461">
                  <c:v>986.0853934044211</c:v>
                </c:pt>
                <c:pt idx="462">
                  <c:v>976.52650078704767</c:v>
                </c:pt>
                <c:pt idx="463">
                  <c:v>966.90727350211409</c:v>
                </c:pt>
                <c:pt idx="464">
                  <c:v>957.2282117088248</c:v>
                </c:pt>
                <c:pt idx="465">
                  <c:v>947.48981575003415</c:v>
                </c:pt>
                <c:pt idx="466">
                  <c:v>937.69258608424354</c:v>
                </c:pt>
                <c:pt idx="467">
                  <c:v>927.83702321830742</c:v>
                </c:pt>
                <c:pt idx="468">
                  <c:v>917.92362764086158</c:v>
                </c:pt>
                <c:pt idx="469">
                  <c:v>907.9528997564845</c:v>
                </c:pt>
                <c:pt idx="470">
                  <c:v>897.92533982060422</c:v>
                </c:pt>
                <c:pt idx="471">
                  <c:v>887.84144787516038</c:v>
                </c:pt>
                <c:pt idx="472">
                  <c:v>877.70172368503222</c:v>
                </c:pt>
                <c:pt idx="473">
                  <c:v>867.50666667524229</c:v>
                </c:pt>
                <c:pt idx="474">
                  <c:v>857.25677586894551</c:v>
                </c:pt>
                <c:pt idx="475">
                  <c:v>846.95254982621179</c:v>
                </c:pt>
                <c:pt idx="476">
                  <c:v>836.59448658361146</c:v>
                </c:pt>
                <c:pt idx="477">
                  <c:v>826.18308359461025</c:v>
                </c:pt>
                <c:pt idx="478">
                  <c:v>815.71883767078236</c:v>
                </c:pt>
                <c:pt idx="479">
                  <c:v>805.20224492384864</c:v>
                </c:pt>
                <c:pt idx="480">
                  <c:v>794.6338007085451</c:v>
                </c:pt>
                <c:pt idx="481">
                  <c:v>784.01399956632963</c:v>
                </c:pt>
                <c:pt idx="482">
                  <c:v>773.34333516993149</c:v>
                </c:pt>
                <c:pt idx="483">
                  <c:v>762.62230026874863</c:v>
                </c:pt>
                <c:pt idx="484">
                  <c:v>751.85138663509883</c:v>
                </c:pt>
                <c:pt idx="485">
                  <c:v>741.0310850113276</c:v>
                </c:pt>
                <c:pt idx="486">
                  <c:v>730.16188505777745</c:v>
                </c:pt>
                <c:pt idx="487">
                  <c:v>719.24427530162257</c:v>
                </c:pt>
                <c:pt idx="488">
                  <c:v>708.27874308657067</c:v>
                </c:pt>
                <c:pt idx="489">
                  <c:v>697.26577452343622</c:v>
                </c:pt>
                <c:pt idx="490">
                  <c:v>686.20585444158587</c:v>
                </c:pt>
                <c:pt idx="491">
                  <c:v>675.09946634125959</c:v>
                </c:pt>
                <c:pt idx="492">
                  <c:v>663.94709234676748</c:v>
                </c:pt>
                <c:pt idx="493">
                  <c:v>652.74921316056452</c:v>
                </c:pt>
                <c:pt idx="494">
                  <c:v>641.50630801820341</c:v>
                </c:pt>
                <c:pt idx="495">
                  <c:v>630.21885464416641</c:v>
                </c:pt>
                <c:pt idx="496">
                  <c:v>618.88732920857524</c:v>
                </c:pt>
                <c:pt idx="497">
                  <c:v>607.51220628478018</c:v>
                </c:pt>
                <c:pt idx="498">
                  <c:v>596.09395880782654</c:v>
                </c:pt>
                <c:pt idx="499">
                  <c:v>584.63305803379797</c:v>
                </c:pt>
                <c:pt idx="500">
                  <c:v>573.12997350003502</c:v>
                </c:pt>
                <c:pt idx="501">
                  <c:v>561.58517298622758</c:v>
                </c:pt>
                <c:pt idx="502">
                  <c:v>549.99912247637928</c:v>
                </c:pt>
                <c:pt idx="503">
                  <c:v>538.37228612164131</c:v>
                </c:pt>
                <c:pt idx="504">
                  <c:v>526.70512620401269</c:v>
                </c:pt>
                <c:pt idx="505">
                  <c:v>514.99810310090527</c:v>
                </c:pt>
                <c:pt idx="506">
                  <c:v>503.25167525056901</c:v>
                </c:pt>
                <c:pt idx="507">
                  <c:v>491.46629911837505</c:v>
                </c:pt>
                <c:pt idx="508">
                  <c:v>479.64242916395199</c:v>
                </c:pt>
                <c:pt idx="509">
                  <c:v>467.78051780917218</c:v>
                </c:pt>
                <c:pt idx="510">
                  <c:v>455.88101540698301</c:v>
                </c:pt>
                <c:pt idx="511">
                  <c:v>443.9443702110795</c:v>
                </c:pt>
                <c:pt idx="512">
                  <c:v>431.97102834641248</c:v>
                </c:pt>
                <c:pt idx="513">
                  <c:v>419.9614337805283</c:v>
                </c:pt>
                <c:pt idx="514">
                  <c:v>407.91602829573418</c:v>
                </c:pt>
                <c:pt idx="515">
                  <c:v>395.83525146208387</c:v>
                </c:pt>
                <c:pt idx="516">
                  <c:v>383.71954061117839</c:v>
                </c:pt>
                <c:pt idx="517">
                  <c:v>371.56933081077528</c:v>
                </c:pt>
                <c:pt idx="518">
                  <c:v>359.38505484020078</c:v>
                </c:pt>
                <c:pt idx="519">
                  <c:v>347.16714316655856</c:v>
                </c:pt>
                <c:pt idx="520">
                  <c:v>334.91602392172854</c:v>
                </c:pt>
                <c:pt idx="521">
                  <c:v>322.63212288014881</c:v>
                </c:pt>
                <c:pt idx="522">
                  <c:v>310.31586343737473</c:v>
                </c:pt>
                <c:pt idx="523">
                  <c:v>297.96766658940697</c:v>
                </c:pt>
                <c:pt idx="524">
                  <c:v>285.58795091278262</c:v>
                </c:pt>
                <c:pt idx="525">
                  <c:v>273.1771325454211</c:v>
                </c:pt>
                <c:pt idx="526">
                  <c:v>260.73562516821806</c:v>
                </c:pt>
                <c:pt idx="527">
                  <c:v>248.26383998737938</c:v>
                </c:pt>
                <c:pt idx="528">
                  <c:v>235.7621857174876</c:v>
                </c:pt>
                <c:pt idx="529">
                  <c:v>223.23106856529313</c:v>
                </c:pt>
                <c:pt idx="530">
                  <c:v>210.67089221422214</c:v>
                </c:pt>
                <c:pt idx="531">
                  <c:v>198.08205780959295</c:v>
                </c:pt>
                <c:pt idx="532">
                  <c:v>185.46496394453311</c:v>
                </c:pt>
                <c:pt idx="533">
                  <c:v>172.82000664658847</c:v>
                </c:pt>
                <c:pt idx="534">
                  <c:v>160.14757936501633</c:v>
                </c:pt>
                <c:pt idx="535">
                  <c:v>147.44807295875384</c:v>
                </c:pt>
                <c:pt idx="536">
                  <c:v>134.72187568505322</c:v>
                </c:pt>
                <c:pt idx="537">
                  <c:v>121.96937318877546</c:v>
                </c:pt>
                <c:pt idx="538">
                  <c:v>109.19094849233339</c:v>
                </c:pt>
                <c:pt idx="539">
                  <c:v>96.386981986275714</c:v>
                </c:pt>
                <c:pt idx="540">
                  <c:v>83.55785142050307</c:v>
                </c:pt>
                <c:pt idx="541">
                  <c:v>70.703931896107321</c:v>
                </c:pt>
                <c:pt idx="542">
                  <c:v>57.825595857825071</c:v>
                </c:pt>
                <c:pt idx="543">
                  <c:v>44.923213087096606</c:v>
                </c:pt>
                <c:pt idx="544">
                  <c:v>31.997150695721189</c:v>
                </c:pt>
                <c:pt idx="545">
                  <c:v>19.047773120099716</c:v>
                </c:pt>
                <c:pt idx="546">
                  <c:v>6.0754421160557044</c:v>
                </c:pt>
                <c:pt idx="547">
                  <c:v>-6.9194832457744635</c:v>
                </c:pt>
                <c:pt idx="548">
                  <c:v>-6.9324893899136759</c:v>
                </c:pt>
                <c:pt idx="549">
                  <c:v>-6.9454955561131708</c:v>
                </c:pt>
                <c:pt idx="550">
                  <c:v>-6.9585017443725965</c:v>
                </c:pt>
                <c:pt idx="551">
                  <c:v>-6.9715079546916021</c:v>
                </c:pt>
                <c:pt idx="552">
                  <c:v>-6.9845141870698351</c:v>
                </c:pt>
                <c:pt idx="553">
                  <c:v>-6.9975204415069445</c:v>
                </c:pt>
                <c:pt idx="554">
                  <c:v>-7.0105267180025779</c:v>
                </c:pt>
                <c:pt idx="555">
                  <c:v>-7.0235330165563843</c:v>
                </c:pt>
                <c:pt idx="556">
                  <c:v>-7.0365393371680121</c:v>
                </c:pt>
                <c:pt idx="557">
                  <c:v>-7.0495456798371094</c:v>
                </c:pt>
                <c:pt idx="558">
                  <c:v>-7.0625520445633247</c:v>
                </c:pt>
                <c:pt idx="559">
                  <c:v>-7.0755584313463071</c:v>
                </c:pt>
                <c:pt idx="560">
                  <c:v>-7.088564840185704</c:v>
                </c:pt>
                <c:pt idx="561">
                  <c:v>-7.1015712710811636</c:v>
                </c:pt>
                <c:pt idx="562">
                  <c:v>-7.1145777240323351</c:v>
                </c:pt>
                <c:pt idx="563">
                  <c:v>-7.1275841990388669</c:v>
                </c:pt>
                <c:pt idx="564">
                  <c:v>-7.1405906961004071</c:v>
                </c:pt>
                <c:pt idx="565">
                  <c:v>-7.1535972152166041</c:v>
                </c:pt>
                <c:pt idx="566">
                  <c:v>-7.1666037563871061</c:v>
                </c:pt>
                <c:pt idx="567">
                  <c:v>-7.1796103196115624</c:v>
                </c:pt>
                <c:pt idx="568">
                  <c:v>-7.1926169048896202</c:v>
                </c:pt>
                <c:pt idx="569">
                  <c:v>-7.2056235122209289</c:v>
                </c:pt>
                <c:pt idx="570">
                  <c:v>-7.2186301416051366</c:v>
                </c:pt>
                <c:pt idx="571">
                  <c:v>-7.2316367930418908</c:v>
                </c:pt>
                <c:pt idx="572">
                  <c:v>-7.2446434665308415</c:v>
                </c:pt>
                <c:pt idx="573">
                  <c:v>-7.257650162071636</c:v>
                </c:pt>
                <c:pt idx="574">
                  <c:v>-7.2706568796639228</c:v>
                </c:pt>
                <c:pt idx="575">
                  <c:v>-7.283663619307351</c:v>
                </c:pt>
                <c:pt idx="576">
                  <c:v>-7.2966703810015687</c:v>
                </c:pt>
                <c:pt idx="577">
                  <c:v>-7.3096771647462244</c:v>
                </c:pt>
                <c:pt idx="578">
                  <c:v>-7.3226839705409663</c:v>
                </c:pt>
                <c:pt idx="579">
                  <c:v>-7.3356907983854427</c:v>
                </c:pt>
                <c:pt idx="580">
                  <c:v>-7.3486976482793027</c:v>
                </c:pt>
                <c:pt idx="581">
                  <c:v>-7.3617045202221947</c:v>
                </c:pt>
                <c:pt idx="582">
                  <c:v>-7.3747114142137669</c:v>
                </c:pt>
                <c:pt idx="583">
                  <c:v>-7.3877183302536675</c:v>
                </c:pt>
                <c:pt idx="584">
                  <c:v>-7.400725268341545</c:v>
                </c:pt>
                <c:pt idx="585">
                  <c:v>-7.4137322284770484</c:v>
                </c:pt>
                <c:pt idx="586">
                  <c:v>-7.4267392106598251</c:v>
                </c:pt>
                <c:pt idx="587">
                  <c:v>-7.4397462148895244</c:v>
                </c:pt>
                <c:pt idx="588">
                  <c:v>-7.4527532411657944</c:v>
                </c:pt>
                <c:pt idx="589">
                  <c:v>-7.4657602894882844</c:v>
                </c:pt>
                <c:pt idx="590">
                  <c:v>-7.4787673598566418</c:v>
                </c:pt>
                <c:pt idx="591">
                  <c:v>-7.4917744522705156</c:v>
                </c:pt>
                <c:pt idx="592">
                  <c:v>-7.5047815667295543</c:v>
                </c:pt>
                <c:pt idx="593">
                  <c:v>-7.5177887032334061</c:v>
                </c:pt>
                <c:pt idx="594">
                  <c:v>-7.5307958617817201</c:v>
                </c:pt>
                <c:pt idx="595">
                  <c:v>-7.5438030423741447</c:v>
                </c:pt>
                <c:pt idx="596">
                  <c:v>-7.5568102450103272</c:v>
                </c:pt>
                <c:pt idx="597">
                  <c:v>-7.5698174696899176</c:v>
                </c:pt>
                <c:pt idx="598">
                  <c:v>-7.5828247164125635</c:v>
                </c:pt>
                <c:pt idx="599">
                  <c:v>-7.5958319851779139</c:v>
                </c:pt>
                <c:pt idx="600">
                  <c:v>-7.6088392759856172</c:v>
                </c:pt>
                <c:pt idx="601">
                  <c:v>-7.6218465888353215</c:v>
                </c:pt>
                <c:pt idx="602">
                  <c:v>-7.6348539237266753</c:v>
                </c:pt>
                <c:pt idx="603">
                  <c:v>-7.6478612806593276</c:v>
                </c:pt>
                <c:pt idx="604">
                  <c:v>-7.6608686596329267</c:v>
                </c:pt>
                <c:pt idx="605">
                  <c:v>-7.673876060647121</c:v>
                </c:pt>
                <c:pt idx="606">
                  <c:v>-7.6868834837015587</c:v>
                </c:pt>
                <c:pt idx="607">
                  <c:v>-7.699890928795889</c:v>
                </c:pt>
                <c:pt idx="608">
                  <c:v>-7.7128983959297601</c:v>
                </c:pt>
                <c:pt idx="609">
                  <c:v>-7.7259058851028204</c:v>
                </c:pt>
                <c:pt idx="610">
                  <c:v>-7.738913396314719</c:v>
                </c:pt>
                <c:pt idx="611">
                  <c:v>-7.7519209295651041</c:v>
                </c:pt>
                <c:pt idx="612">
                  <c:v>-7.7649284848536242</c:v>
                </c:pt>
                <c:pt idx="613">
                  <c:v>-7.7779360621799274</c:v>
                </c:pt>
                <c:pt idx="614">
                  <c:v>-7.7909436615436629</c:v>
                </c:pt>
                <c:pt idx="615">
                  <c:v>-7.803951282944479</c:v>
                </c:pt>
                <c:pt idx="616">
                  <c:v>-7.8169589263820241</c:v>
                </c:pt>
                <c:pt idx="617">
                  <c:v>-7.8299665918559462</c:v>
                </c:pt>
                <c:pt idx="618">
                  <c:v>-7.8429742793658948</c:v>
                </c:pt>
                <c:pt idx="619">
                  <c:v>-7.8559819889115179</c:v>
                </c:pt>
                <c:pt idx="620">
                  <c:v>-7.8689897204924648</c:v>
                </c:pt>
                <c:pt idx="621">
                  <c:v>-7.8819974741083838</c:v>
                </c:pt>
                <c:pt idx="622">
                  <c:v>-7.8950052497589231</c:v>
                </c:pt>
                <c:pt idx="623">
                  <c:v>-7.9080130474437311</c:v>
                </c:pt>
                <c:pt idx="624">
                  <c:v>-7.9210208671624569</c:v>
                </c:pt>
                <c:pt idx="625">
                  <c:v>-7.9340287089147488</c:v>
                </c:pt>
                <c:pt idx="626">
                  <c:v>-7.947036572700255</c:v>
                </c:pt>
                <c:pt idx="627">
                  <c:v>-7.9600444585186247</c:v>
                </c:pt>
                <c:pt idx="628">
                  <c:v>-7.9730523663695063</c:v>
                </c:pt>
                <c:pt idx="629">
                  <c:v>-7.986060296252548</c:v>
                </c:pt>
                <c:pt idx="630">
                  <c:v>-7.9990682481673989</c:v>
                </c:pt>
                <c:pt idx="631">
                  <c:v>-8.0120762221137074</c:v>
                </c:pt>
                <c:pt idx="632">
                  <c:v>-8.0250842180911217</c:v>
                </c:pt>
                <c:pt idx="633">
                  <c:v>-8.0380922360992901</c:v>
                </c:pt>
                <c:pt idx="634">
                  <c:v>-8.0511002761378627</c:v>
                </c:pt>
                <c:pt idx="635">
                  <c:v>-8.0641083382064878</c:v>
                </c:pt>
                <c:pt idx="636">
                  <c:v>-8.0771164223048117</c:v>
                </c:pt>
                <c:pt idx="637">
                  <c:v>-8.0901245284324865</c:v>
                </c:pt>
                <c:pt idx="638">
                  <c:v>-8.1031326565891586</c:v>
                </c:pt>
                <c:pt idx="639">
                  <c:v>-8.1161408067744762</c:v>
                </c:pt>
                <c:pt idx="640">
                  <c:v>-8.1291489789880895</c:v>
                </c:pt>
                <c:pt idx="641">
                  <c:v>-8.1421571732296467</c:v>
                </c:pt>
                <c:pt idx="642">
                  <c:v>-8.1551653894987961</c:v>
                </c:pt>
                <c:pt idx="643">
                  <c:v>-8.168173627795186</c:v>
                </c:pt>
                <c:pt idx="644">
                  <c:v>-8.1811818881184646</c:v>
                </c:pt>
                <c:pt idx="645">
                  <c:v>-8.194190170468282</c:v>
                </c:pt>
                <c:pt idx="646">
                  <c:v>-8.2071984748442848</c:v>
                </c:pt>
                <c:pt idx="647">
                  <c:v>-8.2202068012461229</c:v>
                </c:pt>
                <c:pt idx="648">
                  <c:v>-8.2332151496734447</c:v>
                </c:pt>
                <c:pt idx="649">
                  <c:v>-8.2462235201259002</c:v>
                </c:pt>
                <c:pt idx="650">
                  <c:v>-8.2592319126031359</c:v>
                </c:pt>
                <c:pt idx="651">
                  <c:v>-8.2722403271048019</c:v>
                </c:pt>
                <c:pt idx="652">
                  <c:v>-8.2852487636305465</c:v>
                </c:pt>
                <c:pt idx="653">
                  <c:v>-8.2982572221800179</c:v>
                </c:pt>
                <c:pt idx="654">
                  <c:v>-8.3112657027528645</c:v>
                </c:pt>
                <c:pt idx="655">
                  <c:v>-8.3242742053487362</c:v>
                </c:pt>
                <c:pt idx="656">
                  <c:v>-8.3372827299672814</c:v>
                </c:pt>
                <c:pt idx="657">
                  <c:v>-8.3502912766081465</c:v>
                </c:pt>
                <c:pt idx="658">
                  <c:v>-8.3632998452709835</c:v>
                </c:pt>
                <c:pt idx="659">
                  <c:v>-8.3763084359554387</c:v>
                </c:pt>
                <c:pt idx="660">
                  <c:v>-8.3893170486611623</c:v>
                </c:pt>
                <c:pt idx="661">
                  <c:v>-8.4023256833878008</c:v>
                </c:pt>
                <c:pt idx="662">
                  <c:v>-8.4153343401350043</c:v>
                </c:pt>
                <c:pt idx="663">
                  <c:v>-8.4283430189024227</c:v>
                </c:pt>
                <c:pt idx="664">
                  <c:v>-8.4413517196897025</c:v>
                </c:pt>
                <c:pt idx="665">
                  <c:v>-8.454360442496494</c:v>
                </c:pt>
                <c:pt idx="666">
                  <c:v>-8.4673691873224453</c:v>
                </c:pt>
                <c:pt idx="667">
                  <c:v>-8.4803779541672046</c:v>
                </c:pt>
                <c:pt idx="668">
                  <c:v>-8.4933867430304204</c:v>
                </c:pt>
                <c:pt idx="669">
                  <c:v>-8.5063955539117426</c:v>
                </c:pt>
                <c:pt idx="670">
                  <c:v>-8.5194043868108178</c:v>
                </c:pt>
                <c:pt idx="671">
                  <c:v>-8.532413241727296</c:v>
                </c:pt>
                <c:pt idx="672">
                  <c:v>-8.5454221186608272</c:v>
                </c:pt>
                <c:pt idx="673">
                  <c:v>-8.5584310176110581</c:v>
                </c:pt>
                <c:pt idx="674">
                  <c:v>-8.5714399385776385</c:v>
                </c:pt>
                <c:pt idx="675">
                  <c:v>-8.5844488815602169</c:v>
                </c:pt>
                <c:pt idx="676">
                  <c:v>-8.5974578465584415</c:v>
                </c:pt>
                <c:pt idx="677">
                  <c:v>-8.6104668335719605</c:v>
                </c:pt>
                <c:pt idx="678">
                  <c:v>-8.6234758426004241</c:v>
                </c:pt>
                <c:pt idx="679">
                  <c:v>-8.6364848736434805</c:v>
                </c:pt>
                <c:pt idx="680">
                  <c:v>-8.649493926700778</c:v>
                </c:pt>
                <c:pt idx="681">
                  <c:v>-8.6625030017719666</c:v>
                </c:pt>
                <c:pt idx="682">
                  <c:v>-8.6755120988566929</c:v>
                </c:pt>
                <c:pt idx="683">
                  <c:v>-8.688521217954607</c:v>
                </c:pt>
                <c:pt idx="684">
                  <c:v>-8.701530359065357</c:v>
                </c:pt>
                <c:pt idx="685">
                  <c:v>-8.7145395221885931</c:v>
                </c:pt>
                <c:pt idx="686">
                  <c:v>-8.7275487073239617</c:v>
                </c:pt>
                <c:pt idx="687">
                  <c:v>-8.740557914471113</c:v>
                </c:pt>
                <c:pt idx="688">
                  <c:v>-8.7535671436296951</c:v>
                </c:pt>
                <c:pt idx="689">
                  <c:v>-8.7665763947993582</c:v>
                </c:pt>
                <c:pt idx="690">
                  <c:v>-8.7795856679797488</c:v>
                </c:pt>
                <c:pt idx="691">
                  <c:v>-8.7925949631705169</c:v>
                </c:pt>
                <c:pt idx="692">
                  <c:v>-8.8056042803713126</c:v>
                </c:pt>
                <c:pt idx="693">
                  <c:v>-8.8186136195817824</c:v>
                </c:pt>
                <c:pt idx="694">
                  <c:v>-8.8316229808015763</c:v>
                </c:pt>
                <c:pt idx="695">
                  <c:v>-8.8446323640303426</c:v>
                </c:pt>
                <c:pt idx="696">
                  <c:v>-8.8576417692677296</c:v>
                </c:pt>
                <c:pt idx="697">
                  <c:v>-8.8706511965133856</c:v>
                </c:pt>
                <c:pt idx="698">
                  <c:v>-8.8836606457669607</c:v>
                </c:pt>
                <c:pt idx="699">
                  <c:v>-8.8966701170281031</c:v>
                </c:pt>
                <c:pt idx="700">
                  <c:v>-8.9096796102964628</c:v>
                </c:pt>
                <c:pt idx="701">
                  <c:v>-8.9226891255716865</c:v>
                </c:pt>
                <c:pt idx="702">
                  <c:v>-8.9356986628534241</c:v>
                </c:pt>
                <c:pt idx="703">
                  <c:v>-8.9487082221413239</c:v>
                </c:pt>
                <c:pt idx="704">
                  <c:v>-8.961717803435036</c:v>
                </c:pt>
                <c:pt idx="705">
                  <c:v>-8.9747274067342069</c:v>
                </c:pt>
                <c:pt idx="706">
                  <c:v>-8.9877370320384866</c:v>
                </c:pt>
                <c:pt idx="707">
                  <c:v>-9.0007466793475253</c:v>
                </c:pt>
                <c:pt idx="708">
                  <c:v>-9.0137563486609693</c:v>
                </c:pt>
                <c:pt idx="709">
                  <c:v>-9.0267660399784688</c:v>
                </c:pt>
                <c:pt idx="710">
                  <c:v>-9.0397757532996721</c:v>
                </c:pt>
                <c:pt idx="711">
                  <c:v>-9.0527854886242292</c:v>
                </c:pt>
                <c:pt idx="712">
                  <c:v>-9.0657952459517883</c:v>
                </c:pt>
                <c:pt idx="713">
                  <c:v>-9.0788050252819978</c:v>
                </c:pt>
                <c:pt idx="714">
                  <c:v>-9.091814826614506</c:v>
                </c:pt>
                <c:pt idx="715">
                  <c:v>-9.1048246499489611</c:v>
                </c:pt>
                <c:pt idx="716">
                  <c:v>-9.1178344952850132</c:v>
                </c:pt>
                <c:pt idx="717">
                  <c:v>-9.1308443626223124</c:v>
                </c:pt>
                <c:pt idx="718">
                  <c:v>-9.1438542519605051</c:v>
                </c:pt>
                <c:pt idx="719">
                  <c:v>-9.1568641632992414</c:v>
                </c:pt>
                <c:pt idx="720">
                  <c:v>-9.1698740966381695</c:v>
                </c:pt>
                <c:pt idx="721">
                  <c:v>-9.1828840519769379</c:v>
                </c:pt>
                <c:pt idx="722">
                  <c:v>-9.1958940293151965</c:v>
                </c:pt>
                <c:pt idx="723">
                  <c:v>-9.2089040286525936</c:v>
                </c:pt>
                <c:pt idx="724">
                  <c:v>-9.2219140499887793</c:v>
                </c:pt>
                <c:pt idx="725">
                  <c:v>-9.2349240933234</c:v>
                </c:pt>
                <c:pt idx="726">
                  <c:v>-9.2479341586561059</c:v>
                </c:pt>
                <c:pt idx="727">
                  <c:v>-9.2609442459865452</c:v>
                </c:pt>
                <c:pt idx="728">
                  <c:v>-9.273954355314368</c:v>
                </c:pt>
                <c:pt idx="729">
                  <c:v>-9.2869644866392225</c:v>
                </c:pt>
                <c:pt idx="730">
                  <c:v>-9.299974639960757</c:v>
                </c:pt>
                <c:pt idx="731">
                  <c:v>-9.3129848152786217</c:v>
                </c:pt>
                <c:pt idx="732">
                  <c:v>-9.3259950125924647</c:v>
                </c:pt>
                <c:pt idx="733">
                  <c:v>-9.3390052319019343</c:v>
                </c:pt>
                <c:pt idx="734">
                  <c:v>-9.3520154732066789</c:v>
                </c:pt>
                <c:pt idx="735">
                  <c:v>-9.3650257365063485</c:v>
                </c:pt>
                <c:pt idx="736">
                  <c:v>-9.3780360218005914</c:v>
                </c:pt>
                <c:pt idx="737">
                  <c:v>-9.3910463290890576</c:v>
                </c:pt>
                <c:pt idx="738">
                  <c:v>-9.4040566583713954</c:v>
                </c:pt>
                <c:pt idx="739">
                  <c:v>-9.4170670096472531</c:v>
                </c:pt>
                <c:pt idx="740">
                  <c:v>-9.4300773829162789</c:v>
                </c:pt>
                <c:pt idx="741">
                  <c:v>-9.4430877781781231</c:v>
                </c:pt>
                <c:pt idx="742">
                  <c:v>-9.4560981954324337</c:v>
                </c:pt>
                <c:pt idx="743">
                  <c:v>-9.4691086346788609</c:v>
                </c:pt>
                <c:pt idx="744">
                  <c:v>-9.4821190959170529</c:v>
                </c:pt>
                <c:pt idx="745">
                  <c:v>-9.4951295791466581</c:v>
                </c:pt>
                <c:pt idx="746">
                  <c:v>-9.5081400843673247</c:v>
                </c:pt>
                <c:pt idx="747">
                  <c:v>-9.5211506115787028</c:v>
                </c:pt>
                <c:pt idx="748">
                  <c:v>-9.5341611607804406</c:v>
                </c:pt>
                <c:pt idx="749">
                  <c:v>-9.5471717319721883</c:v>
                </c:pt>
                <c:pt idx="750">
                  <c:v>-9.560182325153594</c:v>
                </c:pt>
                <c:pt idx="751">
                  <c:v>-9.5731929403243061</c:v>
                </c:pt>
                <c:pt idx="752">
                  <c:v>-9.5862035774839747</c:v>
                </c:pt>
                <c:pt idx="753">
                  <c:v>-9.5992142366322479</c:v>
                </c:pt>
                <c:pt idx="754">
                  <c:v>-9.6122249177687742</c:v>
                </c:pt>
                <c:pt idx="755">
                  <c:v>-9.6252356208932035</c:v>
                </c:pt>
                <c:pt idx="756">
                  <c:v>-9.6382463460051842</c:v>
                </c:pt>
                <c:pt idx="757">
                  <c:v>-9.6512570931043644</c:v>
                </c:pt>
                <c:pt idx="758">
                  <c:v>-9.6642678621903944</c:v>
                </c:pt>
                <c:pt idx="759">
                  <c:v>-9.6772786532629222</c:v>
                </c:pt>
                <c:pt idx="760">
                  <c:v>-9.6902894663215982</c:v>
                </c:pt>
                <c:pt idx="761">
                  <c:v>-9.7033003013660686</c:v>
                </c:pt>
                <c:pt idx="762">
                  <c:v>-9.7163111583959854</c:v>
                </c:pt>
                <c:pt idx="763">
                  <c:v>-9.729322037410995</c:v>
                </c:pt>
                <c:pt idx="764">
                  <c:v>-9.7423329384107475</c:v>
                </c:pt>
                <c:pt idx="765">
                  <c:v>-9.7553438613948913</c:v>
                </c:pt>
                <c:pt idx="766">
                  <c:v>-9.7683548063630763</c:v>
                </c:pt>
                <c:pt idx="767">
                  <c:v>-9.7813657733149508</c:v>
                </c:pt>
                <c:pt idx="768">
                  <c:v>-9.794376762250165</c:v>
                </c:pt>
                <c:pt idx="769">
                  <c:v>-9.8073877731683652</c:v>
                </c:pt>
                <c:pt idx="770">
                  <c:v>-9.8203988060692033</c:v>
                </c:pt>
                <c:pt idx="771">
                  <c:v>-9.8334098609523259</c:v>
                </c:pt>
                <c:pt idx="772">
                  <c:v>-9.846420937817383</c:v>
                </c:pt>
                <c:pt idx="773">
                  <c:v>-9.8594320366640247</c:v>
                </c:pt>
                <c:pt idx="774">
                  <c:v>-9.8724431574918974</c:v>
                </c:pt>
                <c:pt idx="775">
                  <c:v>-9.8854543003006512</c:v>
                </c:pt>
                <c:pt idx="776">
                  <c:v>-9.8984654650899362</c:v>
                </c:pt>
                <c:pt idx="777">
                  <c:v>-9.9114766518594006</c:v>
                </c:pt>
                <c:pt idx="778">
                  <c:v>-9.9244878606086928</c:v>
                </c:pt>
                <c:pt idx="779">
                  <c:v>-9.9374990913374628</c:v>
                </c:pt>
                <c:pt idx="780">
                  <c:v>-9.9505103440453588</c:v>
                </c:pt>
                <c:pt idx="781">
                  <c:v>-9.9635216187320292</c:v>
                </c:pt>
                <c:pt idx="782">
                  <c:v>-9.9765329153971241</c:v>
                </c:pt>
                <c:pt idx="783">
                  <c:v>-9.9895442340402916</c:v>
                </c:pt>
                <c:pt idx="784">
                  <c:v>-10.002555574661182</c:v>
                </c:pt>
                <c:pt idx="785">
                  <c:v>-10.015566937259443</c:v>
                </c:pt>
                <c:pt idx="786">
                  <c:v>-10.028578321834724</c:v>
                </c:pt>
                <c:pt idx="787">
                  <c:v>-10.041589728386674</c:v>
                </c:pt>
                <c:pt idx="788">
                  <c:v>-10.054601156914943</c:v>
                </c:pt>
                <c:pt idx="789">
                  <c:v>-10.067612607419179</c:v>
                </c:pt>
                <c:pt idx="790">
                  <c:v>-10.08062407989903</c:v>
                </c:pt>
                <c:pt idx="791">
                  <c:v>-10.093635574354147</c:v>
                </c:pt>
                <c:pt idx="792">
                  <c:v>-10.106647090784179</c:v>
                </c:pt>
                <c:pt idx="793">
                  <c:v>-10.119658629188773</c:v>
                </c:pt>
                <c:pt idx="794">
                  <c:v>-10.13267018956758</c:v>
                </c:pt>
                <c:pt idx="795">
                  <c:v>-10.145681771920248</c:v>
                </c:pt>
                <c:pt idx="796">
                  <c:v>-10.158693376246426</c:v>
                </c:pt>
                <c:pt idx="797">
                  <c:v>-10.171705002545762</c:v>
                </c:pt>
                <c:pt idx="798">
                  <c:v>-10.184716650817908</c:v>
                </c:pt>
                <c:pt idx="799">
                  <c:v>-10.197728321062511</c:v>
                </c:pt>
                <c:pt idx="800">
                  <c:v>-10.210740013279221</c:v>
                </c:pt>
                <c:pt idx="801">
                  <c:v>-10.223751727467686</c:v>
                </c:pt>
                <c:pt idx="802">
                  <c:v>-10.236763463627556</c:v>
                </c:pt>
                <c:pt idx="803">
                  <c:v>-10.249775221758478</c:v>
                </c:pt>
                <c:pt idx="804">
                  <c:v>-10.262787001860103</c:v>
                </c:pt>
                <c:pt idx="805">
                  <c:v>-10.27579880393208</c:v>
                </c:pt>
                <c:pt idx="806">
                  <c:v>-10.288810627974057</c:v>
                </c:pt>
                <c:pt idx="807">
                  <c:v>-10.301822473985684</c:v>
                </c:pt>
                <c:pt idx="808">
                  <c:v>-10.314834341966609</c:v>
                </c:pt>
                <c:pt idx="809">
                  <c:v>-10.327846231916482</c:v>
                </c:pt>
                <c:pt idx="810">
                  <c:v>-10.340858143834952</c:v>
                </c:pt>
                <c:pt idx="811">
                  <c:v>-10.353870077721668</c:v>
                </c:pt>
                <c:pt idx="812">
                  <c:v>-10.366882033576278</c:v>
                </c:pt>
                <c:pt idx="813">
                  <c:v>-10.379894011398433</c:v>
                </c:pt>
                <c:pt idx="814">
                  <c:v>-10.392906011187781</c:v>
                </c:pt>
                <c:pt idx="815">
                  <c:v>-10.405918032943971</c:v>
                </c:pt>
                <c:pt idx="816">
                  <c:v>-10.418930076666653</c:v>
                </c:pt>
                <c:pt idx="817">
                  <c:v>-10.431942142355474</c:v>
                </c:pt>
                <c:pt idx="818">
                  <c:v>-10.444954230010085</c:v>
                </c:pt>
                <c:pt idx="819">
                  <c:v>-10.457966339630135</c:v>
                </c:pt>
                <c:pt idx="820">
                  <c:v>-10.470978471215272</c:v>
                </c:pt>
                <c:pt idx="821">
                  <c:v>-10.483990624765147</c:v>
                </c:pt>
                <c:pt idx="822">
                  <c:v>-10.497002800279407</c:v>
                </c:pt>
                <c:pt idx="823">
                  <c:v>-10.510014997757702</c:v>
                </c:pt>
                <c:pt idx="824">
                  <c:v>-10.523027217199681</c:v>
                </c:pt>
                <c:pt idx="825">
                  <c:v>-10.536039458604993</c:v>
                </c:pt>
                <c:pt idx="826">
                  <c:v>-10.549051721973287</c:v>
                </c:pt>
                <c:pt idx="827">
                  <c:v>-10.562064007304212</c:v>
                </c:pt>
                <c:pt idx="828">
                  <c:v>-10.575076314597418</c:v>
                </c:pt>
                <c:pt idx="829">
                  <c:v>-10.588088643852553</c:v>
                </c:pt>
                <c:pt idx="830">
                  <c:v>-10.601100995069267</c:v>
                </c:pt>
                <c:pt idx="831">
                  <c:v>-10.614113368247208</c:v>
                </c:pt>
                <c:pt idx="832">
                  <c:v>-10.627125763386026</c:v>
                </c:pt>
                <c:pt idx="833">
                  <c:v>-10.640138180485369</c:v>
                </c:pt>
                <c:pt idx="834">
                  <c:v>-10.653150619544888</c:v>
                </c:pt>
                <c:pt idx="835">
                  <c:v>-10.666163080564232</c:v>
                </c:pt>
                <c:pt idx="836">
                  <c:v>-10.679175563543049</c:v>
                </c:pt>
                <c:pt idx="837">
                  <c:v>-10.692188068480988</c:v>
                </c:pt>
                <c:pt idx="838">
                  <c:v>-10.705200595377699</c:v>
                </c:pt>
                <c:pt idx="839">
                  <c:v>-10.718213144232831</c:v>
                </c:pt>
                <c:pt idx="840">
                  <c:v>-10.731225715046032</c:v>
                </c:pt>
                <c:pt idx="841">
                  <c:v>-10.744238307816952</c:v>
                </c:pt>
                <c:pt idx="842">
                  <c:v>-10.757250922545241</c:v>
                </c:pt>
                <c:pt idx="843">
                  <c:v>-10.770263559230546</c:v>
                </c:pt>
                <c:pt idx="844">
                  <c:v>-10.783276217872519</c:v>
                </c:pt>
                <c:pt idx="845">
                  <c:v>-10.796288898470808</c:v>
                </c:pt>
                <c:pt idx="846">
                  <c:v>-10.80930160102506</c:v>
                </c:pt>
                <c:pt idx="847">
                  <c:v>-10.822314325534927</c:v>
                </c:pt>
                <c:pt idx="848">
                  <c:v>-10.835327072000057</c:v>
                </c:pt>
                <c:pt idx="849">
                  <c:v>-10.848339840420099</c:v>
                </c:pt>
                <c:pt idx="850">
                  <c:v>-10.861352630794702</c:v>
                </c:pt>
                <c:pt idx="851">
                  <c:v>-10.874365443123516</c:v>
                </c:pt>
                <c:pt idx="852">
                  <c:v>-10.88737827740619</c:v>
                </c:pt>
                <c:pt idx="853">
                  <c:v>-10.900391133642373</c:v>
                </c:pt>
                <c:pt idx="854">
                  <c:v>-10.913404011831714</c:v>
                </c:pt>
                <c:pt idx="855">
                  <c:v>-10.926416911973863</c:v>
                </c:pt>
                <c:pt idx="856">
                  <c:v>-10.939429834068468</c:v>
                </c:pt>
                <c:pt idx="857">
                  <c:v>-10.952442778115179</c:v>
                </c:pt>
                <c:pt idx="858">
                  <c:v>-10.965455744113644</c:v>
                </c:pt>
                <c:pt idx="859">
                  <c:v>-10.978468732063513</c:v>
                </c:pt>
                <c:pt idx="860">
                  <c:v>-10.991481741964437</c:v>
                </c:pt>
                <c:pt idx="861">
                  <c:v>-11.004494773816061</c:v>
                </c:pt>
                <c:pt idx="862">
                  <c:v>-11.017507827618038</c:v>
                </c:pt>
                <c:pt idx="863">
                  <c:v>-11.030520903370016</c:v>
                </c:pt>
                <c:pt idx="864">
                  <c:v>-11.043534001071643</c:v>
                </c:pt>
                <c:pt idx="865">
                  <c:v>-11.05654712072257</c:v>
                </c:pt>
                <c:pt idx="866">
                  <c:v>-11.069560262322446</c:v>
                </c:pt>
                <c:pt idx="867">
                  <c:v>-11.082573425870919</c:v>
                </c:pt>
                <c:pt idx="868">
                  <c:v>-11.095586611367638</c:v>
                </c:pt>
                <c:pt idx="869">
                  <c:v>-11.108599818812255</c:v>
                </c:pt>
                <c:pt idx="870">
                  <c:v>-11.121613048204416</c:v>
                </c:pt>
                <c:pt idx="871">
                  <c:v>-11.134626299543772</c:v>
                </c:pt>
                <c:pt idx="872">
                  <c:v>-11.147639572829972</c:v>
                </c:pt>
                <c:pt idx="873">
                  <c:v>-11.160652868062664</c:v>
                </c:pt>
                <c:pt idx="874">
                  <c:v>-11.173666185241499</c:v>
                </c:pt>
                <c:pt idx="875">
                  <c:v>-11.186679524366125</c:v>
                </c:pt>
                <c:pt idx="876">
                  <c:v>-11.199692885436193</c:v>
                </c:pt>
                <c:pt idx="877">
                  <c:v>-11.212706268451349</c:v>
                </c:pt>
                <c:pt idx="878">
                  <c:v>-11.225719673411245</c:v>
                </c:pt>
                <c:pt idx="879">
                  <c:v>-11.23873310031553</c:v>
                </c:pt>
                <c:pt idx="880">
                  <c:v>-11.251746549163853</c:v>
                </c:pt>
                <c:pt idx="881">
                  <c:v>-11.264760019955862</c:v>
                </c:pt>
                <c:pt idx="882">
                  <c:v>-11.277773512691207</c:v>
                </c:pt>
                <c:pt idx="883">
                  <c:v>-11.290787027369538</c:v>
                </c:pt>
                <c:pt idx="884">
                  <c:v>-11.303800563990503</c:v>
                </c:pt>
                <c:pt idx="885">
                  <c:v>-11.316814122553753</c:v>
                </c:pt>
                <c:pt idx="886">
                  <c:v>-11.329827703058935</c:v>
                </c:pt>
                <c:pt idx="887">
                  <c:v>-11.342841305505701</c:v>
                </c:pt>
                <c:pt idx="888">
                  <c:v>-11.355854929893699</c:v>
                </c:pt>
                <c:pt idx="889">
                  <c:v>-11.368868576222576</c:v>
                </c:pt>
                <c:pt idx="890">
                  <c:v>-11.381882244491985</c:v>
                </c:pt>
                <c:pt idx="891">
                  <c:v>-11.394895934701573</c:v>
                </c:pt>
                <c:pt idx="892">
                  <c:v>-11.407909646850991</c:v>
                </c:pt>
                <c:pt idx="893">
                  <c:v>-11.420923380939886</c:v>
                </c:pt>
                <c:pt idx="894">
                  <c:v>-11.433937136967909</c:v>
                </c:pt>
                <c:pt idx="895">
                  <c:v>-11.446950914934709</c:v>
                </c:pt>
                <c:pt idx="896">
                  <c:v>-11.459964714839934</c:v>
                </c:pt>
                <c:pt idx="897">
                  <c:v>-11.472978536683234</c:v>
                </c:pt>
                <c:pt idx="898">
                  <c:v>-11.485992380464259</c:v>
                </c:pt>
                <c:pt idx="899">
                  <c:v>-11.499006246182658</c:v>
                </c:pt>
                <c:pt idx="900">
                  <c:v>-11.51202013383808</c:v>
                </c:pt>
                <c:pt idx="901">
                  <c:v>-11.525034043430175</c:v>
                </c:pt>
                <c:pt idx="902">
                  <c:v>-11.538047974958591</c:v>
                </c:pt>
                <c:pt idx="903">
                  <c:v>-11.551061928422978</c:v>
                </c:pt>
                <c:pt idx="904">
                  <c:v>-11.564075903822987</c:v>
                </c:pt>
                <c:pt idx="905">
                  <c:v>-11.577089901158265</c:v>
                </c:pt>
                <c:pt idx="906">
                  <c:v>-11.590103920428461</c:v>
                </c:pt>
                <c:pt idx="907">
                  <c:v>-11.603117961633227</c:v>
                </c:pt>
                <c:pt idx="908">
                  <c:v>-11.61613202477221</c:v>
                </c:pt>
                <c:pt idx="909">
                  <c:v>-11.62914610984506</c:v>
                </c:pt>
                <c:pt idx="910">
                  <c:v>-11.642160216851426</c:v>
                </c:pt>
                <c:pt idx="911">
                  <c:v>-11.655174345790957</c:v>
                </c:pt>
                <c:pt idx="912">
                  <c:v>-11.668188496663305</c:v>
                </c:pt>
                <c:pt idx="913">
                  <c:v>-11.681202669468115</c:v>
                </c:pt>
                <c:pt idx="914">
                  <c:v>-11.694216864205041</c:v>
                </c:pt>
                <c:pt idx="915">
                  <c:v>-11.707231080873729</c:v>
                </c:pt>
                <c:pt idx="916">
                  <c:v>-11.720245319473829</c:v>
                </c:pt>
                <c:pt idx="917">
                  <c:v>-11.733259580004992</c:v>
                </c:pt>
                <c:pt idx="918">
                  <c:v>-11.746273862466865</c:v>
                </c:pt>
                <c:pt idx="919">
                  <c:v>-11.759288166859099</c:v>
                </c:pt>
                <c:pt idx="920">
                  <c:v>-11.772302493181343</c:v>
                </c:pt>
                <c:pt idx="921">
                  <c:v>-11.785316841433245</c:v>
                </c:pt>
                <c:pt idx="922">
                  <c:v>-11.798331211614455</c:v>
                </c:pt>
                <c:pt idx="923">
                  <c:v>-11.811345603724623</c:v>
                </c:pt>
                <c:pt idx="924">
                  <c:v>-11.8243600177634</c:v>
                </c:pt>
                <c:pt idx="925">
                  <c:v>-11.837374453730433</c:v>
                </c:pt>
                <c:pt idx="926">
                  <c:v>-11.850388911625371</c:v>
                </c:pt>
                <c:pt idx="927">
                  <c:v>-11.863403391447866</c:v>
                </c:pt>
                <c:pt idx="928">
                  <c:v>-11.876417893197564</c:v>
                </c:pt>
                <c:pt idx="929">
                  <c:v>-11.889432416874117</c:v>
                </c:pt>
                <c:pt idx="930">
                  <c:v>-11.902446962477173</c:v>
                </c:pt>
                <c:pt idx="931">
                  <c:v>-11.915461530006382</c:v>
                </c:pt>
                <c:pt idx="932">
                  <c:v>-11.928476119461394</c:v>
                </c:pt>
                <c:pt idx="933">
                  <c:v>-11.941490730841856</c:v>
                </c:pt>
                <c:pt idx="934">
                  <c:v>-11.954505364147421</c:v>
                </c:pt>
                <c:pt idx="935">
                  <c:v>-11.967520019377735</c:v>
                </c:pt>
                <c:pt idx="936">
                  <c:v>-11.98053469653245</c:v>
                </c:pt>
                <c:pt idx="937">
                  <c:v>-11.993549395611213</c:v>
                </c:pt>
                <c:pt idx="938">
                  <c:v>-12.006564116613674</c:v>
                </c:pt>
                <c:pt idx="939">
                  <c:v>-12.019578859539484</c:v>
                </c:pt>
                <c:pt idx="940">
                  <c:v>-12.032593624388291</c:v>
                </c:pt>
                <c:pt idx="941">
                  <c:v>-12.045608411159744</c:v>
                </c:pt>
                <c:pt idx="942">
                  <c:v>-12.058623219853494</c:v>
                </c:pt>
                <c:pt idx="943">
                  <c:v>-12.07163805046919</c:v>
                </c:pt>
                <c:pt idx="944">
                  <c:v>-12.08465290300648</c:v>
                </c:pt>
                <c:pt idx="945">
                  <c:v>-12.097667777465016</c:v>
                </c:pt>
                <c:pt idx="946">
                  <c:v>-12.110682673844446</c:v>
                </c:pt>
                <c:pt idx="947">
                  <c:v>-12.123697592144419</c:v>
                </c:pt>
                <c:pt idx="948">
                  <c:v>-12.136712532364584</c:v>
                </c:pt>
                <c:pt idx="949">
                  <c:v>-12.149727494504591</c:v>
                </c:pt>
                <c:pt idx="950">
                  <c:v>-12.162742478564089</c:v>
                </c:pt>
                <c:pt idx="951">
                  <c:v>-12.17575748454273</c:v>
                </c:pt>
                <c:pt idx="952">
                  <c:v>-12.188772512440162</c:v>
                </c:pt>
                <c:pt idx="953">
                  <c:v>-12.201787562256031</c:v>
                </c:pt>
                <c:pt idx="954">
                  <c:v>-12.214802633989992</c:v>
                </c:pt>
                <c:pt idx="955">
                  <c:v>-12.227817727641691</c:v>
                </c:pt>
                <c:pt idx="956">
                  <c:v>-12.240832843210779</c:v>
                </c:pt>
                <c:pt idx="957">
                  <c:v>-12.253847980696904</c:v>
                </c:pt>
                <c:pt idx="958">
                  <c:v>-12.266863140099716</c:v>
                </c:pt>
                <c:pt idx="959">
                  <c:v>-12.279878321418865</c:v>
                </c:pt>
                <c:pt idx="960">
                  <c:v>-12.292893524654</c:v>
                </c:pt>
                <c:pt idx="961">
                  <c:v>-12.30590874980477</c:v>
                </c:pt>
                <c:pt idx="962">
                  <c:v>-12.318923996870826</c:v>
                </c:pt>
                <c:pt idx="963">
                  <c:v>-12.331939265851815</c:v>
                </c:pt>
                <c:pt idx="964">
                  <c:v>-12.344954556747389</c:v>
                </c:pt>
                <c:pt idx="965">
                  <c:v>-12.357969869557197</c:v>
                </c:pt>
                <c:pt idx="966">
                  <c:v>-12.370985204280887</c:v>
                </c:pt>
                <c:pt idx="967">
                  <c:v>-12.384000560918109</c:v>
                </c:pt>
                <c:pt idx="968">
                  <c:v>-12.397015939468513</c:v>
                </c:pt>
                <c:pt idx="969">
                  <c:v>-12.410031339931749</c:v>
                </c:pt>
                <c:pt idx="970">
                  <c:v>-12.423046762307465</c:v>
                </c:pt>
                <c:pt idx="971">
                  <c:v>-12.436062206595311</c:v>
                </c:pt>
                <c:pt idx="972">
                  <c:v>-12.449077672794939</c:v>
                </c:pt>
                <c:pt idx="973">
                  <c:v>-12.462093160905996</c:v>
                </c:pt>
                <c:pt idx="974">
                  <c:v>-12.475108670928131</c:v>
                </c:pt>
                <c:pt idx="975">
                  <c:v>-12.488124202860995</c:v>
                </c:pt>
                <c:pt idx="976">
                  <c:v>-12.501139756704235</c:v>
                </c:pt>
                <c:pt idx="977">
                  <c:v>-12.514155332457504</c:v>
                </c:pt>
                <c:pt idx="978">
                  <c:v>-12.52717093012045</c:v>
                </c:pt>
                <c:pt idx="979">
                  <c:v>-12.540186549692722</c:v>
                </c:pt>
                <c:pt idx="980">
                  <c:v>-12.55320219117397</c:v>
                </c:pt>
                <c:pt idx="981">
                  <c:v>-12.566217854563844</c:v>
                </c:pt>
                <c:pt idx="982">
                  <c:v>-12.579233539861992</c:v>
                </c:pt>
                <c:pt idx="983">
                  <c:v>-12.592249247068064</c:v>
                </c:pt>
                <c:pt idx="984">
                  <c:v>-12.605264976181711</c:v>
                </c:pt>
                <c:pt idx="985">
                  <c:v>-12.618280727202581</c:v>
                </c:pt>
                <c:pt idx="986">
                  <c:v>-12.631296500130324</c:v>
                </c:pt>
                <c:pt idx="987">
                  <c:v>-12.644312294964589</c:v>
                </c:pt>
                <c:pt idx="988">
                  <c:v>-12.657328111705027</c:v>
                </c:pt>
                <c:pt idx="989">
                  <c:v>-12.670343950351286</c:v>
                </c:pt>
                <c:pt idx="990">
                  <c:v>-12.683359810903017</c:v>
                </c:pt>
                <c:pt idx="991">
                  <c:v>-12.696375693359869</c:v>
                </c:pt>
                <c:pt idx="992">
                  <c:v>-12.70939159772149</c:v>
                </c:pt>
                <c:pt idx="993">
                  <c:v>-12.722407523987531</c:v>
                </c:pt>
                <c:pt idx="994">
                  <c:v>-12.735423472157642</c:v>
                </c:pt>
                <c:pt idx="995">
                  <c:v>-12.748439442231472</c:v>
                </c:pt>
                <c:pt idx="996">
                  <c:v>-12.761455434208671</c:v>
                </c:pt>
                <c:pt idx="997">
                  <c:v>-12.774471448088887</c:v>
                </c:pt>
                <c:pt idx="998">
                  <c:v>-12.78748748387177</c:v>
                </c:pt>
                <c:pt idx="999">
                  <c:v>-12.800503541556971</c:v>
                </c:pt>
                <c:pt idx="1000">
                  <c:v>-12.813519621144138</c:v>
                </c:pt>
              </c:numCache>
            </c:numRef>
          </c:yVal>
          <c:smooth val="1"/>
          <c:extLst>
            <c:ext xmlns:c16="http://schemas.microsoft.com/office/drawing/2014/chart" uri="{C3380CC4-5D6E-409C-BE32-E72D297353CC}">
              <c16:uniqueId val="{00000002-432A-49A9-9499-7ED3E32DDB07}"/>
            </c:ext>
          </c:extLst>
        </c:ser>
        <c:ser>
          <c:idx val="4"/>
          <c:order val="3"/>
          <c:tx>
            <c:strRef>
              <c:f>Trajecto!$B$110</c:f>
              <c:strCache>
                <c:ptCount val="1"/>
                <c:pt idx="0">
                  <c:v>Satellite sous parachute</c:v>
                </c:pt>
              </c:strCache>
            </c:strRef>
          </c:tx>
          <c:spPr>
            <a:ln w="25400">
              <a:solidFill>
                <a:srgbClr val="FF6600"/>
              </a:solidFill>
              <a:prstDash val="solid"/>
            </a:ln>
          </c:spPr>
          <c:marker>
            <c:symbol val="none"/>
          </c:marker>
          <c:dLbls>
            <c:dLbl>
              <c:idx val="1"/>
              <c:spPr>
                <a:noFill/>
                <a:ln w="25400">
                  <a:noFill/>
                </a:ln>
              </c:spPr>
              <c:txPr>
                <a:bodyPr/>
                <a:lstStyle/>
                <a:p>
                  <a:pPr>
                    <a:defRPr sz="700" b="1" i="0" u="none" strike="noStrike" baseline="0">
                      <a:solidFill>
                        <a:srgbClr val="FF66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432A-49A9-9499-7ED3E32DDB07}"/>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Trajecto!$B$141:$B$147</c:f>
              <c:numCache>
                <c:formatCode>0</c:formatCode>
                <c:ptCount val="7"/>
                <c:pt idx="0">
                  <c:v>160.0409094743554</c:v>
                </c:pt>
                <c:pt idx="1">
                  <c:v>160.0409094743554</c:v>
                </c:pt>
                <c:pt idx="2">
                  <c:v>160.0409094743554</c:v>
                </c:pt>
                <c:pt idx="3">
                  <c:v>179.17157531934609</c:v>
                </c:pt>
                <c:pt idx="4">
                  <c:v>160.0409094743554</c:v>
                </c:pt>
                <c:pt idx="5">
                  <c:v>140.91024362936471</c:v>
                </c:pt>
                <c:pt idx="6">
                  <c:v>160.0409094743554</c:v>
                </c:pt>
              </c:numCache>
            </c:numRef>
          </c:xVal>
          <c:yVal>
            <c:numRef>
              <c:f>Trajecto!$C$141:$C$147</c:f>
              <c:numCache>
                <c:formatCode>0</c:formatCode>
                <c:ptCount val="7"/>
                <c:pt idx="0">
                  <c:v>765.22663379962705</c:v>
                </c:pt>
                <c:pt idx="1">
                  <c:v>191.30665844990676</c:v>
                </c:pt>
                <c:pt idx="2">
                  <c:v>0</c:v>
                </c:pt>
                <c:pt idx="3">
                  <c:v>38.261331689981354</c:v>
                </c:pt>
                <c:pt idx="4">
                  <c:v>0</c:v>
                </c:pt>
                <c:pt idx="5">
                  <c:v>38.261331689981354</c:v>
                </c:pt>
                <c:pt idx="6">
                  <c:v>0</c:v>
                </c:pt>
              </c:numCache>
            </c:numRef>
          </c:yVal>
          <c:smooth val="0"/>
          <c:extLst>
            <c:ext xmlns:c16="http://schemas.microsoft.com/office/drawing/2014/chart" uri="{C3380CC4-5D6E-409C-BE32-E72D297353CC}">
              <c16:uniqueId val="{00000004-432A-49A9-9499-7ED3E32DDB07}"/>
            </c:ext>
          </c:extLst>
        </c:ser>
        <c:ser>
          <c:idx val="5"/>
          <c:order val="4"/>
          <c:tx>
            <c:strRef>
              <c:f>Trajecto!$B$107</c:f>
              <c:strCache>
                <c:ptCount val="1"/>
                <c:pt idx="0">
                  <c:v>Phase ascendante</c:v>
                </c:pt>
              </c:strCache>
            </c:strRef>
          </c:tx>
          <c:spPr>
            <a:ln w="25400">
              <a:solidFill>
                <a:srgbClr val="000080"/>
              </a:solidFill>
              <a:prstDash val="solid"/>
            </a:ln>
          </c:spPr>
          <c:marker>
            <c:symbol val="none"/>
          </c:marker>
          <c:xVal>
            <c:numRef>
              <c:f>Calculs!$J$4:$J$1004</c:f>
              <c:numCache>
                <c:formatCode>0.00</c:formatCode>
                <c:ptCount val="1001"/>
                <c:pt idx="0">
                  <c:v>0</c:v>
                </c:pt>
                <c:pt idx="1">
                  <c:v>1.7892997656497936E-4</c:v>
                </c:pt>
                <c:pt idx="2">
                  <c:v>1.4474288184167655E-3</c:v>
                </c:pt>
                <c:pt idx="3">
                  <c:v>4.9832137393807791E-3</c:v>
                </c:pt>
                <c:pt idx="4">
                  <c:v>1.1185805984879213E-2</c:v>
                </c:pt>
                <c:pt idx="5">
                  <c:v>1.9962106559816332E-2</c:v>
                </c:pt>
                <c:pt idx="6">
                  <c:v>3.1247287650135055E-2</c:v>
                </c:pt>
                <c:pt idx="7">
                  <c:v>4.5033399923459179E-2</c:v>
                </c:pt>
                <c:pt idx="8">
                  <c:v>6.1340984352270589E-2</c:v>
                </c:pt>
                <c:pt idx="9">
                  <c:v>8.0190597511336087E-2</c:v>
                </c:pt>
                <c:pt idx="10">
                  <c:v>0.10160281123163188</c:v>
                </c:pt>
                <c:pt idx="11">
                  <c:v>0.12559525131653826</c:v>
                </c:pt>
                <c:pt idx="12">
                  <c:v>0.152179627257715</c:v>
                </c:pt>
                <c:pt idx="13">
                  <c:v>0.18136467950163004</c:v>
                </c:pt>
                <c:pt idx="14">
                  <c:v>0.21315913574829407</c:v>
                </c:pt>
                <c:pt idx="15">
                  <c:v>0.24757171066501538</c:v>
                </c:pt>
                <c:pt idx="16">
                  <c:v>0.28461110559901903</c:v>
                </c:pt>
                <c:pt idx="17">
                  <c:v>0.32428600828894893</c:v>
                </c:pt>
                <c:pt idx="18">
                  <c:v>0.36660509257527152</c:v>
                </c:pt>
                <c:pt idx="19">
                  <c:v>0.41157701810960073</c:v>
                </c:pt>
                <c:pt idx="20">
                  <c:v>0.45921043006296369</c:v>
                </c:pt>
                <c:pt idx="21">
                  <c:v>0.5095127693343231</c:v>
                </c:pt>
                <c:pt idx="22">
                  <c:v>0.56248907919422608</c:v>
                </c:pt>
                <c:pt idx="23">
                  <c:v>0.61814318931996148</c:v>
                </c:pt>
                <c:pt idx="24">
                  <c:v>0.67647890344921857</c:v>
                </c:pt>
                <c:pt idx="25">
                  <c:v>0.73749999919546472</c:v>
                </c:pt>
                <c:pt idx="26">
                  <c:v>0.8012941763834075</c:v>
                </c:pt>
                <c:pt idx="27">
                  <c:v>0.86795272947429092</c:v>
                </c:pt>
                <c:pt idx="28">
                  <c:v>0.93748653958243822</c:v>
                </c:pt>
                <c:pt idx="29">
                  <c:v>1.0099062825247531</c:v>
                </c:pt>
                <c:pt idx="30">
                  <c:v>1.085222377190548</c:v>
                </c:pt>
                <c:pt idx="31">
                  <c:v>1.1634450013451973</c:v>
                </c:pt>
                <c:pt idx="32">
                  <c:v>1.2445841058013298</c:v>
                </c:pt>
                <c:pt idx="33">
                  <c:v>1.3286494271723839</c:v>
                </c:pt>
                <c:pt idx="34">
                  <c:v>1.415650499389117</c:v>
                </c:pt>
                <c:pt idx="35">
                  <c:v>1.5055966641317808</c:v>
                </c:pt>
                <c:pt idx="36">
                  <c:v>1.5984970803078113</c:v>
                </c:pt>
                <c:pt idx="37">
                  <c:v>1.6943607326860135</c:v>
                </c:pt>
                <c:pt idx="38">
                  <c:v>1.7931964397825528</c:v>
                </c:pt>
                <c:pt idx="39">
                  <c:v>1.8950128610809818</c:v>
                </c:pt>
                <c:pt idx="40">
                  <c:v>1.9998185036575469</c:v>
                </c:pt>
                <c:pt idx="41">
                  <c:v>2.1076207712838904</c:v>
                </c:pt>
                <c:pt idx="42">
                  <c:v>2.218425005839372</c:v>
                </c:pt>
                <c:pt idx="43">
                  <c:v>2.3322354399259564</c:v>
                </c:pt>
                <c:pt idx="44">
                  <c:v>2.449056156621757</c:v>
                </c:pt>
                <c:pt idx="45">
                  <c:v>2.5688910945344472</c:v>
                </c:pt>
                <c:pt idx="46">
                  <c:v>2.6917440524969045</c:v>
                </c:pt>
                <c:pt idx="47">
                  <c:v>2.8176186939381216</c:v>
                </c:pt>
                <c:pt idx="48">
                  <c:v>2.9465185509587153</c:v>
                </c:pt>
                <c:pt idx="49">
                  <c:v>3.0784470281371492</c:v>
                </c:pt>
                <c:pt idx="50">
                  <c:v>3.2134074060899813</c:v>
                </c:pt>
                <c:pt idx="51">
                  <c:v>3.351402844807001</c:v>
                </c:pt>
                <c:pt idx="52">
                  <c:v>3.4924363867799717</c:v>
                </c:pt>
                <c:pt idx="53">
                  <c:v>3.6365109599418122</c:v>
                </c:pt>
                <c:pt idx="54">
                  <c:v>3.7836293804313885</c:v>
                </c:pt>
                <c:pt idx="55">
                  <c:v>3.9337943551976151</c:v>
                </c:pt>
                <c:pt idx="56">
                  <c:v>4.0870084844552679</c:v>
                </c:pt>
                <c:pt idx="57">
                  <c:v>4.2432742640037509</c:v>
                </c:pt>
                <c:pt idx="58">
                  <c:v>4.4025940874190415</c:v>
                </c:pt>
                <c:pt idx="59">
                  <c:v>4.5649702481281036</c:v>
                </c:pt>
                <c:pt idx="60">
                  <c:v>4.7304049413742542</c:v>
                </c:pt>
                <c:pt idx="61">
                  <c:v>4.8989002660812258</c:v>
                </c:pt>
                <c:pt idx="62">
                  <c:v>5.0704582266230132</c:v>
                </c:pt>
                <c:pt idx="63">
                  <c:v>5.2450807345059918</c:v>
                </c:pt>
                <c:pt idx="64">
                  <c:v>5.4227696099692642</c:v>
                </c:pt>
                <c:pt idx="65">
                  <c:v>5.6035265835087165</c:v>
                </c:pt>
                <c:pt idx="66">
                  <c:v>5.7873532973298154</c:v>
                </c:pt>
                <c:pt idx="67">
                  <c:v>5.9742513067337928</c:v>
                </c:pt>
                <c:pt idx="68">
                  <c:v>6.1642220814415012</c:v>
                </c:pt>
                <c:pt idx="69">
                  <c:v>6.3572670068588977</c:v>
                </c:pt>
                <c:pt idx="70">
                  <c:v>6.5533873852878211</c:v>
                </c:pt>
                <c:pt idx="71">
                  <c:v>6.7525844370854538</c:v>
                </c:pt>
                <c:pt idx="72">
                  <c:v>6.954859301775608</c:v>
                </c:pt>
                <c:pt idx="73">
                  <c:v>7.1602130391147609</c:v>
                </c:pt>
                <c:pt idx="74">
                  <c:v>7.3686466301155544</c:v>
                </c:pt>
                <c:pt idx="75">
                  <c:v>7.5801609780302721</c:v>
                </c:pt>
                <c:pt idx="76">
                  <c:v>7.794756909296658</c:v>
                </c:pt>
                <c:pt idx="77">
                  <c:v>8.0124351744482567</c:v>
                </c:pt>
                <c:pt idx="78">
                  <c:v>8.2331964489913236</c:v>
                </c:pt>
                <c:pt idx="79">
                  <c:v>8.4570413342502153</c:v>
                </c:pt>
                <c:pt idx="80">
                  <c:v>8.683970358183041</c:v>
                </c:pt>
                <c:pt idx="81">
                  <c:v>8.9139829542945961</c:v>
                </c:pt>
                <c:pt idx="82">
                  <c:v>9.1470764357997627</c:v>
                </c:pt>
                <c:pt idx="83">
                  <c:v>9.3832470122053717</c:v>
                </c:pt>
                <c:pt idx="84">
                  <c:v>9.6224908107447931</c:v>
                </c:pt>
                <c:pt idx="85">
                  <c:v>9.8648038773720774</c:v>
                </c:pt>
                <c:pt idx="86">
                  <c:v>10.110182177729953</c:v>
                </c:pt>
                <c:pt idx="87">
                  <c:v>10.3586215980931</c:v>
                </c:pt>
                <c:pt idx="88">
                  <c:v>10.610117946288042</c:v>
                </c:pt>
                <c:pt idx="89">
                  <c:v>10.864666952590948</c:v>
                </c:pt>
                <c:pt idx="90">
                  <c:v>11.122264270604477</c:v>
                </c:pt>
                <c:pt idx="91">
                  <c:v>11.382905022507245</c:v>
                </c:pt>
                <c:pt idx="92">
                  <c:v>11.646583342379879</c:v>
                </c:pt>
                <c:pt idx="93">
                  <c:v>11.91329283025769</c:v>
                </c:pt>
                <c:pt idx="94">
                  <c:v>12.183027008137143</c:v>
                </c:pt>
                <c:pt idx="95">
                  <c:v>12.455779320894628</c:v>
                </c:pt>
                <c:pt idx="96">
                  <c:v>12.731543137188357</c:v>
                </c:pt>
                <c:pt idx="97">
                  <c:v>13.010311750344218</c:v>
                </c:pt>
                <c:pt idx="98">
                  <c:v>13.292078379226389</c:v>
                </c:pt>
                <c:pt idx="99">
                  <c:v>13.57683616909347</c:v>
                </c:pt>
                <c:pt idx="100">
                  <c:v>13.864578192440836</c:v>
                </c:pt>
                <c:pt idx="101">
                  <c:v>14.155297376350045</c:v>
                </c:pt>
                <c:pt idx="102">
                  <c:v>14.448986429548018</c:v>
                </c:pt>
                <c:pt idx="103">
                  <c:v>14.745637916355145</c:v>
                </c:pt>
                <c:pt idx="104">
                  <c:v>15.04524433090991</c:v>
                </c:pt>
                <c:pt idx="105">
                  <c:v>15.347798097971733</c:v>
                </c:pt>
                <c:pt idx="106">
                  <c:v>15.653291573713307</c:v>
                </c:pt>
                <c:pt idx="107">
                  <c:v>15.961717046502892</c:v>
                </c:pt>
                <c:pt idx="108">
                  <c:v>16.27306673767702</c:v>
                </c:pt>
                <c:pt idx="109">
                  <c:v>16.58733280230404</c:v>
                </c:pt>
                <c:pt idx="110">
                  <c:v>16.904507329938905</c:v>
                </c:pt>
                <c:pt idx="111">
                  <c:v>17.224583197876726</c:v>
                </c:pt>
                <c:pt idx="112">
                  <c:v>17.547554927316444</c:v>
                </c:pt>
                <c:pt idx="113">
                  <c:v>17.873417835004652</c:v>
                </c:pt>
                <c:pt idx="114">
                  <c:v>18.202167181847798</c:v>
                </c:pt>
                <c:pt idx="115">
                  <c:v>18.533798173417278</c:v>
                </c:pt>
                <c:pt idx="116">
                  <c:v>18.868305960449607</c:v>
                </c:pt>
                <c:pt idx="117">
                  <c:v>19.205685639341908</c:v>
                </c:pt>
                <c:pt idx="118">
                  <c:v>19.545932252642903</c:v>
                </c:pt>
                <c:pt idx="119">
                  <c:v>19.889040789539624</c:v>
                </c:pt>
                <c:pt idx="120">
                  <c:v>20.235006186340019</c:v>
                </c:pt>
                <c:pt idx="121">
                  <c:v>20.583821902847102</c:v>
                </c:pt>
                <c:pt idx="122">
                  <c:v>20.935478494280126</c:v>
                </c:pt>
                <c:pt idx="123">
                  <c:v>21.289965030840758</c:v>
                </c:pt>
                <c:pt idx="124">
                  <c:v>21.647270521898832</c:v>
                </c:pt>
                <c:pt idx="125">
                  <c:v>22.007383916803164</c:v>
                </c:pt>
                <c:pt idx="126">
                  <c:v>22.370294105686341</c:v>
                </c:pt>
                <c:pt idx="127">
                  <c:v>22.735989920263702</c:v>
                </c:pt>
                <c:pt idx="128">
                  <c:v>23.104460134626635</c:v>
                </c:pt>
                <c:pt idx="129">
                  <c:v>23.475693466030386</c:v>
                </c:pt>
                <c:pt idx="130">
                  <c:v>23.849678575676499</c:v>
                </c:pt>
                <c:pt idx="131">
                  <c:v>24.22640369415118</c:v>
                </c:pt>
                <c:pt idx="132">
                  <c:v>24.605856245813058</c:v>
                </c:pt>
                <c:pt idx="133">
                  <c:v>24.988023223789575</c:v>
                </c:pt>
                <c:pt idx="134">
                  <c:v>25.372891566061412</c:v>
                </c:pt>
                <c:pt idx="135">
                  <c:v>25.760448156314386</c:v>
                </c:pt>
                <c:pt idx="136">
                  <c:v>26.150679824785865</c:v>
                </c:pt>
                <c:pt idx="137">
                  <c:v>26.543573349105799</c:v>
                </c:pt>
                <c:pt idx="138">
                  <c:v>26.939115455132459</c:v>
                </c:pt>
                <c:pt idx="139">
                  <c:v>27.337292817782952</c:v>
                </c:pt>
                <c:pt idx="140">
                  <c:v>27.738092061858637</c:v>
                </c:pt>
                <c:pt idx="141">
                  <c:v>28.141495246640073</c:v>
                </c:pt>
                <c:pt idx="142">
                  <c:v>28.547475339462455</c:v>
                </c:pt>
                <c:pt idx="143">
                  <c:v>28.956000722050604</c:v>
                </c:pt>
                <c:pt idx="144">
                  <c:v>29.367039708534971</c:v>
                </c:pt>
                <c:pt idx="145">
                  <c:v>29.780560547587509</c:v>
                </c:pt>
                <c:pt idx="146">
                  <c:v>30.196531424537593</c:v>
                </c:pt>
                <c:pt idx="147">
                  <c:v>30.61492046346801</c:v>
                </c:pt>
                <c:pt idx="148">
                  <c:v>31.035695729291103</c:v>
                </c:pt>
                <c:pt idx="149">
                  <c:v>31.458825229805033</c:v>
                </c:pt>
                <c:pt idx="150">
                  <c:v>31.884276917730208</c:v>
                </c:pt>
                <c:pt idx="151">
                  <c:v>32.312018692725871</c:v>
                </c:pt>
                <c:pt idx="152">
                  <c:v>32.742018403386844</c:v>
                </c:pt>
                <c:pt idx="153">
                  <c:v>33.174243849220417</c:v>
                </c:pt>
                <c:pt idx="154">
                  <c:v>33.608662782603396</c:v>
                </c:pt>
                <c:pt idx="155">
                  <c:v>34.045242910719253</c:v>
                </c:pt>
                <c:pt idx="156">
                  <c:v>34.483930322078059</c:v>
                </c:pt>
                <c:pt idx="157">
                  <c:v>34.92462787832725</c:v>
                </c:pt>
                <c:pt idx="158">
                  <c:v>35.367216770925353</c:v>
                </c:pt>
                <c:pt idx="159">
                  <c:v>35.811578118604466</c:v>
                </c:pt>
                <c:pt idx="160">
                  <c:v>36.257592981334824</c:v>
                </c:pt>
                <c:pt idx="161">
                  <c:v>36.705114872221273</c:v>
                </c:pt>
                <c:pt idx="162">
                  <c:v>37.153942248869846</c:v>
                </c:pt>
                <c:pt idx="163">
                  <c:v>37.603848668083614</c:v>
                </c:pt>
                <c:pt idx="164">
                  <c:v>38.054612976057101</c:v>
                </c:pt>
                <c:pt idx="165">
                  <c:v>38.506043043587127</c:v>
                </c:pt>
                <c:pt idx="166">
                  <c:v>38.957999493957715</c:v>
                </c:pt>
                <c:pt idx="167">
                  <c:v>39.410349340342641</c:v>
                </c:pt>
                <c:pt idx="168">
                  <c:v>39.862934118427646</c:v>
                </c:pt>
                <c:pt idx="169">
                  <c:v>40.315548551444436</c:v>
                </c:pt>
                <c:pt idx="170">
                  <c:v>40.767933771760433</c:v>
                </c:pt>
                <c:pt idx="171">
                  <c:v>41.219908555212577</c:v>
                </c:pt>
                <c:pt idx="172">
                  <c:v>41.671427848854393</c:v>
                </c:pt>
                <c:pt idx="173">
                  <c:v>42.122492862915699</c:v>
                </c:pt>
                <c:pt idx="174">
                  <c:v>42.573104803021707</c:v>
                </c:pt>
                <c:pt idx="175">
                  <c:v>43.023264870216877</c:v>
                </c:pt>
                <c:pt idx="176">
                  <c:v>43.472974260988636</c:v>
                </c:pt>
                <c:pt idx="177">
                  <c:v>43.922234167290867</c:v>
                </c:pt>
                <c:pt idx="178">
                  <c:v>44.371045776567335</c:v>
                </c:pt>
                <c:pt idx="179">
                  <c:v>44.819410271774899</c:v>
                </c:pt>
                <c:pt idx="180">
                  <c:v>45.267328831406608</c:v>
                </c:pt>
                <c:pt idx="181">
                  <c:v>45.714802629514622</c:v>
                </c:pt>
                <c:pt idx="182">
                  <c:v>46.161832835733016</c:v>
                </c:pt>
                <c:pt idx="183">
                  <c:v>46.608420615300403</c:v>
                </c:pt>
                <c:pt idx="184">
                  <c:v>47.054567129082443</c:v>
                </c:pt>
                <c:pt idx="185">
                  <c:v>47.500273533594182</c:v>
                </c:pt>
                <c:pt idx="186">
                  <c:v>47.945540981022276</c:v>
                </c:pt>
                <c:pt idx="187">
                  <c:v>48.39037061924703</c:v>
                </c:pt>
                <c:pt idx="188">
                  <c:v>48.834763591864345</c:v>
                </c:pt>
                <c:pt idx="189">
                  <c:v>49.278721038207486</c:v>
                </c:pt>
                <c:pt idx="190">
                  <c:v>49.722244093368737</c:v>
                </c:pt>
                <c:pt idx="191">
                  <c:v>50.165333888220907</c:v>
                </c:pt>
                <c:pt idx="192">
                  <c:v>50.607991549438694</c:v>
                </c:pt>
                <c:pt idx="193">
                  <c:v>51.050218199519918</c:v>
                </c:pt>
                <c:pt idx="194">
                  <c:v>51.492014956806635</c:v>
                </c:pt>
                <c:pt idx="195">
                  <c:v>51.933382935506089</c:v>
                </c:pt>
                <c:pt idx="196">
                  <c:v>52.374323245711551</c:v>
                </c:pt>
                <c:pt idx="197">
                  <c:v>52.814836993423008</c:v>
                </c:pt>
                <c:pt idx="198">
                  <c:v>53.254925280567761</c:v>
                </c:pt>
                <c:pt idx="199">
                  <c:v>53.69458920502084</c:v>
                </c:pt>
                <c:pt idx="200">
                  <c:v>54.133829860625326</c:v>
                </c:pt>
                <c:pt idx="201">
                  <c:v>58.503041046905885</c:v>
                </c:pt>
                <c:pt idx="202">
                  <c:v>62.830626810240574</c:v>
                </c:pt>
                <c:pt idx="203">
                  <c:v>67.117643965684536</c:v>
                </c:pt>
                <c:pt idx="204">
                  <c:v>71.365111550687885</c:v>
                </c:pt>
                <c:pt idx="205">
                  <c:v>75.574012650867189</c:v>
                </c:pt>
                <c:pt idx="206">
                  <c:v>79.745296116155473</c:v>
                </c:pt>
                <c:pt idx="207">
                  <c:v>83.879878175183563</c:v>
                </c:pt>
                <c:pt idx="208">
                  <c:v>87.978643955094199</c:v>
                </c:pt>
                <c:pt idx="209">
                  <c:v>92.042448913400179</c:v>
                </c:pt>
                <c:pt idx="210">
                  <c:v>96.072120187962554</c:v>
                </c:pt>
                <c:pt idx="211">
                  <c:v>100.06845787067839</c:v>
                </c:pt>
                <c:pt idx="212">
                  <c:v>104.03223621002586</c:v>
                </c:pt>
                <c:pt idx="213">
                  <c:v>107.96420474721168</c:v>
                </c:pt>
                <c:pt idx="214">
                  <c:v>111.86508939029925</c:v>
                </c:pt>
                <c:pt idx="215">
                  <c:v>115.73559343036112</c:v>
                </c:pt>
                <c:pt idx="216">
                  <c:v>119.57639850339403</c:v>
                </c:pt>
                <c:pt idx="217">
                  <c:v>123.38816550145492</c:v>
                </c:pt>
                <c:pt idx="218">
                  <c:v>127.17153543622089</c:v>
                </c:pt>
                <c:pt idx="219">
                  <c:v>130.92713025794177</c:v>
                </c:pt>
                <c:pt idx="220">
                  <c:v>134.65555363253887</c:v>
                </c:pt>
                <c:pt idx="221">
                  <c:v>138.3573916794067</c:v>
                </c:pt>
                <c:pt idx="222">
                  <c:v>142.03321367229265</c:v>
                </c:pt>
                <c:pt idx="223">
                  <c:v>145.68357270546375</c:v>
                </c:pt>
                <c:pt idx="224">
                  <c:v>149.30900632721557</c:v>
                </c:pt>
                <c:pt idx="225">
                  <c:v>152.91003714263752</c:v>
                </c:pt>
                <c:pt idx="226">
                  <c:v>156.48717338741832</c:v>
                </c:pt>
                <c:pt idx="227">
                  <c:v>160.0409094743554</c:v>
                </c:pt>
                <c:pt idx="228">
                  <c:v>163.57172651412057</c:v>
                </c:pt>
                <c:pt idx="229">
                  <c:v>167.0800928117323</c:v>
                </c:pt>
                <c:pt idx="230">
                  <c:v>170.56646434008957</c:v>
                </c:pt>
                <c:pt idx="231">
                  <c:v>174.03128519183443</c:v>
                </c:pt>
                <c:pt idx="232">
                  <c:v>177.47498801072931</c:v>
                </c:pt>
                <c:pt idx="233">
                  <c:v>180.89799440365911</c:v>
                </c:pt>
                <c:pt idx="234">
                  <c:v>184.30071533429884</c:v>
                </c:pt>
                <c:pt idx="235">
                  <c:v>187.68355149942172</c:v>
                </c:pt>
                <c:pt idx="236">
                  <c:v>191.04689368876274</c:v>
                </c:pt>
                <c:pt idx="237">
                  <c:v>194.3911231292964</c:v>
                </c:pt>
                <c:pt idx="238">
                  <c:v>197.71661181473522</c:v>
                </c:pt>
                <c:pt idx="239">
                  <c:v>201.02372282100643</c:v>
                </c:pt>
                <c:pt idx="240">
                  <c:v>204.31281060841957</c:v>
                </c:pt>
                <c:pt idx="241">
                  <c:v>207.58422131119502</c:v>
                </c:pt>
                <c:pt idx="242">
                  <c:v>210.83829301498417</c:v>
                </c:pt>
                <c:pt idx="243">
                  <c:v>214.07535602297509</c:v>
                </c:pt>
                <c:pt idx="244">
                  <c:v>217.29573311114319</c:v>
                </c:pt>
                <c:pt idx="245">
                  <c:v>220.49973977317427</c:v>
                </c:pt>
                <c:pt idx="246">
                  <c:v>223.68768445555713</c:v>
                </c:pt>
                <c:pt idx="247">
                  <c:v>226.85986878331485</c:v>
                </c:pt>
                <c:pt idx="248">
                  <c:v>230.01658777681766</c:v>
                </c:pt>
                <c:pt idx="249">
                  <c:v>233.1581300600952</c:v>
                </c:pt>
                <c:pt idx="250">
                  <c:v>236.28477806104328</c:v>
                </c:pt>
                <c:pt idx="251">
                  <c:v>239.39680820389836</c:v>
                </c:pt>
                <c:pt idx="252">
                  <c:v>242.49449109433226</c:v>
                </c:pt>
                <c:pt idx="253">
                  <c:v>245.57809169750112</c:v>
                </c:pt>
                <c:pt idx="254">
                  <c:v>248.64786950936386</c:v>
                </c:pt>
                <c:pt idx="255">
                  <c:v>251.70407872156909</c:v>
                </c:pt>
                <c:pt idx="256">
                  <c:v>254.74696838019312</c:v>
                </c:pt>
                <c:pt idx="257">
                  <c:v>257.77678253859671</c:v>
                </c:pt>
                <c:pt idx="258">
                  <c:v>260.79376040465439</c:v>
                </c:pt>
                <c:pt idx="259">
                  <c:v>263.79813648259619</c:v>
                </c:pt>
                <c:pt idx="260">
                  <c:v>266.79014070969009</c:v>
                </c:pt>
                <c:pt idx="261">
                  <c:v>269.76999858798007</c:v>
                </c:pt>
                <c:pt idx="262">
                  <c:v>272.73793131128519</c:v>
                </c:pt>
                <c:pt idx="263">
                  <c:v>275.69415588765293</c:v>
                </c:pt>
                <c:pt idx="264">
                  <c:v>278.63888525745097</c:v>
                </c:pt>
                <c:pt idx="265">
                  <c:v>281.57232840727158</c:v>
                </c:pt>
                <c:pt idx="266">
                  <c:v>284.4946904798141</c:v>
                </c:pt>
                <c:pt idx="267">
                  <c:v>287.40617287990176</c:v>
                </c:pt>
                <c:pt idx="268">
                  <c:v>290.30697337678203</c:v>
                </c:pt>
                <c:pt idx="269">
                  <c:v>293.19728620285059</c:v>
                </c:pt>
                <c:pt idx="270">
                  <c:v>296.07730214893286</c:v>
                </c:pt>
                <c:pt idx="271">
                  <c:v>298.94720865624902</c:v>
                </c:pt>
                <c:pt idx="272">
                  <c:v>301.80718990518261</c:v>
                </c:pt>
                <c:pt idx="273">
                  <c:v>304.6574269009655</c:v>
                </c:pt>
                <c:pt idx="274">
                  <c:v>307.49809755638648</c:v>
                </c:pt>
                <c:pt idx="275">
                  <c:v>310.32937677162442</c:v>
                </c:pt>
                <c:pt idx="276">
                  <c:v>313.15143651130177</c:v>
                </c:pt>
                <c:pt idx="277">
                  <c:v>315.96444587884804</c:v>
                </c:pt>
                <c:pt idx="278">
                  <c:v>318.76857118825825</c:v>
                </c:pt>
                <c:pt idx="279">
                  <c:v>321.56397603332545</c:v>
                </c:pt>
                <c:pt idx="280">
                  <c:v>324.35082135442258</c:v>
                </c:pt>
                <c:pt idx="281">
                  <c:v>327.12926550290308</c:v>
                </c:pt>
                <c:pt idx="282">
                  <c:v>329.8994643031852</c:v>
                </c:pt>
                <c:pt idx="283">
                  <c:v>332.66157111258087</c:v>
                </c:pt>
                <c:pt idx="284">
                  <c:v>335.41573687892503</c:v>
                </c:pt>
                <c:pt idx="285">
                  <c:v>338.16211019605674</c:v>
                </c:pt>
                <c:pt idx="286">
                  <c:v>340.90083735719918</c:v>
                </c:pt>
                <c:pt idx="287">
                  <c:v>343.63206240628176</c:v>
                </c:pt>
                <c:pt idx="288">
                  <c:v>346.35592718724206</c:v>
                </c:pt>
                <c:pt idx="289">
                  <c:v>349.07257139134219</c:v>
                </c:pt>
                <c:pt idx="290">
                  <c:v>351.78213260252897</c:v>
                </c:pt>
                <c:pt idx="291">
                  <c:v>354.48474634086335</c:v>
                </c:pt>
                <c:pt idx="292">
                  <c:v>357.18054610403965</c:v>
                </c:pt>
                <c:pt idx="293">
                  <c:v>359.8696634070111</c:v>
                </c:pt>
                <c:pt idx="294">
                  <c:v>362.55222781973339</c:v>
                </c:pt>
                <c:pt idx="295">
                  <c:v>365.22836700303253</c:v>
                </c:pt>
                <c:pt idx="296">
                  <c:v>367.89820674259994</c:v>
                </c:pt>
                <c:pt idx="297">
                  <c:v>370.56187098111076</c:v>
                </c:pt>
                <c:pt idx="298">
                  <c:v>373.21948184845792</c:v>
                </c:pt>
                <c:pt idx="299">
                  <c:v>375.87115969008755</c:v>
                </c:pt>
                <c:pt idx="300">
                  <c:v>378.51702309341704</c:v>
                </c:pt>
                <c:pt idx="301">
                  <c:v>381.15718891231006</c:v>
                </c:pt>
                <c:pt idx="302">
                  <c:v>383.79177228957741</c:v>
                </c:pt>
                <c:pt idx="303">
                  <c:v>386.4208866774656</c:v>
                </c:pt>
                <c:pt idx="304">
                  <c:v>389.04464385608901</c:v>
                </c:pt>
                <c:pt idx="305">
                  <c:v>391.66315394975345</c:v>
                </c:pt>
                <c:pt idx="306">
                  <c:v>394.2765254411126</c:v>
                </c:pt>
                <c:pt idx="307">
                  <c:v>396.88486518308986</c:v>
                </c:pt>
                <c:pt idx="308">
                  <c:v>399.48827840849128</c:v>
                </c:pt>
                <c:pt idx="309">
                  <c:v>402.08686873722593</c:v>
                </c:pt>
                <c:pt idx="310">
                  <c:v>404.68073818104131</c:v>
                </c:pt>
                <c:pt idx="311">
                  <c:v>407.26998714567304</c:v>
                </c:pt>
                <c:pt idx="312">
                  <c:v>409.85471443029792</c:v>
                </c:pt>
                <c:pt idx="313">
                  <c:v>412.43501722417028</c:v>
                </c:pt>
                <c:pt idx="314">
                  <c:v>415.01099110031248</c:v>
                </c:pt>
                <c:pt idx="315">
                  <c:v>417.58273000611962</c:v>
                </c:pt>
                <c:pt idx="316">
                  <c:v>420.15032625073064</c:v>
                </c:pt>
                <c:pt idx="317">
                  <c:v>422.71387048900817</c:v>
                </c:pt>
                <c:pt idx="318">
                  <c:v>425.2734517019619</c:v>
                </c:pt>
                <c:pt idx="319">
                  <c:v>427.82915717344304</c:v>
                </c:pt>
                <c:pt idx="320">
                  <c:v>430.38107246293168</c:v>
                </c:pt>
                <c:pt idx="321">
                  <c:v>432.92928137423621</c:v>
                </c:pt>
                <c:pt idx="322">
                  <c:v>435.47386591992267</c:v>
                </c:pt>
                <c:pt idx="323">
                  <c:v>438.01490628129505</c:v>
                </c:pt>
                <c:pt idx="324">
                  <c:v>440.5524807637546</c:v>
                </c:pt>
                <c:pt idx="325">
                  <c:v>443.08666574737993</c:v>
                </c:pt>
                <c:pt idx="326">
                  <c:v>445.61753563258776</c:v>
                </c:pt>
                <c:pt idx="327">
                  <c:v>448.14516278076326</c:v>
                </c:pt>
                <c:pt idx="328">
                  <c:v>450.66961744978551</c:v>
                </c:pt>
                <c:pt idx="329">
                  <c:v>453.1909677244214</c:v>
                </c:pt>
                <c:pt idx="330">
                  <c:v>455.70927944162383</c:v>
                </c:pt>
                <c:pt idx="331">
                  <c:v>458.22461611084339</c:v>
                </c:pt>
                <c:pt idx="332">
                  <c:v>460.73703882955533</c:v>
                </c:pt>
                <c:pt idx="333">
                  <c:v>463.24660619430972</c:v>
                </c:pt>
                <c:pt idx="334">
                  <c:v>465.75337420773729</c:v>
                </c:pt>
                <c:pt idx="335">
                  <c:v>468.25739618208422</c:v>
                </c:pt>
                <c:pt idx="336">
                  <c:v>470.75872264000435</c:v>
                </c:pt>
                <c:pt idx="337">
                  <c:v>473.25740121350509</c:v>
                </c:pt>
                <c:pt idx="338">
                  <c:v>475.75347654211879</c:v>
                </c:pt>
                <c:pt idx="339">
                  <c:v>478.24699017154677</c:v>
                </c:pt>
                <c:pt idx="340">
                  <c:v>480.73798045419397</c:v>
                </c:pt>
                <c:pt idx="341">
                  <c:v>483.22648245316498</c:v>
                </c:pt>
                <c:pt idx="342">
                  <c:v>485.71252785141667</c:v>
                </c:pt>
                <c:pt idx="343">
                  <c:v>488.19614486784985</c:v>
                </c:pt>
                <c:pt idx="344">
                  <c:v>490.6773581821563</c:v>
                </c:pt>
                <c:pt idx="345">
                  <c:v>493.15618887021139</c:v>
                </c:pt>
                <c:pt idx="346">
                  <c:v>495.63265435170877</c:v>
                </c:pt>
                <c:pt idx="347">
                  <c:v>498.10676835156522</c:v>
                </c:pt>
                <c:pt idx="348">
                  <c:v>500.5785408763889</c:v>
                </c:pt>
                <c:pt idx="349">
                  <c:v>503.04797820700134</c:v>
                </c:pt>
                <c:pt idx="350">
                  <c:v>505.51508290765275</c:v>
                </c:pt>
                <c:pt idx="351">
                  <c:v>507.97985385218311</c:v>
                </c:pt>
                <c:pt idx="352">
                  <c:v>510.44228626698077</c:v>
                </c:pt>
                <c:pt idx="353">
                  <c:v>512.90237179019596</c:v>
                </c:pt>
                <c:pt idx="354">
                  <c:v>515.36009854630231</c:v>
                </c:pt>
                <c:pt idx="355">
                  <c:v>517.81545123477906</c:v>
                </c:pt>
                <c:pt idx="356">
                  <c:v>520.26841123142958</c:v>
                </c:pt>
                <c:pt idx="357">
                  <c:v>522.71895670066215</c:v>
                </c:pt>
                <c:pt idx="358">
                  <c:v>525.16706271694272</c:v>
                </c:pt>
                <c:pt idx="359">
                  <c:v>527.61270139358612</c:v>
                </c:pt>
                <c:pt idx="360">
                  <c:v>530.05584201706881</c:v>
                </c:pt>
                <c:pt idx="361">
                  <c:v>532.49645118512433</c:v>
                </c:pt>
                <c:pt idx="362">
                  <c:v>534.93449294699963</c:v>
                </c:pt>
                <c:pt idx="363">
                  <c:v>537.36992894440129</c:v>
                </c:pt>
                <c:pt idx="364">
                  <c:v>539.80271855183173</c:v>
                </c:pt>
                <c:pt idx="365">
                  <c:v>542.23281901519704</c:v>
                </c:pt>
                <c:pt idx="366">
                  <c:v>544.66018558774681</c:v>
                </c:pt>
                <c:pt idx="367">
                  <c:v>547.08477166258456</c:v>
                </c:pt>
                <c:pt idx="368">
                  <c:v>549.50652890114816</c:v>
                </c:pt>
                <c:pt idx="369">
                  <c:v>551.92540735721059</c:v>
                </c:pt>
                <c:pt idx="370">
                  <c:v>554.34135559608194</c:v>
                </c:pt>
                <c:pt idx="371">
                  <c:v>556.75432080880967</c:v>
                </c:pt>
                <c:pt idx="372">
                  <c:v>559.16424892126975</c:v>
                </c:pt>
                <c:pt idx="373">
                  <c:v>561.57108469812306</c:v>
                </c:pt>
                <c:pt idx="374">
                  <c:v>563.97477184167781</c:v>
                </c:pt>
                <c:pt idx="375">
                  <c:v>566.37525308574982</c:v>
                </c:pt>
                <c:pt idx="376">
                  <c:v>568.77247028465331</c:v>
                </c:pt>
                <c:pt idx="377">
                  <c:v>571.16636449748501</c:v>
                </c:pt>
                <c:pt idx="378">
                  <c:v>573.5568760678857</c:v>
                </c:pt>
                <c:pt idx="379">
                  <c:v>575.94394469947736</c:v>
                </c:pt>
                <c:pt idx="380">
                  <c:v>578.327509527183</c:v>
                </c:pt>
                <c:pt idx="381">
                  <c:v>580.70750918463852</c:v>
                </c:pt>
                <c:pt idx="382">
                  <c:v>583.08388186790705</c:v>
                </c:pt>
                <c:pt idx="383">
                  <c:v>585.45656539570211</c:v>
                </c:pt>
                <c:pt idx="384">
                  <c:v>587.82549726632158</c:v>
                </c:pt>
                <c:pt idx="385">
                  <c:v>590.19061471148564</c:v>
                </c:pt>
                <c:pt idx="386">
                  <c:v>592.55185474726727</c:v>
                </c:pt>
                <c:pt idx="387">
                  <c:v>594.90915422229023</c:v>
                </c:pt>
                <c:pt idx="388">
                  <c:v>597.26244986336485</c:v>
                </c:pt>
                <c:pt idx="389">
                  <c:v>599.6116783187199</c:v>
                </c:pt>
                <c:pt idx="390">
                  <c:v>601.95677619897947</c:v>
                </c:pt>
                <c:pt idx="391">
                  <c:v>604.29768011602619</c:v>
                </c:pt>
                <c:pt idx="392">
                  <c:v>606.63432671988107</c:v>
                </c:pt>
                <c:pt idx="393">
                  <c:v>608.96665273372321</c:v>
                </c:pt>
                <c:pt idx="394">
                  <c:v>611.29459498716278</c:v>
                </c:pt>
                <c:pt idx="395">
                  <c:v>613.61809044787447</c:v>
                </c:pt>
                <c:pt idx="396">
                  <c:v>615.93707625168986</c:v>
                </c:pt>
                <c:pt idx="397">
                  <c:v>618.25148973124067</c:v>
                </c:pt>
                <c:pt idx="398">
                  <c:v>620.56126844323796</c:v>
                </c:pt>
                <c:pt idx="399">
                  <c:v>622.86635019446692</c:v>
                </c:pt>
                <c:pt idx="400">
                  <c:v>625.16667306657018</c:v>
                </c:pt>
                <c:pt idx="401">
                  <c:v>627.46217543968771</c:v>
                </c:pt>
                <c:pt idx="402">
                  <c:v>629.75279601501688</c:v>
                </c:pt>
                <c:pt idx="403">
                  <c:v>632.03847383635059</c:v>
                </c:pt>
                <c:pt idx="404">
                  <c:v>634.31914831064796</c:v>
                </c:pt>
                <c:pt idx="405">
                  <c:v>636.59475922768786</c:v>
                </c:pt>
                <c:pt idx="406">
                  <c:v>638.865246778852</c:v>
                </c:pt>
                <c:pt idx="407">
                  <c:v>641.13055157508074</c:v>
                </c:pt>
                <c:pt idx="408">
                  <c:v>643.39061466404155</c:v>
                </c:pt>
                <c:pt idx="409">
                  <c:v>645.64537754654793</c:v>
                </c:pt>
                <c:pt idx="410">
                  <c:v>647.89478219226339</c:v>
                </c:pt>
                <c:pt idx="411">
                  <c:v>650.1387710547217</c:v>
                </c:pt>
                <c:pt idx="412">
                  <c:v>652.37728708569512</c:v>
                </c:pt>
                <c:pt idx="413">
                  <c:v>654.61027374893672</c:v>
                </c:pt>
                <c:pt idx="414">
                  <c:v>656.83767503332433</c:v>
                </c:pt>
                <c:pt idx="415">
                  <c:v>659.05943546542881</c:v>
                </c:pt>
                <c:pt idx="416">
                  <c:v>661.27550012153074</c:v>
                </c:pt>
                <c:pt idx="417">
                  <c:v>663.48581463910546</c:v>
                </c:pt>
                <c:pt idx="418">
                  <c:v>665.69032522779708</c:v>
                </c:pt>
                <c:pt idx="419">
                  <c:v>667.88897867989908</c:v>
                </c:pt>
                <c:pt idx="420">
                  <c:v>670.08172238035957</c:v>
                </c:pt>
                <c:pt idx="421">
                  <c:v>672.26850431632693</c:v>
                </c:pt>
                <c:pt idx="422">
                  <c:v>674.44927308625154</c:v>
                </c:pt>
                <c:pt idx="423">
                  <c:v>676.62397790855732</c:v>
                </c:pt>
                <c:pt idx="424">
                  <c:v>678.792568629897</c:v>
                </c:pt>
                <c:pt idx="425">
                  <c:v>680.95499573300367</c:v>
                </c:pt>
                <c:pt idx="426">
                  <c:v>683.11121034415078</c:v>
                </c:pt>
                <c:pt idx="427">
                  <c:v>685.26116424023155</c:v>
                </c:pt>
                <c:pt idx="428">
                  <c:v>687.40480985546935</c:v>
                </c:pt>
                <c:pt idx="429">
                  <c:v>689.54210028776765</c:v>
                </c:pt>
                <c:pt idx="430">
                  <c:v>691.67298930471122</c:v>
                </c:pt>
                <c:pt idx="431">
                  <c:v>693.79743134922592</c:v>
                </c:pt>
                <c:pt idx="432">
                  <c:v>695.91538154490718</c:v>
                </c:pt>
                <c:pt idx="433">
                  <c:v>698.02679570102475</c:v>
                </c:pt>
                <c:pt idx="434">
                  <c:v>700.13163031721149</c:v>
                </c:pt>
                <c:pt idx="435">
                  <c:v>702.22984258784504</c:v>
                </c:pt>
                <c:pt idx="436">
                  <c:v>704.32139040612822</c:v>
                </c:pt>
                <c:pt idx="437">
                  <c:v>706.40623236787587</c:v>
                </c:pt>
                <c:pt idx="438">
                  <c:v>708.484327775015</c:v>
                </c:pt>
                <c:pt idx="439">
                  <c:v>710.55563663880423</c:v>
                </c:pt>
                <c:pt idx="440">
                  <c:v>712.62011968277966</c:v>
                </c:pt>
                <c:pt idx="441">
                  <c:v>714.67773834543175</c:v>
                </c:pt>
                <c:pt idx="442">
                  <c:v>716.7284547826207</c:v>
                </c:pt>
                <c:pt idx="443">
                  <c:v>718.77223186973492</c:v>
                </c:pt>
                <c:pt idx="444">
                  <c:v>720.80903320359846</c:v>
                </c:pt>
                <c:pt idx="445">
                  <c:v>722.83882310413264</c:v>
                </c:pt>
                <c:pt idx="446">
                  <c:v>724.86156661577706</c:v>
                </c:pt>
                <c:pt idx="447">
                  <c:v>726.87722950867533</c:v>
                </c:pt>
                <c:pt idx="448">
                  <c:v>728.88577827963036</c:v>
                </c:pt>
                <c:pt idx="449">
                  <c:v>730.88718015283314</c:v>
                </c:pt>
                <c:pt idx="450">
                  <c:v>732.8814030803718</c:v>
                </c:pt>
                <c:pt idx="451">
                  <c:v>734.86841574252321</c:v>
                </c:pt>
                <c:pt idx="452">
                  <c:v>736.84818754783305</c:v>
                </c:pt>
                <c:pt idx="453">
                  <c:v>738.820688632989</c:v>
                </c:pt>
                <c:pt idx="454">
                  <c:v>740.78588986249019</c:v>
                </c:pt>
                <c:pt idx="455">
                  <c:v>742.74376282811841</c:v>
                </c:pt>
                <c:pt idx="456">
                  <c:v>744.69427984821448</c:v>
                </c:pt>
                <c:pt idx="457">
                  <c:v>746.6374139667646</c:v>
                </c:pt>
                <c:pt idx="458">
                  <c:v>748.57313895230027</c:v>
                </c:pt>
                <c:pt idx="459">
                  <c:v>750.50142929661615</c:v>
                </c:pt>
                <c:pt idx="460">
                  <c:v>752.42226021330964</c:v>
                </c:pt>
                <c:pt idx="461">
                  <c:v>754.33560763614594</c:v>
                </c:pt>
                <c:pt idx="462">
                  <c:v>756.24144821725326</c:v>
                </c:pt>
                <c:pt idx="463">
                  <c:v>758.1397593251512</c:v>
                </c:pt>
                <c:pt idx="464">
                  <c:v>760.03051904261645</c:v>
                </c:pt>
                <c:pt idx="465">
                  <c:v>761.9137061643894</c:v>
                </c:pt>
                <c:pt idx="466">
                  <c:v>763.78930019472568</c:v>
                </c:pt>
                <c:pt idx="467">
                  <c:v>765.65728134479616</c:v>
                </c:pt>
                <c:pt idx="468">
                  <c:v>767.51763052993886</c:v>
                </c:pt>
                <c:pt idx="469">
                  <c:v>769.37032936676678</c:v>
                </c:pt>
                <c:pt idx="470">
                  <c:v>771.21536017013477</c:v>
                </c:pt>
                <c:pt idx="471">
                  <c:v>773.05270594996944</c:v>
                </c:pt>
                <c:pt idx="472">
                  <c:v>774.8823504079653</c:v>
                </c:pt>
                <c:pt idx="473">
                  <c:v>776.70427793415047</c:v>
                </c:pt>
                <c:pt idx="474">
                  <c:v>778.51847360332636</c:v>
                </c:pt>
                <c:pt idx="475">
                  <c:v>780.32492317138303</c:v>
                </c:pt>
                <c:pt idx="476">
                  <c:v>782.12361307149547</c:v>
                </c:pt>
                <c:pt idx="477">
                  <c:v>783.91453041020281</c:v>
                </c:pt>
                <c:pt idx="478">
                  <c:v>785.69766296337434</c:v>
                </c:pt>
                <c:pt idx="479">
                  <c:v>787.47299917206578</c:v>
                </c:pt>
                <c:pt idx="480">
                  <c:v>789.24052813826847</c:v>
                </c:pt>
                <c:pt idx="481">
                  <c:v>791.00023962055559</c:v>
                </c:pt>
                <c:pt idx="482">
                  <c:v>792.75212402962757</c:v>
                </c:pt>
                <c:pt idx="483">
                  <c:v>794.49617242376075</c:v>
                </c:pt>
                <c:pt idx="484">
                  <c:v>796.23237650416206</c:v>
                </c:pt>
                <c:pt idx="485">
                  <c:v>797.96072861023288</c:v>
                </c:pt>
                <c:pt idx="486">
                  <c:v>799.68122171474488</c:v>
                </c:pt>
                <c:pt idx="487">
                  <c:v>801.3938494189315</c:v>
                </c:pt>
                <c:pt idx="488">
                  <c:v>803.09860594749762</c:v>
                </c:pt>
                <c:pt idx="489">
                  <c:v>804.79548614355076</c:v>
                </c:pt>
                <c:pt idx="490">
                  <c:v>806.48448546345605</c:v>
                </c:pt>
                <c:pt idx="491">
                  <c:v>808.1655999716188</c:v>
                </c:pt>
                <c:pt idx="492">
                  <c:v>809.83882633519727</c:v>
                </c:pt>
                <c:pt idx="493">
                  <c:v>811.50416181874812</c:v>
                </c:pt>
                <c:pt idx="494">
                  <c:v>813.16160427880777</c:v>
                </c:pt>
                <c:pt idx="495">
                  <c:v>814.81115215841214</c:v>
                </c:pt>
                <c:pt idx="496">
                  <c:v>816.45280448155847</c:v>
                </c:pt>
                <c:pt idx="497">
                  <c:v>818.08656084761026</c:v>
                </c:pt>
                <c:pt idx="498">
                  <c:v>819.71242142564972</c:v>
                </c:pt>
                <c:pt idx="499">
                  <c:v>821.33038694877928</c:v>
                </c:pt>
                <c:pt idx="500">
                  <c:v>822.94045870837522</c:v>
                </c:pt>
                <c:pt idx="501">
                  <c:v>824.54263854829651</c:v>
                </c:pt>
                <c:pt idx="502">
                  <c:v>826.13692885905016</c:v>
                </c:pt>
                <c:pt idx="503">
                  <c:v>827.72333257191644</c:v>
                </c:pt>
                <c:pt idx="504">
                  <c:v>829.30185315303686</c:v>
                </c:pt>
                <c:pt idx="505">
                  <c:v>830.87249459746658</c:v>
                </c:pt>
                <c:pt idx="506">
                  <c:v>832.43526142319354</c:v>
                </c:pt>
                <c:pt idx="507">
                  <c:v>833.99015866512775</c:v>
                </c:pt>
                <c:pt idx="508">
                  <c:v>835.53719186906199</c:v>
                </c:pt>
                <c:pt idx="509">
                  <c:v>837.07636708560688</c:v>
                </c:pt>
                <c:pt idx="510">
                  <c:v>838.60769086410221</c:v>
                </c:pt>
                <c:pt idx="511">
                  <c:v>840.13117024650717</c:v>
                </c:pt>
                <c:pt idx="512">
                  <c:v>841.64681276127112</c:v>
                </c:pt>
                <c:pt idx="513">
                  <c:v>843.1546264171875</c:v>
                </c:pt>
                <c:pt idx="514">
                  <c:v>844.6546196972331</c:v>
                </c:pt>
                <c:pt idx="515">
                  <c:v>846.14680155239444</c:v>
                </c:pt>
                <c:pt idx="516">
                  <c:v>847.63118139548305</c:v>
                </c:pt>
                <c:pt idx="517">
                  <c:v>849.10776909494257</c:v>
                </c:pt>
                <c:pt idx="518">
                  <c:v>850.57657496864886</c:v>
                </c:pt>
                <c:pt idx="519">
                  <c:v>852.03760977770526</c:v>
                </c:pt>
                <c:pt idx="520">
                  <c:v>853.49088472023516</c:v>
                </c:pt>
                <c:pt idx="521">
                  <c:v>854.93641142517322</c:v>
                </c:pt>
                <c:pt idx="522">
                  <c:v>856.3742019460575</c:v>
                </c:pt>
                <c:pt idx="523">
                  <c:v>857.80426875482419</c:v>
                </c:pt>
                <c:pt idx="524">
                  <c:v>859.22662473560661</c:v>
                </c:pt>
                <c:pt idx="525">
                  <c:v>860.64128317854022</c:v>
                </c:pt>
                <c:pt idx="526">
                  <c:v>862.04825777357519</c:v>
                </c:pt>
                <c:pt idx="527">
                  <c:v>863.44756260429858</c:v>
                </c:pt>
                <c:pt idx="528">
                  <c:v>864.83921214176701</c:v>
                </c:pt>
                <c:pt idx="529">
                  <c:v>866.22322123835227</c:v>
                </c:pt>
                <c:pt idx="530">
                  <c:v>867.59960512160046</c:v>
                </c:pt>
                <c:pt idx="531">
                  <c:v>868.96837938810722</c:v>
                </c:pt>
                <c:pt idx="532">
                  <c:v>870.32955999740898</c:v>
                </c:pt>
                <c:pt idx="533">
                  <c:v>871.68316326589354</c:v>
                </c:pt>
                <c:pt idx="534">
                  <c:v>873.02920586072969</c:v>
                </c:pt>
                <c:pt idx="535">
                  <c:v>874.36770479381812</c:v>
                </c:pt>
                <c:pt idx="536">
                  <c:v>875.69867741576491</c:v>
                </c:pt>
                <c:pt idx="537">
                  <c:v>877.02214140987815</c:v>
                </c:pt>
                <c:pt idx="538">
                  <c:v>878.33811478618986</c:v>
                </c:pt>
                <c:pt idx="539">
                  <c:v>879.64661587550393</c:v>
                </c:pt>
                <c:pt idx="540">
                  <c:v>880.94766332347103</c:v>
                </c:pt>
                <c:pt idx="541">
                  <c:v>882.241276084692</c:v>
                </c:pt>
                <c:pt idx="542">
                  <c:v>883.52747341685097</c:v>
                </c:pt>
                <c:pt idx="543">
                  <c:v>884.80627487487868</c:v>
                </c:pt>
                <c:pt idx="544">
                  <c:v>886.07770030514746</c:v>
                </c:pt>
                <c:pt idx="545">
                  <c:v>887.3417698396986</c:v>
                </c:pt>
                <c:pt idx="546">
                  <c:v>888.59850389050348</c:v>
                </c:pt>
                <c:pt idx="547">
                  <c:v>889.84792314375909</c:v>
                </c:pt>
                <c:pt idx="548">
                  <c:v>889.84792314375909</c:v>
                </c:pt>
                <c:pt idx="549">
                  <c:v>889.84792314375909</c:v>
                </c:pt>
                <c:pt idx="550">
                  <c:v>889.84792314375909</c:v>
                </c:pt>
                <c:pt idx="551">
                  <c:v>889.84792314375909</c:v>
                </c:pt>
                <c:pt idx="552">
                  <c:v>889.84792314375909</c:v>
                </c:pt>
                <c:pt idx="553">
                  <c:v>889.84792314375909</c:v>
                </c:pt>
                <c:pt idx="554">
                  <c:v>889.84792314375909</c:v>
                </c:pt>
                <c:pt idx="555">
                  <c:v>889.84792314375909</c:v>
                </c:pt>
                <c:pt idx="556">
                  <c:v>889.84792314375909</c:v>
                </c:pt>
                <c:pt idx="557">
                  <c:v>889.84792314375909</c:v>
                </c:pt>
                <c:pt idx="558">
                  <c:v>889.84792314375909</c:v>
                </c:pt>
                <c:pt idx="559">
                  <c:v>889.84792314375909</c:v>
                </c:pt>
                <c:pt idx="560">
                  <c:v>889.84792314375909</c:v>
                </c:pt>
                <c:pt idx="561">
                  <c:v>889.84792314375909</c:v>
                </c:pt>
                <c:pt idx="562">
                  <c:v>889.84792314375909</c:v>
                </c:pt>
                <c:pt idx="563">
                  <c:v>889.84792314375909</c:v>
                </c:pt>
                <c:pt idx="564">
                  <c:v>889.84792314375909</c:v>
                </c:pt>
                <c:pt idx="565">
                  <c:v>889.84792314375909</c:v>
                </c:pt>
                <c:pt idx="566">
                  <c:v>889.84792314375909</c:v>
                </c:pt>
                <c:pt idx="567">
                  <c:v>889.84792314375909</c:v>
                </c:pt>
                <c:pt idx="568">
                  <c:v>889.84792314375909</c:v>
                </c:pt>
                <c:pt idx="569">
                  <c:v>889.84792314375909</c:v>
                </c:pt>
                <c:pt idx="570">
                  <c:v>889.84792314375909</c:v>
                </c:pt>
                <c:pt idx="571">
                  <c:v>889.84792314375909</c:v>
                </c:pt>
                <c:pt idx="572">
                  <c:v>889.84792314375909</c:v>
                </c:pt>
                <c:pt idx="573">
                  <c:v>889.84792314375909</c:v>
                </c:pt>
                <c:pt idx="574">
                  <c:v>889.84792314375909</c:v>
                </c:pt>
                <c:pt idx="575">
                  <c:v>889.84792314375909</c:v>
                </c:pt>
                <c:pt idx="576">
                  <c:v>889.84792314375909</c:v>
                </c:pt>
                <c:pt idx="577">
                  <c:v>889.84792314375909</c:v>
                </c:pt>
                <c:pt idx="578">
                  <c:v>889.84792314375909</c:v>
                </c:pt>
                <c:pt idx="579">
                  <c:v>889.84792314375909</c:v>
                </c:pt>
                <c:pt idx="580">
                  <c:v>889.84792314375909</c:v>
                </c:pt>
                <c:pt idx="581">
                  <c:v>889.84792314375909</c:v>
                </c:pt>
                <c:pt idx="582">
                  <c:v>889.84792314375909</c:v>
                </c:pt>
                <c:pt idx="583">
                  <c:v>889.84792314375909</c:v>
                </c:pt>
                <c:pt idx="584">
                  <c:v>889.84792314375909</c:v>
                </c:pt>
                <c:pt idx="585">
                  <c:v>889.84792314375909</c:v>
                </c:pt>
                <c:pt idx="586">
                  <c:v>889.84792314375909</c:v>
                </c:pt>
                <c:pt idx="587">
                  <c:v>889.84792314375909</c:v>
                </c:pt>
                <c:pt idx="588">
                  <c:v>889.84792314375909</c:v>
                </c:pt>
                <c:pt idx="589">
                  <c:v>889.84792314375909</c:v>
                </c:pt>
                <c:pt idx="590">
                  <c:v>889.84792314375909</c:v>
                </c:pt>
                <c:pt idx="591">
                  <c:v>889.84792314375909</c:v>
                </c:pt>
                <c:pt idx="592">
                  <c:v>889.84792314375909</c:v>
                </c:pt>
                <c:pt idx="593">
                  <c:v>889.84792314375909</c:v>
                </c:pt>
                <c:pt idx="594">
                  <c:v>889.84792314375909</c:v>
                </c:pt>
                <c:pt idx="595">
                  <c:v>889.84792314375909</c:v>
                </c:pt>
                <c:pt idx="596">
                  <c:v>889.84792314375909</c:v>
                </c:pt>
                <c:pt idx="597">
                  <c:v>889.84792314375909</c:v>
                </c:pt>
                <c:pt idx="598">
                  <c:v>889.84792314375909</c:v>
                </c:pt>
                <c:pt idx="599">
                  <c:v>889.84792314375909</c:v>
                </c:pt>
                <c:pt idx="600">
                  <c:v>889.84792314375909</c:v>
                </c:pt>
                <c:pt idx="601">
                  <c:v>889.84792314375909</c:v>
                </c:pt>
                <c:pt idx="602">
                  <c:v>889.84792314375909</c:v>
                </c:pt>
                <c:pt idx="603">
                  <c:v>889.84792314375909</c:v>
                </c:pt>
                <c:pt idx="604">
                  <c:v>889.84792314375909</c:v>
                </c:pt>
                <c:pt idx="605">
                  <c:v>889.84792314375909</c:v>
                </c:pt>
                <c:pt idx="606">
                  <c:v>889.84792314375909</c:v>
                </c:pt>
                <c:pt idx="607">
                  <c:v>889.84792314375909</c:v>
                </c:pt>
                <c:pt idx="608">
                  <c:v>889.84792314375909</c:v>
                </c:pt>
                <c:pt idx="609">
                  <c:v>889.84792314375909</c:v>
                </c:pt>
                <c:pt idx="610">
                  <c:v>889.84792314375909</c:v>
                </c:pt>
                <c:pt idx="611">
                  <c:v>889.84792314375909</c:v>
                </c:pt>
                <c:pt idx="612">
                  <c:v>889.84792314375909</c:v>
                </c:pt>
                <c:pt idx="613">
                  <c:v>889.84792314375909</c:v>
                </c:pt>
                <c:pt idx="614">
                  <c:v>889.84792314375909</c:v>
                </c:pt>
                <c:pt idx="615">
                  <c:v>889.84792314375909</c:v>
                </c:pt>
                <c:pt idx="616">
                  <c:v>889.84792314375909</c:v>
                </c:pt>
                <c:pt idx="617">
                  <c:v>889.84792314375909</c:v>
                </c:pt>
                <c:pt idx="618">
                  <c:v>889.84792314375909</c:v>
                </c:pt>
                <c:pt idx="619">
                  <c:v>889.84792314375909</c:v>
                </c:pt>
                <c:pt idx="620">
                  <c:v>889.84792314375909</c:v>
                </c:pt>
                <c:pt idx="621">
                  <c:v>889.84792314375909</c:v>
                </c:pt>
                <c:pt idx="622">
                  <c:v>889.84792314375909</c:v>
                </c:pt>
                <c:pt idx="623">
                  <c:v>889.84792314375909</c:v>
                </c:pt>
                <c:pt idx="624">
                  <c:v>889.84792314375909</c:v>
                </c:pt>
                <c:pt idx="625">
                  <c:v>889.84792314375909</c:v>
                </c:pt>
                <c:pt idx="626">
                  <c:v>889.84792314375909</c:v>
                </c:pt>
                <c:pt idx="627">
                  <c:v>889.84792314375909</c:v>
                </c:pt>
                <c:pt idx="628">
                  <c:v>889.84792314375909</c:v>
                </c:pt>
                <c:pt idx="629">
                  <c:v>889.84792314375909</c:v>
                </c:pt>
                <c:pt idx="630">
                  <c:v>889.84792314375909</c:v>
                </c:pt>
                <c:pt idx="631">
                  <c:v>889.84792314375909</c:v>
                </c:pt>
                <c:pt idx="632">
                  <c:v>889.84792314375909</c:v>
                </c:pt>
                <c:pt idx="633">
                  <c:v>889.84792314375909</c:v>
                </c:pt>
                <c:pt idx="634">
                  <c:v>889.84792314375909</c:v>
                </c:pt>
                <c:pt idx="635">
                  <c:v>889.84792314375909</c:v>
                </c:pt>
                <c:pt idx="636">
                  <c:v>889.84792314375909</c:v>
                </c:pt>
                <c:pt idx="637">
                  <c:v>889.84792314375909</c:v>
                </c:pt>
                <c:pt idx="638">
                  <c:v>889.84792314375909</c:v>
                </c:pt>
                <c:pt idx="639">
                  <c:v>889.84792314375909</c:v>
                </c:pt>
                <c:pt idx="640">
                  <c:v>889.84792314375909</c:v>
                </c:pt>
                <c:pt idx="641">
                  <c:v>889.84792314375909</c:v>
                </c:pt>
                <c:pt idx="642">
                  <c:v>889.84792314375909</c:v>
                </c:pt>
                <c:pt idx="643">
                  <c:v>889.84792314375909</c:v>
                </c:pt>
                <c:pt idx="644">
                  <c:v>889.84792314375909</c:v>
                </c:pt>
                <c:pt idx="645">
                  <c:v>889.84792314375909</c:v>
                </c:pt>
                <c:pt idx="646">
                  <c:v>889.84792314375909</c:v>
                </c:pt>
                <c:pt idx="647">
                  <c:v>889.84792314375909</c:v>
                </c:pt>
                <c:pt idx="648">
                  <c:v>889.84792314375909</c:v>
                </c:pt>
                <c:pt idx="649">
                  <c:v>889.84792314375909</c:v>
                </c:pt>
                <c:pt idx="650">
                  <c:v>889.84792314375909</c:v>
                </c:pt>
                <c:pt idx="651">
                  <c:v>889.84792314375909</c:v>
                </c:pt>
                <c:pt idx="652">
                  <c:v>889.84792314375909</c:v>
                </c:pt>
                <c:pt idx="653">
                  <c:v>889.84792314375909</c:v>
                </c:pt>
                <c:pt idx="654">
                  <c:v>889.84792314375909</c:v>
                </c:pt>
                <c:pt idx="655">
                  <c:v>889.84792314375909</c:v>
                </c:pt>
                <c:pt idx="656">
                  <c:v>889.84792314375909</c:v>
                </c:pt>
                <c:pt idx="657">
                  <c:v>889.84792314375909</c:v>
                </c:pt>
                <c:pt idx="658">
                  <c:v>889.84792314375909</c:v>
                </c:pt>
                <c:pt idx="659">
                  <c:v>889.84792314375909</c:v>
                </c:pt>
                <c:pt idx="660">
                  <c:v>889.84792314375909</c:v>
                </c:pt>
                <c:pt idx="661">
                  <c:v>889.84792314375909</c:v>
                </c:pt>
                <c:pt idx="662">
                  <c:v>889.84792314375909</c:v>
                </c:pt>
                <c:pt idx="663">
                  <c:v>889.84792314375909</c:v>
                </c:pt>
                <c:pt idx="664">
                  <c:v>889.84792314375909</c:v>
                </c:pt>
                <c:pt idx="665">
                  <c:v>889.84792314375909</c:v>
                </c:pt>
                <c:pt idx="666">
                  <c:v>889.84792314375909</c:v>
                </c:pt>
                <c:pt idx="667">
                  <c:v>889.84792314375909</c:v>
                </c:pt>
                <c:pt idx="668">
                  <c:v>889.84792314375909</c:v>
                </c:pt>
                <c:pt idx="669">
                  <c:v>889.84792314375909</c:v>
                </c:pt>
                <c:pt idx="670">
                  <c:v>889.84792314375909</c:v>
                </c:pt>
                <c:pt idx="671">
                  <c:v>889.84792314375909</c:v>
                </c:pt>
                <c:pt idx="672">
                  <c:v>889.84792314375909</c:v>
                </c:pt>
                <c:pt idx="673">
                  <c:v>889.84792314375909</c:v>
                </c:pt>
                <c:pt idx="674">
                  <c:v>889.84792314375909</c:v>
                </c:pt>
                <c:pt idx="675">
                  <c:v>889.84792314375909</c:v>
                </c:pt>
                <c:pt idx="676">
                  <c:v>889.84792314375909</c:v>
                </c:pt>
                <c:pt idx="677">
                  <c:v>889.84792314375909</c:v>
                </c:pt>
                <c:pt idx="678">
                  <c:v>889.84792314375909</c:v>
                </c:pt>
                <c:pt idx="679">
                  <c:v>889.84792314375909</c:v>
                </c:pt>
                <c:pt idx="680">
                  <c:v>889.84792314375909</c:v>
                </c:pt>
                <c:pt idx="681">
                  <c:v>889.84792314375909</c:v>
                </c:pt>
                <c:pt idx="682">
                  <c:v>889.84792314375909</c:v>
                </c:pt>
                <c:pt idx="683">
                  <c:v>889.84792314375909</c:v>
                </c:pt>
                <c:pt idx="684">
                  <c:v>889.84792314375909</c:v>
                </c:pt>
                <c:pt idx="685">
                  <c:v>889.84792314375909</c:v>
                </c:pt>
                <c:pt idx="686">
                  <c:v>889.84792314375909</c:v>
                </c:pt>
                <c:pt idx="687">
                  <c:v>889.84792314375909</c:v>
                </c:pt>
                <c:pt idx="688">
                  <c:v>889.84792314375909</c:v>
                </c:pt>
                <c:pt idx="689">
                  <c:v>889.84792314375909</c:v>
                </c:pt>
                <c:pt idx="690">
                  <c:v>889.84792314375909</c:v>
                </c:pt>
                <c:pt idx="691">
                  <c:v>889.84792314375909</c:v>
                </c:pt>
                <c:pt idx="692">
                  <c:v>889.84792314375909</c:v>
                </c:pt>
                <c:pt idx="693">
                  <c:v>889.84792314375909</c:v>
                </c:pt>
                <c:pt idx="694">
                  <c:v>889.84792314375909</c:v>
                </c:pt>
                <c:pt idx="695">
                  <c:v>889.84792314375909</c:v>
                </c:pt>
                <c:pt idx="696">
                  <c:v>889.84792314375909</c:v>
                </c:pt>
                <c:pt idx="697">
                  <c:v>889.84792314375909</c:v>
                </c:pt>
                <c:pt idx="698">
                  <c:v>889.84792314375909</c:v>
                </c:pt>
                <c:pt idx="699">
                  <c:v>889.84792314375909</c:v>
                </c:pt>
                <c:pt idx="700">
                  <c:v>889.84792314375909</c:v>
                </c:pt>
                <c:pt idx="701">
                  <c:v>889.84792314375909</c:v>
                </c:pt>
                <c:pt idx="702">
                  <c:v>889.84792314375909</c:v>
                </c:pt>
                <c:pt idx="703">
                  <c:v>889.84792314375909</c:v>
                </c:pt>
                <c:pt idx="704">
                  <c:v>889.84792314375909</c:v>
                </c:pt>
                <c:pt idx="705">
                  <c:v>889.84792314375909</c:v>
                </c:pt>
                <c:pt idx="706">
                  <c:v>889.84792314375909</c:v>
                </c:pt>
                <c:pt idx="707">
                  <c:v>889.84792314375909</c:v>
                </c:pt>
                <c:pt idx="708">
                  <c:v>889.84792314375909</c:v>
                </c:pt>
                <c:pt idx="709">
                  <c:v>889.84792314375909</c:v>
                </c:pt>
                <c:pt idx="710">
                  <c:v>889.84792314375909</c:v>
                </c:pt>
                <c:pt idx="711">
                  <c:v>889.84792314375909</c:v>
                </c:pt>
                <c:pt idx="712">
                  <c:v>889.84792314375909</c:v>
                </c:pt>
                <c:pt idx="713">
                  <c:v>889.84792314375909</c:v>
                </c:pt>
                <c:pt idx="714">
                  <c:v>889.84792314375909</c:v>
                </c:pt>
                <c:pt idx="715">
                  <c:v>889.84792314375909</c:v>
                </c:pt>
                <c:pt idx="716">
                  <c:v>889.84792314375909</c:v>
                </c:pt>
                <c:pt idx="717">
                  <c:v>889.84792314375909</c:v>
                </c:pt>
                <c:pt idx="718">
                  <c:v>889.84792314375909</c:v>
                </c:pt>
                <c:pt idx="719">
                  <c:v>889.84792314375909</c:v>
                </c:pt>
                <c:pt idx="720">
                  <c:v>889.84792314375909</c:v>
                </c:pt>
                <c:pt idx="721">
                  <c:v>889.84792314375909</c:v>
                </c:pt>
                <c:pt idx="722">
                  <c:v>889.84792314375909</c:v>
                </c:pt>
                <c:pt idx="723">
                  <c:v>889.84792314375909</c:v>
                </c:pt>
                <c:pt idx="724">
                  <c:v>889.84792314375909</c:v>
                </c:pt>
                <c:pt idx="725">
                  <c:v>889.84792314375909</c:v>
                </c:pt>
                <c:pt idx="726">
                  <c:v>889.84792314375909</c:v>
                </c:pt>
                <c:pt idx="727">
                  <c:v>889.84792314375909</c:v>
                </c:pt>
                <c:pt idx="728">
                  <c:v>889.84792314375909</c:v>
                </c:pt>
                <c:pt idx="729">
                  <c:v>889.84792314375909</c:v>
                </c:pt>
                <c:pt idx="730">
                  <c:v>889.84792314375909</c:v>
                </c:pt>
                <c:pt idx="731">
                  <c:v>889.84792314375909</c:v>
                </c:pt>
                <c:pt idx="732">
                  <c:v>889.84792314375909</c:v>
                </c:pt>
                <c:pt idx="733">
                  <c:v>889.84792314375909</c:v>
                </c:pt>
                <c:pt idx="734">
                  <c:v>889.84792314375909</c:v>
                </c:pt>
                <c:pt idx="735">
                  <c:v>889.84792314375909</c:v>
                </c:pt>
                <c:pt idx="736">
                  <c:v>889.84792314375909</c:v>
                </c:pt>
                <c:pt idx="737">
                  <c:v>889.84792314375909</c:v>
                </c:pt>
                <c:pt idx="738">
                  <c:v>889.84792314375909</c:v>
                </c:pt>
                <c:pt idx="739">
                  <c:v>889.84792314375909</c:v>
                </c:pt>
                <c:pt idx="740">
                  <c:v>889.84792314375909</c:v>
                </c:pt>
                <c:pt idx="741">
                  <c:v>889.84792314375909</c:v>
                </c:pt>
                <c:pt idx="742">
                  <c:v>889.84792314375909</c:v>
                </c:pt>
                <c:pt idx="743">
                  <c:v>889.84792314375909</c:v>
                </c:pt>
                <c:pt idx="744">
                  <c:v>889.84792314375909</c:v>
                </c:pt>
                <c:pt idx="745">
                  <c:v>889.84792314375909</c:v>
                </c:pt>
                <c:pt idx="746">
                  <c:v>889.84792314375909</c:v>
                </c:pt>
                <c:pt idx="747">
                  <c:v>889.84792314375909</c:v>
                </c:pt>
                <c:pt idx="748">
                  <c:v>889.84792314375909</c:v>
                </c:pt>
                <c:pt idx="749">
                  <c:v>889.84792314375909</c:v>
                </c:pt>
                <c:pt idx="750">
                  <c:v>889.84792314375909</c:v>
                </c:pt>
                <c:pt idx="751">
                  <c:v>889.84792314375909</c:v>
                </c:pt>
                <c:pt idx="752">
                  <c:v>889.84792314375909</c:v>
                </c:pt>
                <c:pt idx="753">
                  <c:v>889.84792314375909</c:v>
                </c:pt>
                <c:pt idx="754">
                  <c:v>889.84792314375909</c:v>
                </c:pt>
                <c:pt idx="755">
                  <c:v>889.84792314375909</c:v>
                </c:pt>
                <c:pt idx="756">
                  <c:v>889.84792314375909</c:v>
                </c:pt>
                <c:pt idx="757">
                  <c:v>889.84792314375909</c:v>
                </c:pt>
                <c:pt idx="758">
                  <c:v>889.84792314375909</c:v>
                </c:pt>
                <c:pt idx="759">
                  <c:v>889.84792314375909</c:v>
                </c:pt>
                <c:pt idx="760">
                  <c:v>889.84792314375909</c:v>
                </c:pt>
                <c:pt idx="761">
                  <c:v>889.84792314375909</c:v>
                </c:pt>
                <c:pt idx="762">
                  <c:v>889.84792314375909</c:v>
                </c:pt>
                <c:pt idx="763">
                  <c:v>889.84792314375909</c:v>
                </c:pt>
                <c:pt idx="764">
                  <c:v>889.84792314375909</c:v>
                </c:pt>
                <c:pt idx="765">
                  <c:v>889.84792314375909</c:v>
                </c:pt>
                <c:pt idx="766">
                  <c:v>889.84792314375909</c:v>
                </c:pt>
                <c:pt idx="767">
                  <c:v>889.84792314375909</c:v>
                </c:pt>
                <c:pt idx="768">
                  <c:v>889.84792314375909</c:v>
                </c:pt>
                <c:pt idx="769">
                  <c:v>889.84792314375909</c:v>
                </c:pt>
                <c:pt idx="770">
                  <c:v>889.84792314375909</c:v>
                </c:pt>
                <c:pt idx="771">
                  <c:v>889.84792314375909</c:v>
                </c:pt>
                <c:pt idx="772">
                  <c:v>889.84792314375909</c:v>
                </c:pt>
                <c:pt idx="773">
                  <c:v>889.84792314375909</c:v>
                </c:pt>
                <c:pt idx="774">
                  <c:v>889.84792314375909</c:v>
                </c:pt>
                <c:pt idx="775">
                  <c:v>889.84792314375909</c:v>
                </c:pt>
                <c:pt idx="776">
                  <c:v>889.84792314375909</c:v>
                </c:pt>
                <c:pt idx="777">
                  <c:v>889.84792314375909</c:v>
                </c:pt>
                <c:pt idx="778">
                  <c:v>889.84792314375909</c:v>
                </c:pt>
                <c:pt idx="779">
                  <c:v>889.84792314375909</c:v>
                </c:pt>
                <c:pt idx="780">
                  <c:v>889.84792314375909</c:v>
                </c:pt>
                <c:pt idx="781">
                  <c:v>889.84792314375909</c:v>
                </c:pt>
                <c:pt idx="782">
                  <c:v>889.84792314375909</c:v>
                </c:pt>
                <c:pt idx="783">
                  <c:v>889.84792314375909</c:v>
                </c:pt>
                <c:pt idx="784">
                  <c:v>889.84792314375909</c:v>
                </c:pt>
                <c:pt idx="785">
                  <c:v>889.84792314375909</c:v>
                </c:pt>
                <c:pt idx="786">
                  <c:v>889.84792314375909</c:v>
                </c:pt>
                <c:pt idx="787">
                  <c:v>889.84792314375909</c:v>
                </c:pt>
                <c:pt idx="788">
                  <c:v>889.84792314375909</c:v>
                </c:pt>
                <c:pt idx="789">
                  <c:v>889.84792314375909</c:v>
                </c:pt>
                <c:pt idx="790">
                  <c:v>889.84792314375909</c:v>
                </c:pt>
                <c:pt idx="791">
                  <c:v>889.84792314375909</c:v>
                </c:pt>
                <c:pt idx="792">
                  <c:v>889.84792314375909</c:v>
                </c:pt>
                <c:pt idx="793">
                  <c:v>889.84792314375909</c:v>
                </c:pt>
                <c:pt idx="794">
                  <c:v>889.84792314375909</c:v>
                </c:pt>
                <c:pt idx="795">
                  <c:v>889.84792314375909</c:v>
                </c:pt>
                <c:pt idx="796">
                  <c:v>889.84792314375909</c:v>
                </c:pt>
                <c:pt idx="797">
                  <c:v>889.84792314375909</c:v>
                </c:pt>
                <c:pt idx="798">
                  <c:v>889.84792314375909</c:v>
                </c:pt>
                <c:pt idx="799">
                  <c:v>889.84792314375909</c:v>
                </c:pt>
                <c:pt idx="800">
                  <c:v>889.84792314375909</c:v>
                </c:pt>
                <c:pt idx="801">
                  <c:v>889.84792314375909</c:v>
                </c:pt>
                <c:pt idx="802">
                  <c:v>889.84792314375909</c:v>
                </c:pt>
                <c:pt idx="803">
                  <c:v>889.84792314375909</c:v>
                </c:pt>
                <c:pt idx="804">
                  <c:v>889.84792314375909</c:v>
                </c:pt>
                <c:pt idx="805">
                  <c:v>889.84792314375909</c:v>
                </c:pt>
                <c:pt idx="806">
                  <c:v>889.84792314375909</c:v>
                </c:pt>
                <c:pt idx="807">
                  <c:v>889.84792314375909</c:v>
                </c:pt>
                <c:pt idx="808">
                  <c:v>889.84792314375909</c:v>
                </c:pt>
                <c:pt idx="809">
                  <c:v>889.84792314375909</c:v>
                </c:pt>
                <c:pt idx="810">
                  <c:v>889.84792314375909</c:v>
                </c:pt>
                <c:pt idx="811">
                  <c:v>889.84792314375909</c:v>
                </c:pt>
                <c:pt idx="812">
                  <c:v>889.84792314375909</c:v>
                </c:pt>
                <c:pt idx="813">
                  <c:v>889.84792314375909</c:v>
                </c:pt>
                <c:pt idx="814">
                  <c:v>889.84792314375909</c:v>
                </c:pt>
                <c:pt idx="815">
                  <c:v>889.84792314375909</c:v>
                </c:pt>
                <c:pt idx="816">
                  <c:v>889.84792314375909</c:v>
                </c:pt>
                <c:pt idx="817">
                  <c:v>889.84792314375909</c:v>
                </c:pt>
                <c:pt idx="818">
                  <c:v>889.84792314375909</c:v>
                </c:pt>
                <c:pt idx="819">
                  <c:v>889.84792314375909</c:v>
                </c:pt>
                <c:pt idx="820">
                  <c:v>889.84792314375909</c:v>
                </c:pt>
                <c:pt idx="821">
                  <c:v>889.84792314375909</c:v>
                </c:pt>
                <c:pt idx="822">
                  <c:v>889.84792314375909</c:v>
                </c:pt>
                <c:pt idx="823">
                  <c:v>889.84792314375909</c:v>
                </c:pt>
                <c:pt idx="824">
                  <c:v>889.84792314375909</c:v>
                </c:pt>
                <c:pt idx="825">
                  <c:v>889.84792314375909</c:v>
                </c:pt>
                <c:pt idx="826">
                  <c:v>889.84792314375909</c:v>
                </c:pt>
                <c:pt idx="827">
                  <c:v>889.84792314375909</c:v>
                </c:pt>
                <c:pt idx="828">
                  <c:v>889.84792314375909</c:v>
                </c:pt>
                <c:pt idx="829">
                  <c:v>889.84792314375909</c:v>
                </c:pt>
                <c:pt idx="830">
                  <c:v>889.84792314375909</c:v>
                </c:pt>
                <c:pt idx="831">
                  <c:v>889.84792314375909</c:v>
                </c:pt>
                <c:pt idx="832">
                  <c:v>889.84792314375909</c:v>
                </c:pt>
                <c:pt idx="833">
                  <c:v>889.84792314375909</c:v>
                </c:pt>
                <c:pt idx="834">
                  <c:v>889.84792314375909</c:v>
                </c:pt>
                <c:pt idx="835">
                  <c:v>889.84792314375909</c:v>
                </c:pt>
                <c:pt idx="836">
                  <c:v>889.84792314375909</c:v>
                </c:pt>
                <c:pt idx="837">
                  <c:v>889.84792314375909</c:v>
                </c:pt>
                <c:pt idx="838">
                  <c:v>889.84792314375909</c:v>
                </c:pt>
                <c:pt idx="839">
                  <c:v>889.84792314375909</c:v>
                </c:pt>
                <c:pt idx="840">
                  <c:v>889.84792314375909</c:v>
                </c:pt>
                <c:pt idx="841">
                  <c:v>889.84792314375909</c:v>
                </c:pt>
                <c:pt idx="842">
                  <c:v>889.84792314375909</c:v>
                </c:pt>
                <c:pt idx="843">
                  <c:v>889.84792314375909</c:v>
                </c:pt>
                <c:pt idx="844">
                  <c:v>889.84792314375909</c:v>
                </c:pt>
                <c:pt idx="845">
                  <c:v>889.84792314375909</c:v>
                </c:pt>
                <c:pt idx="846">
                  <c:v>889.84792314375909</c:v>
                </c:pt>
                <c:pt idx="847">
                  <c:v>889.84792314375909</c:v>
                </c:pt>
                <c:pt idx="848">
                  <c:v>889.84792314375909</c:v>
                </c:pt>
                <c:pt idx="849">
                  <c:v>889.84792314375909</c:v>
                </c:pt>
                <c:pt idx="850">
                  <c:v>889.84792314375909</c:v>
                </c:pt>
                <c:pt idx="851">
                  <c:v>889.84792314375909</c:v>
                </c:pt>
                <c:pt idx="852">
                  <c:v>889.84792314375909</c:v>
                </c:pt>
                <c:pt idx="853">
                  <c:v>889.84792314375909</c:v>
                </c:pt>
                <c:pt idx="854">
                  <c:v>889.84792314375909</c:v>
                </c:pt>
                <c:pt idx="855">
                  <c:v>889.84792314375909</c:v>
                </c:pt>
                <c:pt idx="856">
                  <c:v>889.84792314375909</c:v>
                </c:pt>
                <c:pt idx="857">
                  <c:v>889.84792314375909</c:v>
                </c:pt>
                <c:pt idx="858">
                  <c:v>889.84792314375909</c:v>
                </c:pt>
                <c:pt idx="859">
                  <c:v>889.84792314375909</c:v>
                </c:pt>
                <c:pt idx="860">
                  <c:v>889.84792314375909</c:v>
                </c:pt>
                <c:pt idx="861">
                  <c:v>889.84792314375909</c:v>
                </c:pt>
                <c:pt idx="862">
                  <c:v>889.84792314375909</c:v>
                </c:pt>
                <c:pt idx="863">
                  <c:v>889.84792314375909</c:v>
                </c:pt>
                <c:pt idx="864">
                  <c:v>889.84792314375909</c:v>
                </c:pt>
                <c:pt idx="865">
                  <c:v>889.84792314375909</c:v>
                </c:pt>
                <c:pt idx="866">
                  <c:v>889.84792314375909</c:v>
                </c:pt>
                <c:pt idx="867">
                  <c:v>889.84792314375909</c:v>
                </c:pt>
                <c:pt idx="868">
                  <c:v>889.84792314375909</c:v>
                </c:pt>
                <c:pt idx="869">
                  <c:v>889.84792314375909</c:v>
                </c:pt>
                <c:pt idx="870">
                  <c:v>889.84792314375909</c:v>
                </c:pt>
                <c:pt idx="871">
                  <c:v>889.84792314375909</c:v>
                </c:pt>
                <c:pt idx="872">
                  <c:v>889.84792314375909</c:v>
                </c:pt>
                <c:pt idx="873">
                  <c:v>889.84792314375909</c:v>
                </c:pt>
                <c:pt idx="874">
                  <c:v>889.84792314375909</c:v>
                </c:pt>
                <c:pt idx="875">
                  <c:v>889.84792314375909</c:v>
                </c:pt>
                <c:pt idx="876">
                  <c:v>889.84792314375909</c:v>
                </c:pt>
                <c:pt idx="877">
                  <c:v>889.84792314375909</c:v>
                </c:pt>
                <c:pt idx="878">
                  <c:v>889.84792314375909</c:v>
                </c:pt>
                <c:pt idx="879">
                  <c:v>889.84792314375909</c:v>
                </c:pt>
                <c:pt idx="880">
                  <c:v>889.84792314375909</c:v>
                </c:pt>
                <c:pt idx="881">
                  <c:v>889.84792314375909</c:v>
                </c:pt>
                <c:pt idx="882">
                  <c:v>889.84792314375909</c:v>
                </c:pt>
                <c:pt idx="883">
                  <c:v>889.84792314375909</c:v>
                </c:pt>
                <c:pt idx="884">
                  <c:v>889.84792314375909</c:v>
                </c:pt>
                <c:pt idx="885">
                  <c:v>889.84792314375909</c:v>
                </c:pt>
                <c:pt idx="886">
                  <c:v>889.84792314375909</c:v>
                </c:pt>
                <c:pt idx="887">
                  <c:v>889.84792314375909</c:v>
                </c:pt>
                <c:pt idx="888">
                  <c:v>889.84792314375909</c:v>
                </c:pt>
                <c:pt idx="889">
                  <c:v>889.84792314375909</c:v>
                </c:pt>
                <c:pt idx="890">
                  <c:v>889.84792314375909</c:v>
                </c:pt>
                <c:pt idx="891">
                  <c:v>889.84792314375909</c:v>
                </c:pt>
                <c:pt idx="892">
                  <c:v>889.84792314375909</c:v>
                </c:pt>
                <c:pt idx="893">
                  <c:v>889.84792314375909</c:v>
                </c:pt>
                <c:pt idx="894">
                  <c:v>889.84792314375909</c:v>
                </c:pt>
                <c:pt idx="895">
                  <c:v>889.84792314375909</c:v>
                </c:pt>
                <c:pt idx="896">
                  <c:v>889.84792314375909</c:v>
                </c:pt>
                <c:pt idx="897">
                  <c:v>889.84792314375909</c:v>
                </c:pt>
                <c:pt idx="898">
                  <c:v>889.84792314375909</c:v>
                </c:pt>
                <c:pt idx="899">
                  <c:v>889.84792314375909</c:v>
                </c:pt>
                <c:pt idx="900">
                  <c:v>889.84792314375909</c:v>
                </c:pt>
                <c:pt idx="901">
                  <c:v>889.84792314375909</c:v>
                </c:pt>
                <c:pt idx="902">
                  <c:v>889.84792314375909</c:v>
                </c:pt>
                <c:pt idx="903">
                  <c:v>889.84792314375909</c:v>
                </c:pt>
                <c:pt idx="904">
                  <c:v>889.84792314375909</c:v>
                </c:pt>
                <c:pt idx="905">
                  <c:v>889.84792314375909</c:v>
                </c:pt>
                <c:pt idx="906">
                  <c:v>889.84792314375909</c:v>
                </c:pt>
                <c:pt idx="907">
                  <c:v>889.84792314375909</c:v>
                </c:pt>
                <c:pt idx="908">
                  <c:v>889.84792314375909</c:v>
                </c:pt>
                <c:pt idx="909">
                  <c:v>889.84792314375909</c:v>
                </c:pt>
                <c:pt idx="910">
                  <c:v>889.84792314375909</c:v>
                </c:pt>
                <c:pt idx="911">
                  <c:v>889.84792314375909</c:v>
                </c:pt>
                <c:pt idx="912">
                  <c:v>889.84792314375909</c:v>
                </c:pt>
                <c:pt idx="913">
                  <c:v>889.84792314375909</c:v>
                </c:pt>
                <c:pt idx="914">
                  <c:v>889.84792314375909</c:v>
                </c:pt>
                <c:pt idx="915">
                  <c:v>889.84792314375909</c:v>
                </c:pt>
                <c:pt idx="916">
                  <c:v>889.84792314375909</c:v>
                </c:pt>
                <c:pt idx="917">
                  <c:v>889.84792314375909</c:v>
                </c:pt>
                <c:pt idx="918">
                  <c:v>889.84792314375909</c:v>
                </c:pt>
                <c:pt idx="919">
                  <c:v>889.84792314375909</c:v>
                </c:pt>
                <c:pt idx="920">
                  <c:v>889.84792314375909</c:v>
                </c:pt>
                <c:pt idx="921">
                  <c:v>889.84792314375909</c:v>
                </c:pt>
                <c:pt idx="922">
                  <c:v>889.84792314375909</c:v>
                </c:pt>
                <c:pt idx="923">
                  <c:v>889.84792314375909</c:v>
                </c:pt>
                <c:pt idx="924">
                  <c:v>889.84792314375909</c:v>
                </c:pt>
                <c:pt idx="925">
                  <c:v>889.84792314375909</c:v>
                </c:pt>
                <c:pt idx="926">
                  <c:v>889.84792314375909</c:v>
                </c:pt>
                <c:pt idx="927">
                  <c:v>889.84792314375909</c:v>
                </c:pt>
                <c:pt idx="928">
                  <c:v>889.84792314375909</c:v>
                </c:pt>
                <c:pt idx="929">
                  <c:v>889.84792314375909</c:v>
                </c:pt>
                <c:pt idx="930">
                  <c:v>889.84792314375909</c:v>
                </c:pt>
                <c:pt idx="931">
                  <c:v>889.84792314375909</c:v>
                </c:pt>
                <c:pt idx="932">
                  <c:v>889.84792314375909</c:v>
                </c:pt>
                <c:pt idx="933">
                  <c:v>889.84792314375909</c:v>
                </c:pt>
                <c:pt idx="934">
                  <c:v>889.84792314375909</c:v>
                </c:pt>
                <c:pt idx="935">
                  <c:v>889.84792314375909</c:v>
                </c:pt>
                <c:pt idx="936">
                  <c:v>889.84792314375909</c:v>
                </c:pt>
                <c:pt idx="937">
                  <c:v>889.84792314375909</c:v>
                </c:pt>
                <c:pt idx="938">
                  <c:v>889.84792314375909</c:v>
                </c:pt>
                <c:pt idx="939">
                  <c:v>889.84792314375909</c:v>
                </c:pt>
                <c:pt idx="940">
                  <c:v>889.84792314375909</c:v>
                </c:pt>
                <c:pt idx="941">
                  <c:v>889.84792314375909</c:v>
                </c:pt>
                <c:pt idx="942">
                  <c:v>889.84792314375909</c:v>
                </c:pt>
                <c:pt idx="943">
                  <c:v>889.84792314375909</c:v>
                </c:pt>
                <c:pt idx="944">
                  <c:v>889.84792314375909</c:v>
                </c:pt>
                <c:pt idx="945">
                  <c:v>889.84792314375909</c:v>
                </c:pt>
                <c:pt idx="946">
                  <c:v>889.84792314375909</c:v>
                </c:pt>
                <c:pt idx="947">
                  <c:v>889.84792314375909</c:v>
                </c:pt>
                <c:pt idx="948">
                  <c:v>889.84792314375909</c:v>
                </c:pt>
                <c:pt idx="949">
                  <c:v>889.84792314375909</c:v>
                </c:pt>
                <c:pt idx="950">
                  <c:v>889.84792314375909</c:v>
                </c:pt>
                <c:pt idx="951">
                  <c:v>889.84792314375909</c:v>
                </c:pt>
                <c:pt idx="952">
                  <c:v>889.84792314375909</c:v>
                </c:pt>
                <c:pt idx="953">
                  <c:v>889.84792314375909</c:v>
                </c:pt>
                <c:pt idx="954">
                  <c:v>889.84792314375909</c:v>
                </c:pt>
                <c:pt idx="955">
                  <c:v>889.84792314375909</c:v>
                </c:pt>
                <c:pt idx="956">
                  <c:v>889.84792314375909</c:v>
                </c:pt>
                <c:pt idx="957">
                  <c:v>889.84792314375909</c:v>
                </c:pt>
                <c:pt idx="958">
                  <c:v>889.84792314375909</c:v>
                </c:pt>
                <c:pt idx="959">
                  <c:v>889.84792314375909</c:v>
                </c:pt>
                <c:pt idx="960">
                  <c:v>889.84792314375909</c:v>
                </c:pt>
                <c:pt idx="961">
                  <c:v>889.84792314375909</c:v>
                </c:pt>
                <c:pt idx="962">
                  <c:v>889.84792314375909</c:v>
                </c:pt>
                <c:pt idx="963">
                  <c:v>889.84792314375909</c:v>
                </c:pt>
                <c:pt idx="964">
                  <c:v>889.84792314375909</c:v>
                </c:pt>
                <c:pt idx="965">
                  <c:v>889.84792314375909</c:v>
                </c:pt>
                <c:pt idx="966">
                  <c:v>889.84792314375909</c:v>
                </c:pt>
                <c:pt idx="967">
                  <c:v>889.84792314375909</c:v>
                </c:pt>
                <c:pt idx="968">
                  <c:v>889.84792314375909</c:v>
                </c:pt>
                <c:pt idx="969">
                  <c:v>889.84792314375909</c:v>
                </c:pt>
                <c:pt idx="970">
                  <c:v>889.84792314375909</c:v>
                </c:pt>
                <c:pt idx="971">
                  <c:v>889.84792314375909</c:v>
                </c:pt>
                <c:pt idx="972">
                  <c:v>889.84792314375909</c:v>
                </c:pt>
                <c:pt idx="973">
                  <c:v>889.84792314375909</c:v>
                </c:pt>
                <c:pt idx="974">
                  <c:v>889.84792314375909</c:v>
                </c:pt>
                <c:pt idx="975">
                  <c:v>889.84792314375909</c:v>
                </c:pt>
                <c:pt idx="976">
                  <c:v>889.84792314375909</c:v>
                </c:pt>
                <c:pt idx="977">
                  <c:v>889.84792314375909</c:v>
                </c:pt>
                <c:pt idx="978">
                  <c:v>889.84792314375909</c:v>
                </c:pt>
                <c:pt idx="979">
                  <c:v>889.84792314375909</c:v>
                </c:pt>
                <c:pt idx="980">
                  <c:v>889.84792314375909</c:v>
                </c:pt>
                <c:pt idx="981">
                  <c:v>889.84792314375909</c:v>
                </c:pt>
                <c:pt idx="982">
                  <c:v>889.84792314375909</c:v>
                </c:pt>
                <c:pt idx="983">
                  <c:v>889.84792314375909</c:v>
                </c:pt>
                <c:pt idx="984">
                  <c:v>889.84792314375909</c:v>
                </c:pt>
                <c:pt idx="985">
                  <c:v>889.84792314375909</c:v>
                </c:pt>
                <c:pt idx="986">
                  <c:v>889.84792314375909</c:v>
                </c:pt>
                <c:pt idx="987">
                  <c:v>889.84792314375909</c:v>
                </c:pt>
                <c:pt idx="988">
                  <c:v>889.84792314375909</c:v>
                </c:pt>
                <c:pt idx="989">
                  <c:v>889.84792314375909</c:v>
                </c:pt>
                <c:pt idx="990">
                  <c:v>889.84792314375909</c:v>
                </c:pt>
                <c:pt idx="991">
                  <c:v>889.84792314375909</c:v>
                </c:pt>
                <c:pt idx="992">
                  <c:v>889.84792314375909</c:v>
                </c:pt>
                <c:pt idx="993">
                  <c:v>889.84792314375909</c:v>
                </c:pt>
                <c:pt idx="994">
                  <c:v>889.84792314375909</c:v>
                </c:pt>
                <c:pt idx="995">
                  <c:v>889.84792314375909</c:v>
                </c:pt>
                <c:pt idx="996">
                  <c:v>889.84792314375909</c:v>
                </c:pt>
                <c:pt idx="997">
                  <c:v>889.84792314375909</c:v>
                </c:pt>
                <c:pt idx="998">
                  <c:v>889.84792314375909</c:v>
                </c:pt>
                <c:pt idx="999">
                  <c:v>889.84792314375909</c:v>
                </c:pt>
                <c:pt idx="1000">
                  <c:v>889.84792314375909</c:v>
                </c:pt>
              </c:numCache>
            </c:numRef>
          </c:xVal>
          <c:yVal>
            <c:numRef>
              <c:f>Calculs!$AE$4:$AE$1004</c:f>
              <c:numCache>
                <c:formatCode>0</c:formatCode>
                <c:ptCount val="1001"/>
                <c:pt idx="0">
                  <c:v>0</c:v>
                </c:pt>
                <c:pt idx="1">
                  <c:v>1.014835289857519E-3</c:v>
                </c:pt>
                <c:pt idx="2">
                  <c:v>8.2092717621669274E-3</c:v>
                </c:pt>
                <c:pt idx="3">
                  <c:v>2.826280262367881E-2</c:v>
                </c:pt>
                <c:pt idx="4">
                  <c:v>6.3441336380832408E-2</c:v>
                </c:pt>
                <c:pt idx="5">
                  <c:v>0.11321685656357894</c:v>
                </c:pt>
                <c:pt idx="6">
                  <c:v>0.17722168839409749</c:v>
                </c:pt>
                <c:pt idx="7">
                  <c:v>0.25541074679293435</c:v>
                </c:pt>
                <c:pt idx="8">
                  <c:v>0.34790053114657993</c:v>
                </c:pt>
                <c:pt idx="9">
                  <c:v>0.4548076293392046</c:v>
                </c:pt>
                <c:pt idx="10">
                  <c:v>0.5762487157900873</c:v>
                </c:pt>
                <c:pt idx="11">
                  <c:v>0.71232375635665535</c:v>
                </c:pt>
                <c:pt idx="12">
                  <c:v>0.86309916219158467</c:v>
                </c:pt>
                <c:pt idx="13">
                  <c:v>1.0286245053401553</c:v>
                </c:pt>
                <c:pt idx="14">
                  <c:v>1.208949285564338</c:v>
                </c:pt>
                <c:pt idx="15">
                  <c:v>1.4041229287194446</c:v>
                </c:pt>
                <c:pt idx="16">
                  <c:v>1.6141947851243379</c:v>
                </c:pt>
                <c:pt idx="17">
                  <c:v>1.8392141279253065</c:v>
                </c:pt>
                <c:pt idx="18">
                  <c:v>2.0792301514537108</c:v>
                </c:pt>
                <c:pt idx="19">
                  <c:v>2.3342919695775111</c:v>
                </c:pt>
                <c:pt idx="20">
                  <c:v>2.6044486140467877</c:v>
                </c:pt>
                <c:pt idx="21">
                  <c:v>2.8897422865207414</c:v>
                </c:pt>
                <c:pt idx="22">
                  <c:v>3.1902015903762195</c:v>
                </c:pt>
                <c:pt idx="23">
                  <c:v>3.5058482460334504</c:v>
                </c:pt>
                <c:pt idx="24">
                  <c:v>3.836703826804376</c:v>
                </c:pt>
                <c:pt idx="25">
                  <c:v>4.1827897578456144</c:v>
                </c:pt>
                <c:pt idx="26">
                  <c:v>4.5441125127268629</c:v>
                </c:pt>
                <c:pt idx="27">
                  <c:v>4.9206777754406357</c:v>
                </c:pt>
                <c:pt idx="28">
                  <c:v>5.3125052505906112</c:v>
                </c:pt>
                <c:pt idx="29">
                  <c:v>5.7196145188719516</c:v>
                </c:pt>
                <c:pt idx="30">
                  <c:v>6.1420250454300582</c:v>
                </c:pt>
                <c:pt idx="31">
                  <c:v>6.5797561762952155</c:v>
                </c:pt>
                <c:pt idx="32">
                  <c:v>7.0328271350771372</c:v>
                </c:pt>
                <c:pt idx="33">
                  <c:v>7.5012570198865358</c:v>
                </c:pt>
                <c:pt idx="34">
                  <c:v>7.9850648004560352</c:v>
                </c:pt>
                <c:pt idx="35">
                  <c:v>8.4842693154369879</c:v>
                </c:pt>
                <c:pt idx="36">
                  <c:v>8.998889269852226</c:v>
                </c:pt>
                <c:pt idx="37">
                  <c:v>9.5289432326876877</c:v>
                </c:pt>
                <c:pt idx="38">
                  <c:v>10.074449634608213</c:v>
                </c:pt>
                <c:pt idx="39">
                  <c:v>10.63542676578486</c:v>
                </c:pt>
                <c:pt idx="40">
                  <c:v>11.211892773822738</c:v>
                </c:pt>
                <c:pt idx="41">
                  <c:v>11.803860402368862</c:v>
                </c:pt>
                <c:pt idx="42">
                  <c:v>12.411331715763811</c:v>
                </c:pt>
                <c:pt idx="43">
                  <c:v>13.034303336940619</c:v>
                </c:pt>
                <c:pt idx="44">
                  <c:v>13.672771699736666</c:v>
                </c:pt>
                <c:pt idx="45">
                  <c:v>14.326733047819415</c:v>
                </c:pt>
                <c:pt idx="46">
                  <c:v>14.996183433682525</c:v>
                </c:pt>
                <c:pt idx="47">
                  <c:v>15.681118717707127</c:v>
                </c:pt>
                <c:pt idx="48">
                  <c:v>16.381534567283673</c:v>
                </c:pt>
                <c:pt idx="49">
                  <c:v>17.097426455990202</c:v>
                </c:pt>
                <c:pt idx="50">
                  <c:v>17.828789662823397</c:v>
                </c:pt>
                <c:pt idx="51">
                  <c:v>18.575619271479084</c:v>
                </c:pt>
                <c:pt idx="52">
                  <c:v>19.337910169679283</c:v>
                </c:pt>
                <c:pt idx="53">
                  <c:v>20.115657048543085</c:v>
                </c:pt>
                <c:pt idx="54">
                  <c:v>20.908854401999015</c:v>
                </c:pt>
                <c:pt idx="55">
                  <c:v>21.717496526236687</c:v>
                </c:pt>
                <c:pt idx="56">
                  <c:v>22.541577519195783</c:v>
                </c:pt>
                <c:pt idx="57">
                  <c:v>23.381091280090605</c:v>
                </c:pt>
                <c:pt idx="58">
                  <c:v>24.236031508968555</c:v>
                </c:pt>
                <c:pt idx="59">
                  <c:v>25.106391706301096</c:v>
                </c:pt>
                <c:pt idx="60">
                  <c:v>25.992165172605819</c:v>
                </c:pt>
                <c:pt idx="61">
                  <c:v>26.893345008098414</c:v>
                </c:pt>
                <c:pt idx="62">
                  <c:v>27.809924112373409</c:v>
                </c:pt>
                <c:pt idx="63">
                  <c:v>28.741895184112654</c:v>
                </c:pt>
                <c:pt idx="64">
                  <c:v>29.689250720820588</c:v>
                </c:pt>
                <c:pt idx="65">
                  <c:v>30.651983018585437</c:v>
                </c:pt>
                <c:pt idx="66">
                  <c:v>31.630084171865516</c:v>
                </c:pt>
                <c:pt idx="67">
                  <c:v>32.62354607329992</c:v>
                </c:pt>
                <c:pt idx="68">
                  <c:v>33.632360413542884</c:v>
                </c:pt>
                <c:pt idx="69">
                  <c:v>34.656518681121227</c:v>
                </c:pt>
                <c:pt idx="70">
                  <c:v>35.69601216231424</c:v>
                </c:pt>
                <c:pt idx="71">
                  <c:v>36.75083194105548</c:v>
                </c:pt>
                <c:pt idx="72">
                  <c:v>37.82096889885603</c:v>
                </c:pt>
                <c:pt idx="73">
                  <c:v>38.906413714748616</c:v>
                </c:pt>
                <c:pt idx="74">
                  <c:v>40.00715686525227</c:v>
                </c:pt>
                <c:pt idx="75">
                  <c:v>41.12318862435707</c:v>
                </c:pt>
                <c:pt idx="76">
                  <c:v>42.254499063528542</c:v>
                </c:pt>
                <c:pt idx="77">
                  <c:v>43.401078051731403</c:v>
                </c:pt>
                <c:pt idx="78">
                  <c:v>44.562915255472312</c:v>
                </c:pt>
                <c:pt idx="79">
                  <c:v>45.740000138861248</c:v>
                </c:pt>
                <c:pt idx="80">
                  <c:v>46.932321963691273</c:v>
                </c:pt>
                <c:pt idx="81">
                  <c:v>48.139864422620498</c:v>
                </c:pt>
                <c:pt idx="82">
                  <c:v>49.362600260516437</c:v>
                </c:pt>
                <c:pt idx="83">
                  <c:v>50.600496626797494</c:v>
                </c:pt>
                <c:pt idx="84">
                  <c:v>51.853520440092936</c:v>
                </c:pt>
                <c:pt idx="85">
                  <c:v>53.121638389303747</c:v>
                </c:pt>
                <c:pt idx="86">
                  <c:v>54.40481693468324</c:v>
                </c:pt>
                <c:pt idx="87">
                  <c:v>55.703022308937122</c:v>
                </c:pt>
                <c:pt idx="88">
                  <c:v>57.016220518342564</c:v>
                </c:pt>
                <c:pt idx="89">
                  <c:v>58.344377343885952</c:v>
                </c:pt>
                <c:pt idx="90">
                  <c:v>59.687458342418907</c:v>
                </c:pt>
                <c:pt idx="91">
                  <c:v>61.045426473207243</c:v>
                </c:pt>
                <c:pt idx="92">
                  <c:v>62.41823971967262</c:v>
                </c:pt>
                <c:pt idx="93">
                  <c:v>63.805853459542291</c:v>
                </c:pt>
                <c:pt idx="94">
                  <c:v>65.208222840061339</c:v>
                </c:pt>
                <c:pt idx="95">
                  <c:v>66.625302779676446</c:v>
                </c:pt>
                <c:pt idx="96">
                  <c:v>68.05704796973626</c:v>
                </c:pt>
                <c:pt idx="97">
                  <c:v>69.503412876207904</c:v>
                </c:pt>
                <c:pt idx="98">
                  <c:v>70.964351741409232</c:v>
                </c:pt>
                <c:pt idx="99">
                  <c:v>72.439818585756555</c:v>
                </c:pt>
                <c:pt idx="100">
                  <c:v>73.929767209527313</c:v>
                </c:pt>
                <c:pt idx="101">
                  <c:v>75.434150814277572</c:v>
                </c:pt>
                <c:pt idx="102">
                  <c:v>76.952921623574568</c:v>
                </c:pt>
                <c:pt idx="103">
                  <c:v>78.486031264390817</c:v>
                </c:pt>
                <c:pt idx="104">
                  <c:v>80.033431149247576</c:v>
                </c:pt>
                <c:pt idx="105">
                  <c:v>81.595072478120144</c:v>
                </c:pt>
                <c:pt idx="106">
                  <c:v>83.170906240356075</c:v>
                </c:pt>
                <c:pt idx="107">
                  <c:v>84.760883216605734</c:v>
                </c:pt>
                <c:pt idx="108">
                  <c:v>86.364953980764994</c:v>
                </c:pt>
                <c:pt idx="109">
                  <c:v>87.983068901929698</c:v>
                </c:pt>
                <c:pt idx="110">
                  <c:v>89.615178146361458</c:v>
                </c:pt>
                <c:pt idx="111">
                  <c:v>91.261236064969438</c:v>
                </c:pt>
                <c:pt idx="112">
                  <c:v>92.921205588025856</c:v>
                </c:pt>
                <c:pt idx="113">
                  <c:v>94.595053848995107</c:v>
                </c:pt>
                <c:pt idx="114">
                  <c:v>96.282747800752887</c:v>
                </c:pt>
                <c:pt idx="115">
                  <c:v>97.984254216810271</c:v>
                </c:pt>
                <c:pt idx="116">
                  <c:v>99.699539692548342</c:v>
                </c:pt>
                <c:pt idx="117">
                  <c:v>101.42857064646307</c:v>
                </c:pt>
                <c:pt idx="118">
                  <c:v>103.17131332142036</c:v>
                </c:pt>
                <c:pt idx="119">
                  <c:v>104.92773378592094</c:v>
                </c:pt>
                <c:pt idx="120">
                  <c:v>106.69779793537506</c:v>
                </c:pt>
                <c:pt idx="121">
                  <c:v>108.4814642092374</c:v>
                </c:pt>
                <c:pt idx="122">
                  <c:v>110.27867629734055</c:v>
                </c:pt>
                <c:pt idx="123">
                  <c:v>112.08937041547584</c:v>
                </c:pt>
                <c:pt idx="124">
                  <c:v>113.91348259247557</c:v>
                </c:pt>
                <c:pt idx="125">
                  <c:v>115.75094867289528</c:v>
                </c:pt>
                <c:pt idx="126">
                  <c:v>117.60170431970077</c:v>
                </c:pt>
                <c:pt idx="127">
                  <c:v>119.46568501695968</c:v>
                </c:pt>
                <c:pt idx="128">
                  <c:v>121.34282607253705</c:v>
                </c:pt>
                <c:pt idx="129">
                  <c:v>123.2330626207945</c:v>
                </c:pt>
                <c:pt idx="130">
                  <c:v>125.1363296252927</c:v>
                </c:pt>
                <c:pt idx="131">
                  <c:v>127.05255997182877</c:v>
                </c:pt>
                <c:pt idx="132">
                  <c:v>128.98168255907402</c:v>
                </c:pt>
                <c:pt idx="133">
                  <c:v>130.92362420915705</c:v>
                </c:pt>
                <c:pt idx="134">
                  <c:v>132.87831158084617</c:v>
                </c:pt>
                <c:pt idx="135">
                  <c:v>134.84567117265215</c:v>
                </c:pt>
                <c:pt idx="136">
                  <c:v>136.82562932593001</c:v>
                </c:pt>
                <c:pt idx="137">
                  <c:v>138.81811222797924</c:v>
                </c:pt>
                <c:pt idx="138">
                  <c:v>140.82304591514207</c:v>
                </c:pt>
                <c:pt idx="139">
                  <c:v>142.84035627589932</c:v>
                </c:pt>
                <c:pt idx="140">
                  <c:v>144.86996905396333</c:v>
                </c:pt>
                <c:pt idx="141">
                  <c:v>146.91178698708333</c:v>
                </c:pt>
                <c:pt idx="142">
                  <c:v>148.96566692288272</c:v>
                </c:pt>
                <c:pt idx="143">
                  <c:v>151.03144267539574</c:v>
                </c:pt>
                <c:pt idx="144">
                  <c:v>153.10894790750638</c:v>
                </c:pt>
                <c:pt idx="145">
                  <c:v>155.19801613987988</c:v>
                </c:pt>
                <c:pt idx="146">
                  <c:v>157.2984807598383</c:v>
                </c:pt>
                <c:pt idx="147">
                  <c:v>159.41017503017829</c:v>
                </c:pt>
                <c:pt idx="148">
                  <c:v>161.5329320979302</c:v>
                </c:pt>
                <c:pt idx="149">
                  <c:v>163.66658500305633</c:v>
                </c:pt>
                <c:pt idx="150">
                  <c:v>165.81096668708767</c:v>
                </c:pt>
                <c:pt idx="151">
                  <c:v>167.96591000169732</c:v>
                </c:pt>
                <c:pt idx="152">
                  <c:v>170.13124771720939</c:v>
                </c:pt>
                <c:pt idx="153">
                  <c:v>172.30681253104228</c:v>
                </c:pt>
                <c:pt idx="154">
                  <c:v>174.49243707608477</c:v>
                </c:pt>
                <c:pt idx="155">
                  <c:v>176.68795392900398</c:v>
                </c:pt>
                <c:pt idx="156">
                  <c:v>178.89308714213681</c:v>
                </c:pt>
                <c:pt idx="157">
                  <c:v>181.10734374515161</c:v>
                </c:pt>
                <c:pt idx="158">
                  <c:v>183.33012231697492</c:v>
                </c:pt>
                <c:pt idx="159">
                  <c:v>185.56082161710287</c:v>
                </c:pt>
                <c:pt idx="160">
                  <c:v>187.79884065168349</c:v>
                </c:pt>
                <c:pt idx="161">
                  <c:v>190.04344076972521</c:v>
                </c:pt>
                <c:pt idx="162">
                  <c:v>192.29360783695529</c:v>
                </c:pt>
                <c:pt idx="163">
                  <c:v>194.54820373809588</c:v>
                </c:pt>
                <c:pt idx="164">
                  <c:v>196.80611785876218</c:v>
                </c:pt>
                <c:pt idx="165">
                  <c:v>199.06638591248998</c:v>
                </c:pt>
                <c:pt idx="166">
                  <c:v>201.32830857749934</c:v>
                </c:pt>
                <c:pt idx="167">
                  <c:v>203.59121916885027</c:v>
                </c:pt>
                <c:pt idx="168">
                  <c:v>205.85432411080905</c:v>
                </c:pt>
                <c:pt idx="169">
                  <c:v>208.11659647290509</c:v>
                </c:pt>
                <c:pt idx="170">
                  <c:v>210.37674232348601</c:v>
                </c:pt>
                <c:pt idx="171">
                  <c:v>212.63385665462681</c:v>
                </c:pt>
                <c:pt idx="172">
                  <c:v>214.88771531735478</c:v>
                </c:pt>
                <c:pt idx="173">
                  <c:v>217.13832534242837</c:v>
                </c:pt>
                <c:pt idx="174">
                  <c:v>219.38569373336375</c:v>
                </c:pt>
                <c:pt idx="175">
                  <c:v>221.62982746657516</c:v>
                </c:pt>
                <c:pt idx="176">
                  <c:v>223.8707334915145</c:v>
                </c:pt>
                <c:pt idx="177">
                  <c:v>226.10841873080986</c:v>
                </c:pt>
                <c:pt idx="178">
                  <c:v>228.34289008040329</c:v>
                </c:pt>
                <c:pt idx="179">
                  <c:v>230.57415440968754</c:v>
                </c:pt>
                <c:pt idx="180">
                  <c:v>232.80221856164206</c:v>
                </c:pt>
                <c:pt idx="181">
                  <c:v>235.02708935296801</c:v>
                </c:pt>
                <c:pt idx="182">
                  <c:v>237.24877357422241</c:v>
                </c:pt>
                <c:pt idx="183">
                  <c:v>239.46727798995155</c:v>
                </c:pt>
                <c:pt idx="184">
                  <c:v>241.68260933882334</c:v>
                </c:pt>
                <c:pt idx="185">
                  <c:v>243.89477433375896</c:v>
                </c:pt>
                <c:pt idx="186">
                  <c:v>246.10377966206366</c:v>
                </c:pt>
                <c:pt idx="187">
                  <c:v>248.30963198555665</c:v>
                </c:pt>
                <c:pt idx="188">
                  <c:v>250.51233794070015</c:v>
                </c:pt>
                <c:pt idx="189">
                  <c:v>252.7119041387277</c:v>
                </c:pt>
                <c:pt idx="190">
                  <c:v>254.90833716577166</c:v>
                </c:pt>
                <c:pt idx="191">
                  <c:v>257.10164358298971</c:v>
                </c:pt>
                <c:pt idx="192">
                  <c:v>259.29182992669087</c:v>
                </c:pt>
                <c:pt idx="193">
                  <c:v>261.47890270846034</c:v>
                </c:pt>
                <c:pt idx="194">
                  <c:v>263.66286841528387</c:v>
                </c:pt>
                <c:pt idx="195">
                  <c:v>265.8437335096711</c:v>
                </c:pt>
                <c:pt idx="196">
                  <c:v>268.02150442977836</c:v>
                </c:pt>
                <c:pt idx="197">
                  <c:v>270.19618758953044</c:v>
                </c:pt>
                <c:pt idx="198">
                  <c:v>272.3677893787418</c:v>
                </c:pt>
                <c:pt idx="199">
                  <c:v>274.5363161632369</c:v>
                </c:pt>
                <c:pt idx="200">
                  <c:v>276.7017742849697</c:v>
                </c:pt>
                <c:pt idx="201">
                  <c:v>298.18806844452359</c:v>
                </c:pt>
                <c:pt idx="202">
                  <c:v>319.37155913113872</c:v>
                </c:pt>
                <c:pt idx="203">
                  <c:v>340.25836315811733</c:v>
                </c:pt>
                <c:pt idx="204">
                  <c:v>360.85437383944549</c:v>
                </c:pt>
                <c:pt idx="205">
                  <c:v>381.1652717252208</c:v>
                </c:pt>
                <c:pt idx="206">
                  <c:v>401.19653469204792</c:v>
                </c:pt>
                <c:pt idx="207">
                  <c:v>420.95344743459793</c:v>
                </c:pt>
                <c:pt idx="208">
                  <c:v>440.44111040069697</c:v>
                </c:pt>
                <c:pt idx="209">
                  <c:v>459.66444820883692</c:v>
                </c:pt>
                <c:pt idx="210">
                  <c:v>478.62821758385189</c:v>
                </c:pt>
                <c:pt idx="211">
                  <c:v>497.33701484364508</c:v>
                </c:pt>
                <c:pt idx="212">
                  <c:v>515.79528296724777</c:v>
                </c:pt>
                <c:pt idx="213">
                  <c:v>534.00731827212758</c:v>
                </c:pt>
                <c:pt idx="214">
                  <c:v>551.97727672650228</c:v>
                </c:pt>
                <c:pt idx="215">
                  <c:v>569.70917992045008</c:v>
                </c:pt>
                <c:pt idx="216">
                  <c:v>587.2069207178065</c:v>
                </c:pt>
                <c:pt idx="217">
                  <c:v>604.47426860919734</c:v>
                </c:pt>
                <c:pt idx="218">
                  <c:v>621.51487478504953</c:v>
                </c:pt>
                <c:pt idx="219">
                  <c:v>638.33227694604579</c:v>
                </c:pt>
                <c:pt idx="220">
                  <c:v>654.92990386722522</c:v>
                </c:pt>
                <c:pt idx="221">
                  <c:v>671.31107973076951</c:v>
                </c:pt>
                <c:pt idx="222">
                  <c:v>687.47902824145251</c:v>
                </c:pt>
                <c:pt idx="223">
                  <c:v>703.43687653774646</c:v>
                </c:pt>
                <c:pt idx="224">
                  <c:v>719.1876589106804</c:v>
                </c:pt>
                <c:pt idx="225">
                  <c:v>734.73432034171162</c:v>
                </c:pt>
                <c:pt idx="226">
                  <c:v>750.07971987010762</c:v>
                </c:pt>
                <c:pt idx="227">
                  <c:v>765.22663379962705</c:v>
                </c:pt>
                <c:pt idx="228">
                  <c:v>780.17775875363714</c:v>
                </c:pt>
                <c:pt idx="229">
                  <c:v>794.93571458719885</c:v>
                </c:pt>
                <c:pt idx="230">
                  <c:v>809.50304716409653</c:v>
                </c:pt>
                <c:pt idx="231">
                  <c:v>823.8822310062684</c:v>
                </c:pt>
                <c:pt idx="232">
                  <c:v>838.07567182261812</c:v>
                </c:pt>
                <c:pt idx="233">
                  <c:v>852.08570892374257</c:v>
                </c:pt>
                <c:pt idx="234">
                  <c:v>865.9146175286993</c:v>
                </c:pt>
                <c:pt idx="235">
                  <c:v>879.5646109695557</c:v>
                </c:pt>
                <c:pt idx="236">
                  <c:v>893.03784279910587</c:v>
                </c:pt>
                <c:pt idx="237">
                  <c:v>906.3364088068106</c:v>
                </c:pt>
                <c:pt idx="238">
                  <c:v>919.46234894771032</c:v>
                </c:pt>
                <c:pt idx="239">
                  <c:v>932.41764918877345</c:v>
                </c:pt>
                <c:pt idx="240">
                  <c:v>945.20424327687579</c:v>
                </c:pt>
                <c:pt idx="241">
                  <c:v>957.82401443236006</c:v>
                </c:pt>
                <c:pt idx="242">
                  <c:v>970.27879697189155</c:v>
                </c:pt>
                <c:pt idx="243">
                  <c:v>982.57037786410933</c:v>
                </c:pt>
                <c:pt idx="244">
                  <c:v>994.70049822137241</c:v>
                </c:pt>
                <c:pt idx="245">
                  <c:v>1006.6708547307095</c:v>
                </c:pt>
                <c:pt idx="246">
                  <c:v>1018.483101026906</c:v>
                </c:pt>
                <c:pt idx="247">
                  <c:v>1030.1388490104957</c:v>
                </c:pt>
                <c:pt idx="248">
                  <c:v>1041.6396701132724</c:v>
                </c:pt>
                <c:pt idx="249">
                  <c:v>1052.987096513787</c:v>
                </c:pt>
                <c:pt idx="250">
                  <c:v>1064.1826223051685</c:v>
                </c:pt>
                <c:pt idx="251">
                  <c:v>1075.2277046174697</c:v>
                </c:pt>
                <c:pt idx="252">
                  <c:v>1086.1237646966292</c:v>
                </c:pt>
                <c:pt idx="253">
                  <c:v>1096.8721889420215</c:v>
                </c:pt>
                <c:pt idx="254">
                  <c:v>1107.4743299044674</c:v>
                </c:pt>
                <c:pt idx="255">
                  <c:v>1117.9315072464747</c:v>
                </c:pt>
                <c:pt idx="256">
                  <c:v>1128.2450086663891</c:v>
                </c:pt>
                <c:pt idx="257">
                  <c:v>1138.4160907880448</c:v>
                </c:pt>
                <c:pt idx="258">
                  <c:v>1148.4459800174252</c:v>
                </c:pt>
                <c:pt idx="259">
                  <c:v>1158.3358733677655</c:v>
                </c:pt>
                <c:pt idx="260">
                  <c:v>1168.0869392544566</c:v>
                </c:pt>
                <c:pt idx="261">
                  <c:v>1177.7003182610395</c:v>
                </c:pt>
                <c:pt idx="262">
                  <c:v>1187.1771238775182</c:v>
                </c:pt>
                <c:pt idx="263">
                  <c:v>1196.5184432121555</c:v>
                </c:pt>
                <c:pt idx="264">
                  <c:v>1205.7253376778583</c:v>
                </c:pt>
                <c:pt idx="265">
                  <c:v>1214.7988436542075</c:v>
                </c:pt>
                <c:pt idx="266">
                  <c:v>1223.7399731261344</c:v>
                </c:pt>
                <c:pt idx="267">
                  <c:v>1232.5497143001958</c:v>
                </c:pt>
                <c:pt idx="268">
                  <c:v>1241.2290321993603</c:v>
                </c:pt>
                <c:pt idx="269">
                  <c:v>1249.7788692371664</c:v>
                </c:pt>
                <c:pt idx="270">
                  <c:v>1258.2001457720798</c:v>
                </c:pt>
                <c:pt idx="271">
                  <c:v>1266.4937606428352</c:v>
                </c:pt>
                <c:pt idx="272">
                  <c:v>1274.6605916855115</c:v>
                </c:pt>
                <c:pt idx="273">
                  <c:v>1282.701496233057</c:v>
                </c:pt>
                <c:pt idx="274">
                  <c:v>1290.6173115979454</c:v>
                </c:pt>
                <c:pt idx="275">
                  <c:v>1298.4088555386154</c:v>
                </c:pt>
                <c:pt idx="276">
                  <c:v>1306.0769267103153</c:v>
                </c:pt>
                <c:pt idx="277">
                  <c:v>1313.622305100949</c:v>
                </c:pt>
                <c:pt idx="278">
                  <c:v>1321.0457524524904</c:v>
                </c:pt>
                <c:pt idx="279">
                  <c:v>1328.348012668511</c:v>
                </c:pt>
                <c:pt idx="280">
                  <c:v>1335.5298122083414</c:v>
                </c:pt>
                <c:pt idx="281">
                  <c:v>1342.5918604683645</c:v>
                </c:pt>
                <c:pt idx="282">
                  <c:v>1349.5348501509188</c:v>
                </c:pt>
                <c:pt idx="283">
                  <c:v>1356.3594576212674</c:v>
                </c:pt>
                <c:pt idx="284">
                  <c:v>1363.066343253075</c:v>
                </c:pt>
                <c:pt idx="285">
                  <c:v>1369.6561517628111</c:v>
                </c:pt>
                <c:pt idx="286">
                  <c:v>1376.129512533485</c:v>
                </c:pt>
                <c:pt idx="287">
                  <c:v>1382.4870399281037</c:v>
                </c:pt>
                <c:pt idx="288">
                  <c:v>1388.7293335932236</c:v>
                </c:pt>
                <c:pt idx="289">
                  <c:v>1394.8569787529584</c:v>
                </c:pt>
                <c:pt idx="290">
                  <c:v>1400.8705464937912</c:v>
                </c:pt>
                <c:pt idx="291">
                  <c:v>1406.7705940405247</c:v>
                </c:pt>
                <c:pt idx="292">
                  <c:v>1412.5576650236951</c:v>
                </c:pt>
                <c:pt idx="293">
                  <c:v>1418.2322897387626</c:v>
                </c:pt>
                <c:pt idx="294">
                  <c:v>1423.7949853973826</c:v>
                </c:pt>
                <c:pt idx="295">
                  <c:v>1429.2462563710544</c:v>
                </c:pt>
                <c:pt idx="296">
                  <c:v>1434.5865944274333</c:v>
                </c:pt>
                <c:pt idx="297">
                  <c:v>1439.816478959588</c:v>
                </c:pt>
                <c:pt idx="298">
                  <c:v>1444.9363772084766</c:v>
                </c:pt>
                <c:pt idx="299">
                  <c:v>1449.9467444789107</c:v>
                </c:pt>
                <c:pt idx="300">
                  <c:v>1454.8480243492709</c:v>
                </c:pt>
                <c:pt idx="301">
                  <c:v>1459.6406488752384</c:v>
                </c:pt>
                <c:pt idx="302">
                  <c:v>1464.3250387877956</c:v>
                </c:pt>
                <c:pt idx="303">
                  <c:v>1468.9016036857581</c:v>
                </c:pt>
                <c:pt idx="304">
                  <c:v>1473.3707422230914</c:v>
                </c:pt>
                <c:pt idx="305">
                  <c:v>1477.7328422912717</c:v>
                </c:pt>
                <c:pt idx="306">
                  <c:v>1481.988281196951</c:v>
                </c:pt>
                <c:pt idx="307">
                  <c:v>1486.1374258351873</c:v>
                </c:pt>
                <c:pt idx="308">
                  <c:v>1490.1806328585112</c:v>
                </c:pt>
                <c:pt idx="309">
                  <c:v>1494.1182488421023</c:v>
                </c:pt>
                <c:pt idx="310">
                  <c:v>1497.9506104453583</c:v>
                </c:pt>
                <c:pt idx="311">
                  <c:v>1501.6780445701515</c:v>
                </c:pt>
                <c:pt idx="312">
                  <c:v>1505.3008685160778</c:v>
                </c:pt>
                <c:pt idx="313">
                  <c:v>1508.8193901330187</c:v>
                </c:pt>
                <c:pt idx="314">
                  <c:v>1512.2339079713545</c:v>
                </c:pt>
                <c:pt idx="315">
                  <c:v>1515.5447114301844</c:v>
                </c:pt>
                <c:pt idx="316">
                  <c:v>1518.7520809039358</c:v>
                </c:pt>
                <c:pt idx="317">
                  <c:v>1521.856287927767</c:v>
                </c:pt>
                <c:pt idx="318">
                  <c:v>1524.8575953221971</c:v>
                </c:pt>
                <c:pt idx="319">
                  <c:v>1527.7562573374339</c:v>
                </c:pt>
                <c:pt idx="320">
                  <c:v>1530.5525197978991</c:v>
                </c:pt>
                <c:pt idx="321">
                  <c:v>1533.2466202474986</c:v>
                </c:pt>
                <c:pt idx="322">
                  <c:v>1535.8387880962241</c:v>
                </c:pt>
                <c:pt idx="323">
                  <c:v>1538.3292447687206</c:v>
                </c:pt>
                <c:pt idx="324">
                  <c:v>1540.7182038555113</c:v>
                </c:pt>
                <c:pt idx="325">
                  <c:v>1543.0058712676168</c:v>
                </c:pt>
                <c:pt idx="326">
                  <c:v>1545.1924453953729</c:v>
                </c:pt>
                <c:pt idx="327">
                  <c:v>1547.278117272303</c:v>
                </c:pt>
                <c:pt idx="328">
                  <c:v>1549.2630707449644</c:v>
                </c:pt>
                <c:pt idx="329">
                  <c:v>1551.1474826497463</c:v>
                </c:pt>
                <c:pt idx="330">
                  <c:v>1552.931522997648</c:v>
                </c:pt>
                <c:pt idx="331">
                  <c:v>1554.6153551681195</c:v>
                </c:pt>
                <c:pt idx="332">
                  <c:v>1556.1991361130772</c:v>
                </c:pt>
                <c:pt idx="333">
                  <c:v>1557.6830165722383</c:v>
                </c:pt>
                <c:pt idx="334">
                  <c:v>1559.0671413009147</c:v>
                </c:pt>
                <c:pt idx="335">
                  <c:v>1560.3516493113871</c:v>
                </c:pt>
                <c:pt idx="336">
                  <c:v>1561.5366741289292</c:v>
                </c:pt>
                <c:pt idx="337">
                  <c:v>1562.6223440634592</c:v>
                </c:pt>
                <c:pt idx="338">
                  <c:v>1563.6087824976619</c:v>
                </c:pt>
                <c:pt idx="339">
                  <c:v>1564.4961081922449</c:v>
                </c:pt>
                <c:pt idx="340">
                  <c:v>1565.2844356087567</c:v>
                </c:pt>
                <c:pt idx="341">
                  <c:v>1565.9738752501087</c:v>
                </c:pt>
                <c:pt idx="342">
                  <c:v>1566.564534018609</c:v>
                </c:pt>
                <c:pt idx="343">
                  <c:v>1567.0565155909271</c:v>
                </c:pt>
                <c:pt idx="344">
                  <c:v>1567.4499208089997</c:v>
                </c:pt>
                <c:pt idx="345">
                  <c:v>1567.7448480854459</c:v>
                </c:pt>
                <c:pt idx="346">
                  <c:v>1567.9413938216237</c:v>
                </c:pt>
                <c:pt idx="347">
                  <c:v>1568.0396528360352</c:v>
                </c:pt>
                <c:pt idx="348">
                  <c:v>1568.0397188004185</c:v>
                </c:pt>
                <c:pt idx="349">
                  <c:v>1567.9416846805457</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numCache>
            </c:numRef>
          </c:yVal>
          <c:smooth val="0"/>
          <c:extLst>
            <c:ext xmlns:c16="http://schemas.microsoft.com/office/drawing/2014/chart" uri="{C3380CC4-5D6E-409C-BE32-E72D297353CC}">
              <c16:uniqueId val="{00000005-432A-49A9-9499-7ED3E32DDB07}"/>
            </c:ext>
          </c:extLst>
        </c:ser>
        <c:ser>
          <c:idx val="6"/>
          <c:order val="5"/>
          <c:tx>
            <c:strRef>
              <c:f>Trajecto!$B$107</c:f>
              <c:strCache>
                <c:ptCount val="1"/>
                <c:pt idx="0">
                  <c:v>Phase ascendante</c:v>
                </c:pt>
              </c:strCache>
            </c:strRef>
          </c:tx>
          <c:spPr>
            <a:ln w="28575">
              <a:noFill/>
            </a:ln>
          </c:spPr>
          <c:marker>
            <c:symbol val="none"/>
          </c:marker>
          <c:dLbls>
            <c:spPr>
              <a:noFill/>
              <a:ln w="25400">
                <a:noFill/>
              </a:ln>
            </c:spPr>
            <c:txPr>
              <a:bodyPr/>
              <a:lstStyle/>
              <a:p>
                <a:pPr>
                  <a:defRPr sz="700" b="1" i="0" u="none" strike="noStrike" baseline="0">
                    <a:solidFill>
                      <a:srgbClr val="000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Trajecto!$D$158</c:f>
              <c:numCache>
                <c:formatCode>0</c:formatCode>
                <c:ptCount val="1"/>
                <c:pt idx="0">
                  <c:v>126.37877072691319</c:v>
                </c:pt>
              </c:numCache>
            </c:numRef>
          </c:xVal>
          <c:yVal>
            <c:numRef>
              <c:f>Trajecto!$C$158</c:f>
              <c:numCache>
                <c:formatCode>0</c:formatCode>
                <c:ptCount val="1"/>
                <c:pt idx="0">
                  <c:v>783.8728215892595</c:v>
                </c:pt>
              </c:numCache>
            </c:numRef>
          </c:yVal>
          <c:smooth val="0"/>
          <c:extLst>
            <c:ext xmlns:c16="http://schemas.microsoft.com/office/drawing/2014/chart" uri="{C3380CC4-5D6E-409C-BE32-E72D297353CC}">
              <c16:uniqueId val="{00000006-432A-49A9-9499-7ED3E32DDB07}"/>
            </c:ext>
          </c:extLst>
        </c:ser>
        <c:ser>
          <c:idx val="7"/>
          <c:order val="6"/>
          <c:tx>
            <c:strRef>
              <c:f>Trajecto!$B$108</c:f>
              <c:strCache>
                <c:ptCount val="1"/>
                <c:pt idx="0">
                  <c:v>Descente balistique</c:v>
                </c:pt>
              </c:strCache>
            </c:strRef>
          </c:tx>
          <c:spPr>
            <a:ln w="28575">
              <a:noFill/>
            </a:ln>
          </c:spPr>
          <c:marker>
            <c:symbol val="none"/>
          </c:marker>
          <c:dLbls>
            <c:spPr>
              <a:noFill/>
              <a:ln w="25400">
                <a:noFill/>
              </a:ln>
            </c:spPr>
            <c:txPr>
              <a:bodyPr/>
              <a:lstStyle/>
              <a:p>
                <a:pPr>
                  <a:defRPr sz="700" b="1" i="0" u="none" strike="noStrike" baseline="0">
                    <a:solidFill>
                      <a:srgbClr val="808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Trajecto!$D$159</c:f>
              <c:numCache>
                <c:formatCode>0</c:formatCode>
                <c:ptCount val="1"/>
                <c:pt idx="0">
                  <c:v>759.26753821302782</c:v>
                </c:pt>
              </c:numCache>
            </c:numRef>
          </c:xVal>
          <c:yVal>
            <c:numRef>
              <c:f>Trajecto!$C$159</c:f>
              <c:numCache>
                <c:formatCode>0</c:formatCode>
                <c:ptCount val="1"/>
                <c:pt idx="0">
                  <c:v>784.0198264180176</c:v>
                </c:pt>
              </c:numCache>
            </c:numRef>
          </c:yVal>
          <c:smooth val="0"/>
          <c:extLst>
            <c:ext xmlns:c16="http://schemas.microsoft.com/office/drawing/2014/chart" uri="{C3380CC4-5D6E-409C-BE32-E72D297353CC}">
              <c16:uniqueId val="{00000007-432A-49A9-9499-7ED3E32DDB07}"/>
            </c:ext>
          </c:extLst>
        </c:ser>
        <c:ser>
          <c:idx val="8"/>
          <c:order val="7"/>
          <c:tx>
            <c:strRef>
              <c:f>Trajecto!$D$161</c:f>
              <c:strCache>
                <c:ptCount val="1"/>
                <c:pt idx="0">
                  <c:v>Arc de triomphe</c:v>
                </c:pt>
              </c:strCache>
            </c:strRef>
          </c:tx>
          <c:spPr>
            <a:ln>
              <a:solidFill>
                <a:srgbClr val="C0C0C0"/>
              </a:solidFill>
            </a:ln>
          </c:spPr>
          <c:marker>
            <c:symbol val="none"/>
          </c:marker>
          <c:dLbls>
            <c:dLbl>
              <c:idx val="8"/>
              <c:tx>
                <c:strRef>
                  <c:f>Trajecto!$D$161</c:f>
                  <c:strCache>
                    <c:ptCount val="1"/>
                    <c:pt idx="0">
                      <c:v>Arc de triomphe</c:v>
                    </c:pt>
                  </c:strCache>
                </c:strRef>
              </c:tx>
              <c:spPr/>
              <c:txPr>
                <a:bodyPr/>
                <a:lstStyle/>
                <a:p>
                  <a:pPr>
                    <a:defRPr sz="700" b="0" i="0" u="none" strike="noStrike" baseline="0">
                      <a:solidFill>
                        <a:srgbClr val="C0C0C0"/>
                      </a:solidFill>
                      <a:latin typeface="Arial"/>
                      <a:ea typeface="Arial"/>
                      <a:cs typeface="Arial"/>
                    </a:defRPr>
                  </a:pPr>
                  <a:endParaRPr lang="fr-FR"/>
                </a:p>
              </c:txPr>
              <c:showLegendKey val="0"/>
              <c:showVal val="0"/>
              <c:showCatName val="0"/>
              <c:showSerName val="0"/>
              <c:showPercent val="0"/>
              <c:showBubbleSize val="0"/>
              <c:extLst>
                <c:ext xmlns:c15="http://schemas.microsoft.com/office/drawing/2012/chart" uri="{CE6537A1-D6FC-4f65-9D91-7224C49458BB}">
                  <c15:dlblFieldTable>
                    <c15:dlblFTEntry>
                      <c15:txfldGUID>{824DCF2A-D42F-41C4-A900-8E323D9F7883}</c15:txfldGUID>
                      <c15:f>Trajecto!$D$161</c15:f>
                      <c15:dlblFieldTableCache>
                        <c:ptCount val="1"/>
                        <c:pt idx="0">
                          <c:v>Arc de triomphe</c:v>
                        </c:pt>
                      </c15:dlblFieldTableCache>
                    </c15:dlblFTEntry>
                  </c15:dlblFieldTable>
                  <c15:showDataLabelsRange val="0"/>
                </c:ext>
                <c:ext xmlns:c16="http://schemas.microsoft.com/office/drawing/2014/chart" uri="{C3380CC4-5D6E-409C-BE32-E72D297353CC}">
                  <c16:uniqueId val="{00000008-432A-49A9-9499-7ED3E32DDB07}"/>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Trajecto!$D$162:$D$177</c:f>
              <c:numCache>
                <c:formatCode>0</c:formatCode>
                <c:ptCount val="16"/>
                <c:pt idx="0">
                  <c:v>498.10676835156522</c:v>
                </c:pt>
                <c:pt idx="1">
                  <c:v>521.10676835156528</c:v>
                </c:pt>
                <c:pt idx="2">
                  <c:v>521.10676835156528</c:v>
                </c:pt>
                <c:pt idx="3">
                  <c:v>498.10676835156522</c:v>
                </c:pt>
                <c:pt idx="4">
                  <c:v>521.10676835156528</c:v>
                </c:pt>
                <c:pt idx="5">
                  <c:v>521.10676835156528</c:v>
                </c:pt>
                <c:pt idx="6">
                  <c:v>506.10676835156522</c:v>
                </c:pt>
                <c:pt idx="7">
                  <c:v>506.10676835156522</c:v>
                </c:pt>
                <c:pt idx="8">
                  <c:v>521.10676835156528</c:v>
                </c:pt>
                <c:pt idx="9">
                  <c:v>506.10676835156522</c:v>
                </c:pt>
                <c:pt idx="10">
                  <c:v>505.70676835156524</c:v>
                </c:pt>
                <c:pt idx="11">
                  <c:v>504.90676835156523</c:v>
                </c:pt>
                <c:pt idx="12">
                  <c:v>504.10676835156522</c:v>
                </c:pt>
                <c:pt idx="13">
                  <c:v>503.10676835156522</c:v>
                </c:pt>
                <c:pt idx="14">
                  <c:v>501.90676835156523</c:v>
                </c:pt>
                <c:pt idx="15">
                  <c:v>498.10676835156522</c:v>
                </c:pt>
              </c:numCache>
            </c:numRef>
          </c:xVal>
          <c:yVal>
            <c:numRef>
              <c:f>Trajecto!$B$162:$B$177</c:f>
              <c:numCache>
                <c:formatCode>General</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yVal>
          <c:smooth val="0"/>
          <c:extLst>
            <c:ext xmlns:c16="http://schemas.microsoft.com/office/drawing/2014/chart" uri="{C3380CC4-5D6E-409C-BE32-E72D297353CC}">
              <c16:uniqueId val="{00000009-432A-49A9-9499-7ED3E32DDB07}"/>
            </c:ext>
          </c:extLst>
        </c:ser>
        <c:ser>
          <c:idx val="9"/>
          <c:order val="8"/>
          <c:tx>
            <c:strRef>
              <c:f>Trajecto!$F$162</c:f>
              <c:strCache>
                <c:ptCount val="1"/>
                <c:pt idx="0">
                  <c:v>Arc de triomphe</c:v>
                </c:pt>
              </c:strCache>
            </c:strRef>
          </c:tx>
          <c:spPr>
            <a:ln>
              <a:solidFill>
                <a:srgbClr val="C0C0C0"/>
              </a:solidFill>
            </a:ln>
          </c:spPr>
          <c:marker>
            <c:symbol val="none"/>
          </c:marker>
          <c:xVal>
            <c:numRef>
              <c:f>Trajecto!$F$163:$F$178</c:f>
              <c:numCache>
                <c:formatCode>0</c:formatCode>
                <c:ptCount val="16"/>
                <c:pt idx="0">
                  <c:v>498.10676835156522</c:v>
                </c:pt>
                <c:pt idx="1">
                  <c:v>475.10676835156522</c:v>
                </c:pt>
                <c:pt idx="2">
                  <c:v>475.10676835156522</c:v>
                </c:pt>
                <c:pt idx="3">
                  <c:v>498.10676835156522</c:v>
                </c:pt>
                <c:pt idx="4">
                  <c:v>475.10676835156522</c:v>
                </c:pt>
                <c:pt idx="5">
                  <c:v>475.10676835156522</c:v>
                </c:pt>
                <c:pt idx="6">
                  <c:v>490.10676835156522</c:v>
                </c:pt>
                <c:pt idx="7">
                  <c:v>490.10676835156522</c:v>
                </c:pt>
                <c:pt idx="8">
                  <c:v>475.10676835156522</c:v>
                </c:pt>
                <c:pt idx="9">
                  <c:v>490.10676835156522</c:v>
                </c:pt>
                <c:pt idx="10">
                  <c:v>490.5067683515652</c:v>
                </c:pt>
                <c:pt idx="11">
                  <c:v>491.30676835156521</c:v>
                </c:pt>
                <c:pt idx="12">
                  <c:v>492.10676835156522</c:v>
                </c:pt>
                <c:pt idx="13">
                  <c:v>493.10676835156522</c:v>
                </c:pt>
                <c:pt idx="14">
                  <c:v>494.30676835156521</c:v>
                </c:pt>
                <c:pt idx="15">
                  <c:v>498.10676835156522</c:v>
                </c:pt>
              </c:numCache>
            </c:numRef>
          </c:xVal>
          <c:yVal>
            <c:numRef>
              <c:f>Trajecto!$B$162:$B$177</c:f>
              <c:numCache>
                <c:formatCode>General</c:formatCode>
                <c:ptCount val="1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numCache>
            </c:numRef>
          </c:yVal>
          <c:smooth val="0"/>
          <c:extLst>
            <c:ext xmlns:c16="http://schemas.microsoft.com/office/drawing/2014/chart" uri="{C3380CC4-5D6E-409C-BE32-E72D297353CC}">
              <c16:uniqueId val="{0000000A-432A-49A9-9499-7ED3E32DDB07}"/>
            </c:ext>
          </c:extLst>
        </c:ser>
        <c:ser>
          <c:idx val="10"/>
          <c:order val="9"/>
          <c:tx>
            <c:strRef>
              <c:f>Trajecto!$D$179</c:f>
              <c:strCache>
                <c:ptCount val="1"/>
                <c:pt idx="0">
                  <c:v>Tour Eiffel</c:v>
                </c:pt>
              </c:strCache>
            </c:strRef>
          </c:tx>
          <c:spPr>
            <a:ln>
              <a:solidFill>
                <a:srgbClr val="C0C0C0"/>
              </a:solidFill>
            </a:ln>
          </c:spPr>
          <c:marker>
            <c:symbol val="none"/>
          </c:marker>
          <c:dLbls>
            <c:dLbl>
              <c:idx val="6"/>
              <c:tx>
                <c:strRef>
                  <c:f>Trajecto!$D$179</c:f>
                  <c:strCache>
                    <c:ptCount val="1"/>
                    <c:pt idx="0">
                      <c:v>Tour Eiffel</c:v>
                    </c:pt>
                  </c:strCache>
                </c:strRef>
              </c:tx>
              <c:spPr/>
              <c:txPr>
                <a:bodyPr/>
                <a:lstStyle/>
                <a:p>
                  <a:pPr>
                    <a:defRPr sz="700" b="0" i="0" u="none" strike="noStrike" baseline="0">
                      <a:solidFill>
                        <a:srgbClr val="C0C0C0"/>
                      </a:solidFill>
                      <a:latin typeface="Arial"/>
                      <a:ea typeface="Arial"/>
                      <a:cs typeface="Arial"/>
                    </a:defRPr>
                  </a:pPr>
                  <a:endParaRPr lang="fr-FR"/>
                </a:p>
              </c:txPr>
              <c:showLegendKey val="0"/>
              <c:showVal val="0"/>
              <c:showCatName val="0"/>
              <c:showSerName val="0"/>
              <c:showPercent val="0"/>
              <c:showBubbleSize val="0"/>
              <c:extLst>
                <c:ext xmlns:c15="http://schemas.microsoft.com/office/drawing/2012/chart" uri="{CE6537A1-D6FC-4f65-9D91-7224C49458BB}">
                  <c15:dlblFieldTable>
                    <c15:dlblFTEntry>
                      <c15:txfldGUID>{25F10219-4B65-499E-ACEF-BCE17F6D21F8}</c15:txfldGUID>
                      <c15:f>Trajecto!$D$179</c15:f>
                      <c15:dlblFieldTableCache>
                        <c:ptCount val="1"/>
                        <c:pt idx="0">
                          <c:v>Tour Eiffel</c:v>
                        </c:pt>
                      </c15:dlblFieldTableCache>
                    </c15:dlblFTEntry>
                  </c15:dlblFieldTable>
                  <c15:showDataLabelsRange val="0"/>
                </c:ext>
                <c:ext xmlns:c16="http://schemas.microsoft.com/office/drawing/2014/chart" uri="{C3380CC4-5D6E-409C-BE32-E72D297353CC}">
                  <c16:uniqueId val="{0000000B-432A-49A9-9499-7ED3E32DDB07}"/>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Trajecto!$D$180:$D$196</c:f>
              <c:numCache>
                <c:formatCode>0</c:formatCode>
                <c:ptCount val="17"/>
                <c:pt idx="0">
                  <c:v>498.10676835156522</c:v>
                </c:pt>
                <c:pt idx="1">
                  <c:v>498.10676835156522</c:v>
                </c:pt>
                <c:pt idx="2">
                  <c:v>508.10676835156522</c:v>
                </c:pt>
                <c:pt idx="3">
                  <c:v>498.10676835156522</c:v>
                </c:pt>
                <c:pt idx="4">
                  <c:v>508.10676835156522</c:v>
                </c:pt>
                <c:pt idx="5">
                  <c:v>511.10676835156522</c:v>
                </c:pt>
                <c:pt idx="6">
                  <c:v>515.10676835156528</c:v>
                </c:pt>
                <c:pt idx="7">
                  <c:v>518.10676835156528</c:v>
                </c:pt>
                <c:pt idx="8">
                  <c:v>523.10676835156528</c:v>
                </c:pt>
                <c:pt idx="9">
                  <c:v>528.10676835156528</c:v>
                </c:pt>
                <c:pt idx="10">
                  <c:v>534.10676835156528</c:v>
                </c:pt>
                <c:pt idx="11">
                  <c:v>546.10676835156528</c:v>
                </c:pt>
                <c:pt idx="12">
                  <c:v>560.10676835156528</c:v>
                </c:pt>
                <c:pt idx="13">
                  <c:v>535.10676835156528</c:v>
                </c:pt>
                <c:pt idx="14">
                  <c:v>528.10676835156528</c:v>
                </c:pt>
                <c:pt idx="15">
                  <c:v>513.10676835156528</c:v>
                </c:pt>
                <c:pt idx="16">
                  <c:v>498.10676835156522</c:v>
                </c:pt>
              </c:numCache>
            </c:numRef>
          </c:xVal>
          <c:yVal>
            <c:numRef>
              <c:f>Trajecto!$B$180:$B$196</c:f>
              <c:numCache>
                <c:formatCode>General</c:formatCode>
                <c:ptCount val="17"/>
                <c:pt idx="0">
                  <c:v>324</c:v>
                </c:pt>
                <c:pt idx="1">
                  <c:v>300</c:v>
                </c:pt>
                <c:pt idx="2">
                  <c:v>280</c:v>
                </c:pt>
                <c:pt idx="3">
                  <c:v>280</c:v>
                </c:pt>
                <c:pt idx="4">
                  <c:v>280</c:v>
                </c:pt>
                <c:pt idx="5">
                  <c:v>200</c:v>
                </c:pt>
                <c:pt idx="6">
                  <c:v>160</c:v>
                </c:pt>
                <c:pt idx="7">
                  <c:v>115</c:v>
                </c:pt>
                <c:pt idx="8">
                  <c:v>90</c:v>
                </c:pt>
                <c:pt idx="9">
                  <c:v>57</c:v>
                </c:pt>
                <c:pt idx="10">
                  <c:v>40</c:v>
                </c:pt>
                <c:pt idx="11">
                  <c:v>20</c:v>
                </c:pt>
                <c:pt idx="12">
                  <c:v>0.5</c:v>
                </c:pt>
                <c:pt idx="13">
                  <c:v>0.5</c:v>
                </c:pt>
                <c:pt idx="14">
                  <c:v>15</c:v>
                </c:pt>
                <c:pt idx="15">
                  <c:v>30</c:v>
                </c:pt>
                <c:pt idx="16">
                  <c:v>37</c:v>
                </c:pt>
              </c:numCache>
            </c:numRef>
          </c:yVal>
          <c:smooth val="0"/>
          <c:extLst>
            <c:ext xmlns:c16="http://schemas.microsoft.com/office/drawing/2014/chart" uri="{C3380CC4-5D6E-409C-BE32-E72D297353CC}">
              <c16:uniqueId val="{0000000C-432A-49A9-9499-7ED3E32DDB07}"/>
            </c:ext>
          </c:extLst>
        </c:ser>
        <c:ser>
          <c:idx val="11"/>
          <c:order val="10"/>
          <c:tx>
            <c:strRef>
              <c:f>Trajecto!$F$180</c:f>
              <c:strCache>
                <c:ptCount val="1"/>
                <c:pt idx="0">
                  <c:v>Tour Eiffel</c:v>
                </c:pt>
              </c:strCache>
            </c:strRef>
          </c:tx>
          <c:spPr>
            <a:ln>
              <a:solidFill>
                <a:srgbClr val="C0C0C0"/>
              </a:solidFill>
            </a:ln>
          </c:spPr>
          <c:marker>
            <c:symbol val="none"/>
          </c:marker>
          <c:xVal>
            <c:numRef>
              <c:f>Trajecto!$F$181:$F$197</c:f>
              <c:numCache>
                <c:formatCode>0</c:formatCode>
                <c:ptCount val="17"/>
                <c:pt idx="0">
                  <c:v>498.10676835156522</c:v>
                </c:pt>
                <c:pt idx="1">
                  <c:v>498.10676835156522</c:v>
                </c:pt>
                <c:pt idx="2">
                  <c:v>488.10676835156522</c:v>
                </c:pt>
                <c:pt idx="3">
                  <c:v>498.10676835156522</c:v>
                </c:pt>
                <c:pt idx="4">
                  <c:v>488.10676835156522</c:v>
                </c:pt>
                <c:pt idx="5">
                  <c:v>485.10676835156522</c:v>
                </c:pt>
                <c:pt idx="6">
                  <c:v>481.10676835156522</c:v>
                </c:pt>
                <c:pt idx="7">
                  <c:v>478.10676835156522</c:v>
                </c:pt>
                <c:pt idx="8">
                  <c:v>473.10676835156522</c:v>
                </c:pt>
                <c:pt idx="9">
                  <c:v>468.10676835156522</c:v>
                </c:pt>
                <c:pt idx="10">
                  <c:v>462.10676835156522</c:v>
                </c:pt>
                <c:pt idx="11">
                  <c:v>450.10676835156522</c:v>
                </c:pt>
                <c:pt idx="12">
                  <c:v>436.10676835156522</c:v>
                </c:pt>
                <c:pt idx="13">
                  <c:v>461.10676835156522</c:v>
                </c:pt>
                <c:pt idx="14">
                  <c:v>468.10676835156522</c:v>
                </c:pt>
                <c:pt idx="15">
                  <c:v>483.10676835156522</c:v>
                </c:pt>
                <c:pt idx="16">
                  <c:v>498.10676835156522</c:v>
                </c:pt>
              </c:numCache>
            </c:numRef>
          </c:xVal>
          <c:yVal>
            <c:numRef>
              <c:f>Trajecto!$B$180:$B$196</c:f>
              <c:numCache>
                <c:formatCode>General</c:formatCode>
                <c:ptCount val="17"/>
                <c:pt idx="0">
                  <c:v>324</c:v>
                </c:pt>
                <c:pt idx="1">
                  <c:v>300</c:v>
                </c:pt>
                <c:pt idx="2">
                  <c:v>280</c:v>
                </c:pt>
                <c:pt idx="3">
                  <c:v>280</c:v>
                </c:pt>
                <c:pt idx="4">
                  <c:v>280</c:v>
                </c:pt>
                <c:pt idx="5">
                  <c:v>200</c:v>
                </c:pt>
                <c:pt idx="6">
                  <c:v>160</c:v>
                </c:pt>
                <c:pt idx="7">
                  <c:v>115</c:v>
                </c:pt>
                <c:pt idx="8">
                  <c:v>90</c:v>
                </c:pt>
                <c:pt idx="9">
                  <c:v>57</c:v>
                </c:pt>
                <c:pt idx="10">
                  <c:v>40</c:v>
                </c:pt>
                <c:pt idx="11">
                  <c:v>20</c:v>
                </c:pt>
                <c:pt idx="12">
                  <c:v>0.5</c:v>
                </c:pt>
                <c:pt idx="13">
                  <c:v>0.5</c:v>
                </c:pt>
                <c:pt idx="14">
                  <c:v>15</c:v>
                </c:pt>
                <c:pt idx="15">
                  <c:v>30</c:v>
                </c:pt>
                <c:pt idx="16">
                  <c:v>37</c:v>
                </c:pt>
              </c:numCache>
            </c:numRef>
          </c:yVal>
          <c:smooth val="0"/>
          <c:extLst>
            <c:ext xmlns:c16="http://schemas.microsoft.com/office/drawing/2014/chart" uri="{C3380CC4-5D6E-409C-BE32-E72D297353CC}">
              <c16:uniqueId val="{0000000D-432A-49A9-9499-7ED3E32DDB07}"/>
            </c:ext>
          </c:extLst>
        </c:ser>
        <c:ser>
          <c:idx val="12"/>
          <c:order val="11"/>
          <c:tx>
            <c:strRef>
              <c:f>Trajecto!$D$179</c:f>
              <c:strCache>
                <c:ptCount val="1"/>
                <c:pt idx="0">
                  <c:v>Tour Eiffel</c:v>
                </c:pt>
              </c:strCache>
            </c:strRef>
          </c:tx>
          <c:spPr>
            <a:ln>
              <a:solidFill>
                <a:srgbClr val="C0C0C0"/>
              </a:solidFill>
            </a:ln>
          </c:spPr>
          <c:marker>
            <c:symbol val="none"/>
          </c:marker>
          <c:xVal>
            <c:numRef>
              <c:f>Trajecto!$D$197:$D$200</c:f>
              <c:numCache>
                <c:formatCode>0</c:formatCode>
                <c:ptCount val="4"/>
                <c:pt idx="0">
                  <c:v>498.10676835156522</c:v>
                </c:pt>
                <c:pt idx="1">
                  <c:v>515.10676835156528</c:v>
                </c:pt>
                <c:pt idx="2">
                  <c:v>509.10676835156522</c:v>
                </c:pt>
                <c:pt idx="3">
                  <c:v>498.10676835156522</c:v>
                </c:pt>
              </c:numCache>
            </c:numRef>
          </c:xVal>
          <c:yVal>
            <c:numRef>
              <c:f>Trajecto!$B$197:$B$200</c:f>
              <c:numCache>
                <c:formatCode>General</c:formatCode>
                <c:ptCount val="4"/>
                <c:pt idx="0">
                  <c:v>67</c:v>
                </c:pt>
                <c:pt idx="1">
                  <c:v>67</c:v>
                </c:pt>
                <c:pt idx="2">
                  <c:v>100</c:v>
                </c:pt>
                <c:pt idx="3">
                  <c:v>100</c:v>
                </c:pt>
              </c:numCache>
            </c:numRef>
          </c:yVal>
          <c:smooth val="0"/>
          <c:extLst>
            <c:ext xmlns:c16="http://schemas.microsoft.com/office/drawing/2014/chart" uri="{C3380CC4-5D6E-409C-BE32-E72D297353CC}">
              <c16:uniqueId val="{0000000E-432A-49A9-9499-7ED3E32DDB07}"/>
            </c:ext>
          </c:extLst>
        </c:ser>
        <c:ser>
          <c:idx val="13"/>
          <c:order val="12"/>
          <c:tx>
            <c:strRef>
              <c:f>Trajecto!$F$180</c:f>
              <c:strCache>
                <c:ptCount val="1"/>
                <c:pt idx="0">
                  <c:v>Tour Eiffel</c:v>
                </c:pt>
              </c:strCache>
            </c:strRef>
          </c:tx>
          <c:spPr>
            <a:ln>
              <a:solidFill>
                <a:srgbClr val="C0C0C0"/>
              </a:solidFill>
            </a:ln>
          </c:spPr>
          <c:marker>
            <c:symbol val="none"/>
          </c:marker>
          <c:xVal>
            <c:numRef>
              <c:f>Trajecto!$F$198:$F$201</c:f>
              <c:numCache>
                <c:formatCode>0</c:formatCode>
                <c:ptCount val="4"/>
                <c:pt idx="0">
                  <c:v>498.10676835156522</c:v>
                </c:pt>
                <c:pt idx="1">
                  <c:v>481.10676835156522</c:v>
                </c:pt>
                <c:pt idx="2">
                  <c:v>487.10676835156522</c:v>
                </c:pt>
                <c:pt idx="3">
                  <c:v>498.10676835156522</c:v>
                </c:pt>
              </c:numCache>
            </c:numRef>
          </c:xVal>
          <c:yVal>
            <c:numRef>
              <c:f>Trajecto!$B$197:$B$200</c:f>
              <c:numCache>
                <c:formatCode>General</c:formatCode>
                <c:ptCount val="4"/>
                <c:pt idx="0">
                  <c:v>67</c:v>
                </c:pt>
                <c:pt idx="1">
                  <c:v>67</c:v>
                </c:pt>
                <c:pt idx="2">
                  <c:v>100</c:v>
                </c:pt>
                <c:pt idx="3">
                  <c:v>100</c:v>
                </c:pt>
              </c:numCache>
            </c:numRef>
          </c:yVal>
          <c:smooth val="0"/>
          <c:extLst>
            <c:ext xmlns:c16="http://schemas.microsoft.com/office/drawing/2014/chart" uri="{C3380CC4-5D6E-409C-BE32-E72D297353CC}">
              <c16:uniqueId val="{0000000F-432A-49A9-9499-7ED3E32DDB07}"/>
            </c:ext>
          </c:extLst>
        </c:ser>
        <c:ser>
          <c:idx val="3"/>
          <c:order val="13"/>
          <c:tx>
            <c:strRef>
              <c:f>Trajecto!$B$109</c:f>
              <c:strCache>
                <c:ptCount val="1"/>
                <c:pt idx="0">
                  <c:v>Fusée sous parachute</c:v>
                </c:pt>
              </c:strCache>
            </c:strRef>
          </c:tx>
          <c:spPr>
            <a:ln>
              <a:solidFill>
                <a:srgbClr val="008000"/>
              </a:solidFill>
            </a:ln>
          </c:spPr>
          <c:marker>
            <c:symbol val="none"/>
          </c:marker>
          <c:dLbls>
            <c:dLbl>
              <c:idx val="1"/>
              <c:tx>
                <c:strRef>
                  <c:f>Trajecto!$B$109</c:f>
                  <c:strCache>
                    <c:ptCount val="1"/>
                    <c:pt idx="0">
                      <c:v>Fusée sous parachute</c:v>
                    </c:pt>
                  </c:strCache>
                </c:strRef>
              </c:tx>
              <c:spPr/>
              <c:txPr>
                <a:bodyPr/>
                <a:lstStyle/>
                <a:p>
                  <a:pPr>
                    <a:defRPr sz="700" b="1" i="0" u="none" strike="noStrike" baseline="0">
                      <a:solidFill>
                        <a:srgbClr val="008000"/>
                      </a:solidFill>
                      <a:latin typeface="Arial"/>
                      <a:ea typeface="Arial"/>
                      <a:cs typeface="Arial"/>
                    </a:defRPr>
                  </a:pPr>
                  <a:endParaRPr lang="fr-FR"/>
                </a:p>
              </c:txPr>
              <c:showLegendKey val="0"/>
              <c:showVal val="0"/>
              <c:showCatName val="0"/>
              <c:showSerName val="0"/>
              <c:showPercent val="0"/>
              <c:showBubbleSize val="0"/>
              <c:extLst>
                <c:ext xmlns:c15="http://schemas.microsoft.com/office/drawing/2012/chart" uri="{CE6537A1-D6FC-4f65-9D91-7224C49458BB}">
                  <c15:dlblFieldTable>
                    <c15:dlblFTEntry>
                      <c15:txfldGUID>{30312F17-EDDB-4A00-9272-D874851AA3F6}</c15:txfldGUID>
                      <c15:f>Trajecto!$B$109</c15:f>
                      <c15:dlblFieldTableCache>
                        <c:ptCount val="1"/>
                        <c:pt idx="0">
                          <c:v>Fusée sous parachute</c:v>
                        </c:pt>
                      </c15:dlblFieldTableCache>
                    </c15:dlblFTEntry>
                  </c15:dlblFieldTable>
                  <c15:showDataLabelsRange val="0"/>
                </c:ext>
                <c:ext xmlns:c16="http://schemas.microsoft.com/office/drawing/2014/chart" uri="{C3380CC4-5D6E-409C-BE32-E72D297353CC}">
                  <c16:uniqueId val="{00000010-432A-49A9-9499-7ED3E32DDB07}"/>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Trajecto!$B$124:$B$130</c:f>
              <c:numCache>
                <c:formatCode>0</c:formatCode>
                <c:ptCount val="7"/>
                <c:pt idx="0">
                  <c:v>505.51508290765275</c:v>
                </c:pt>
                <c:pt idx="1">
                  <c:v>505.51508290765275</c:v>
                </c:pt>
                <c:pt idx="2">
                  <c:v>505.51508290765275</c:v>
                </c:pt>
                <c:pt idx="3">
                  <c:v>544.70872398711572</c:v>
                </c:pt>
                <c:pt idx="4">
                  <c:v>505.51508290765275</c:v>
                </c:pt>
                <c:pt idx="5">
                  <c:v>466.32144182818979</c:v>
                </c:pt>
                <c:pt idx="6">
                  <c:v>505.51508290765275</c:v>
                </c:pt>
              </c:numCache>
            </c:numRef>
          </c:xVal>
          <c:yVal>
            <c:numRef>
              <c:f>Trajecto!$C$124:$C$130</c:f>
              <c:numCache>
                <c:formatCode>0</c:formatCode>
                <c:ptCount val="7"/>
                <c:pt idx="0">
                  <c:v>1567.745643178519</c:v>
                </c:pt>
                <c:pt idx="1">
                  <c:v>783.8728215892595</c:v>
                </c:pt>
                <c:pt idx="2">
                  <c:v>0</c:v>
                </c:pt>
                <c:pt idx="3">
                  <c:v>78.387282158925956</c:v>
                </c:pt>
                <c:pt idx="4">
                  <c:v>0</c:v>
                </c:pt>
                <c:pt idx="5">
                  <c:v>78.387282158925956</c:v>
                </c:pt>
                <c:pt idx="6" formatCode="General">
                  <c:v>0</c:v>
                </c:pt>
              </c:numCache>
            </c:numRef>
          </c:yVal>
          <c:smooth val="0"/>
          <c:extLst>
            <c:ext xmlns:c16="http://schemas.microsoft.com/office/drawing/2014/chart" uri="{C3380CC4-5D6E-409C-BE32-E72D297353CC}">
              <c16:uniqueId val="{00000011-432A-49A9-9499-7ED3E32DDB07}"/>
            </c:ext>
          </c:extLst>
        </c:ser>
        <c:dLbls>
          <c:showLegendKey val="0"/>
          <c:showVal val="0"/>
          <c:showCatName val="0"/>
          <c:showSerName val="0"/>
          <c:showPercent val="0"/>
          <c:showBubbleSize val="0"/>
        </c:dLbls>
        <c:axId val="148241024"/>
        <c:axId val="149054208"/>
      </c:scatterChart>
      <c:valAx>
        <c:axId val="148241024"/>
        <c:scaling>
          <c:orientation val="minMax"/>
          <c:min val="0"/>
        </c:scaling>
        <c:delete val="0"/>
        <c:axPos val="b"/>
        <c:majorGridlines>
          <c:spPr>
            <a:ln w="3175">
              <a:solidFill>
                <a:srgbClr val="000000"/>
              </a:solidFill>
              <a:prstDash val="sysDash"/>
            </a:ln>
          </c:spPr>
        </c:majorGridlines>
        <c:title>
          <c:tx>
            <c:strRef>
              <c:f>Trajecto!$B$112</c:f>
              <c:strCache>
                <c:ptCount val="1"/>
                <c:pt idx="0">
                  <c:v>Portée x [m]</c:v>
                </c:pt>
              </c:strCache>
            </c:strRef>
          </c:tx>
          <c:layout>
            <c:manualLayout>
              <c:xMode val="edge"/>
              <c:yMode val="edge"/>
              <c:x val="0.56464627732344286"/>
              <c:y val="0.84829693458129063"/>
            </c:manualLayout>
          </c:layout>
          <c:overlay val="0"/>
          <c:spPr>
            <a:solidFill>
              <a:srgbClr val="FFFFFF"/>
            </a:solidFill>
            <a:ln w="25400">
              <a:noFill/>
            </a:ln>
          </c:spPr>
          <c:txPr>
            <a:bodyPr/>
            <a:lstStyle/>
            <a:p>
              <a:pPr>
                <a:defRPr sz="800" b="1" i="0" u="none" strike="noStrike" baseline="0">
                  <a:solidFill>
                    <a:srgbClr val="0000FF"/>
                  </a:solidFill>
                  <a:latin typeface="Arial"/>
                  <a:ea typeface="Arial"/>
                  <a:cs typeface="Arial"/>
                </a:defRPr>
              </a:pPr>
              <a:endParaRPr lang="fr-FR"/>
            </a:p>
          </c:tx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9054208"/>
        <c:crosses val="autoZero"/>
        <c:crossBetween val="midCat"/>
      </c:valAx>
      <c:valAx>
        <c:axId val="149054208"/>
        <c:scaling>
          <c:orientation val="minMax"/>
          <c:min val="0"/>
        </c:scaling>
        <c:delete val="0"/>
        <c:axPos val="l"/>
        <c:majorGridlines>
          <c:spPr>
            <a:ln w="3175">
              <a:solidFill>
                <a:srgbClr val="000000"/>
              </a:solidFill>
              <a:prstDash val="sysDash"/>
            </a:ln>
          </c:spPr>
        </c:majorGridlines>
        <c:title>
          <c:tx>
            <c:rich>
              <a:bodyPr/>
              <a:lstStyle/>
              <a:p>
                <a:pPr>
                  <a:defRPr sz="800" b="1" i="0" u="none" strike="noStrike" baseline="0">
                    <a:solidFill>
                      <a:srgbClr val="0000FF"/>
                    </a:solidFill>
                    <a:latin typeface="Arial"/>
                    <a:ea typeface="Arial"/>
                    <a:cs typeface="Arial"/>
                  </a:defRPr>
                </a:pPr>
                <a:r>
                  <a:rPr lang="fr-FR"/>
                  <a:t>Altitude z [m]</a:t>
                </a:r>
              </a:p>
            </c:rich>
          </c:tx>
          <c:layout>
            <c:manualLayout>
              <c:xMode val="edge"/>
              <c:yMode val="edge"/>
              <c:x val="8.1818320007296413E-2"/>
              <c:y val="6.8111391736410315E-2"/>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8241024"/>
        <c:crosses val="autoZero"/>
        <c:crossBetween val="midCat"/>
      </c:valAx>
      <c:spPr>
        <a:gradFill rotWithShape="0">
          <a:gsLst>
            <a:gs pos="0">
              <a:srgbClr val="99CCFF"/>
            </a:gs>
            <a:gs pos="100000">
              <a:srgbClr val="FFFFFF"/>
            </a:gs>
          </a:gsLst>
          <a:lin ang="5400000" scaled="1"/>
        </a:gradFill>
        <a:ln w="12700">
          <a:solidFill>
            <a:srgbClr val="808080"/>
          </a:solidFill>
          <a:prstDash val="solid"/>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paperSize="9" firstPageNumber="0" orientation="landscape"/>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Trajecto!$B$114</c:f>
          <c:strCache>
            <c:ptCount val="1"/>
            <c:pt idx="0">
              <c:v>Altitude z  /  Temps</c:v>
            </c:pt>
          </c:strCache>
        </c:strRef>
      </c:tx>
      <c:layout>
        <c:manualLayout>
          <c:xMode val="edge"/>
          <c:yMode val="edge"/>
          <c:x val="0.57666688909649"/>
          <c:y val="3.7151818286865097E-2"/>
        </c:manualLayout>
      </c:layout>
      <c:overlay val="0"/>
      <c:spPr>
        <a:noFill/>
        <a:ln w="25400">
          <a:noFill/>
        </a:ln>
      </c:spPr>
      <c:txPr>
        <a:bodyPr/>
        <a:lstStyle/>
        <a:p>
          <a:pPr>
            <a:defRPr sz="800" b="1" i="0" u="none" strike="noStrike" baseline="0">
              <a:solidFill>
                <a:srgbClr val="0000FF"/>
              </a:solidFill>
              <a:latin typeface="Arial"/>
              <a:ea typeface="Arial"/>
              <a:cs typeface="Arial"/>
            </a:defRPr>
          </a:pPr>
          <a:endParaRPr lang="fr-FR"/>
        </a:p>
      </c:txPr>
    </c:title>
    <c:autoTitleDeleted val="0"/>
    <c:plotArea>
      <c:layout>
        <c:manualLayout>
          <c:layoutTarget val="inner"/>
          <c:xMode val="edge"/>
          <c:yMode val="edge"/>
          <c:x val="7.6666916233451413E-2"/>
          <c:y val="3.5608360198500402E-2"/>
          <c:w val="0.89333624132890843"/>
          <c:h val="0.89614373166225958"/>
        </c:manualLayout>
      </c:layout>
      <c:scatterChart>
        <c:scatterStyle val="lineMarker"/>
        <c:varyColors val="0"/>
        <c:ser>
          <c:idx val="4"/>
          <c:order val="0"/>
          <c:tx>
            <c:v>Point invisible pour mise à l'echelle</c:v>
          </c:tx>
          <c:spPr>
            <a:ln w="28575">
              <a:noFill/>
            </a:ln>
          </c:spPr>
          <c:marker>
            <c:symbol val="none"/>
          </c:marker>
          <c:xVal>
            <c:numLit>
              <c:formatCode>General</c:formatCode>
              <c:ptCount val="1"/>
              <c:pt idx="0">
                <c:v>0</c:v>
              </c:pt>
            </c:numLit>
          </c:xVal>
          <c:yVal>
            <c:numRef>
              <c:f>Trajecto!$B$121</c:f>
              <c:numCache>
                <c:formatCode>0</c:formatCode>
                <c:ptCount val="1"/>
                <c:pt idx="0">
                  <c:v>1568.0396528360352</c:v>
                </c:pt>
              </c:numCache>
            </c:numRef>
          </c:yVal>
          <c:smooth val="0"/>
          <c:extLst>
            <c:ext xmlns:c16="http://schemas.microsoft.com/office/drawing/2014/chart" uri="{C3380CC4-5D6E-409C-BE32-E72D297353CC}">
              <c16:uniqueId val="{00000000-4C7F-469F-ADED-1B0B28F452E1}"/>
            </c:ext>
          </c:extLst>
        </c:ser>
        <c:ser>
          <c:idx val="0"/>
          <c:order val="1"/>
          <c:tx>
            <c:v>1 point par seconde</c:v>
          </c:tx>
          <c:spPr>
            <a:ln w="28575">
              <a:noFill/>
            </a:ln>
          </c:spPr>
          <c:marker>
            <c:symbol val="plus"/>
            <c:size val="7"/>
            <c:spPr>
              <a:noFill/>
              <a:ln>
                <a:solidFill>
                  <a:srgbClr val="000000"/>
                </a:solidFill>
                <a:prstDash val="solid"/>
              </a:ln>
            </c:spPr>
          </c:marker>
          <c:xVal>
            <c:numRef>
              <c:f>Calculs!$AC$4:$AC$1004</c:f>
              <c:numCache>
                <c:formatCode>0</c:formatCode>
                <c:ptCount val="1001"/>
                <c:pt idx="0">
                  <c:v>0</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1.0000000000000007</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2.0000000000000013</c:v>
                </c:pt>
                <c:pt idx="201">
                  <c:v>#N/A</c:v>
                </c:pt>
                <c:pt idx="202">
                  <c:v>#N/A</c:v>
                </c:pt>
                <c:pt idx="203">
                  <c:v>#N/A</c:v>
                </c:pt>
                <c:pt idx="204">
                  <c:v>#N/A</c:v>
                </c:pt>
                <c:pt idx="205">
                  <c:v>#N/A</c:v>
                </c:pt>
                <c:pt idx="206">
                  <c:v>#N/A</c:v>
                </c:pt>
                <c:pt idx="207">
                  <c:v>#N/A</c:v>
                </c:pt>
                <c:pt idx="208">
                  <c:v>#N/A</c:v>
                </c:pt>
                <c:pt idx="209">
                  <c:v>#N/A</c:v>
                </c:pt>
                <c:pt idx="210">
                  <c:v>3.0000000000000022</c:v>
                </c:pt>
                <c:pt idx="211">
                  <c:v>#N/A</c:v>
                </c:pt>
                <c:pt idx="212">
                  <c:v>#N/A</c:v>
                </c:pt>
                <c:pt idx="213">
                  <c:v>#N/A</c:v>
                </c:pt>
                <c:pt idx="214">
                  <c:v>#N/A</c:v>
                </c:pt>
                <c:pt idx="215">
                  <c:v>#N/A</c:v>
                </c:pt>
                <c:pt idx="216">
                  <c:v>#N/A</c:v>
                </c:pt>
                <c:pt idx="217">
                  <c:v>#N/A</c:v>
                </c:pt>
                <c:pt idx="218">
                  <c:v>#N/A</c:v>
                </c:pt>
                <c:pt idx="219">
                  <c:v>#N/A</c:v>
                </c:pt>
                <c:pt idx="220">
                  <c:v>4.0000000000000027</c:v>
                </c:pt>
                <c:pt idx="221">
                  <c:v>#N/A</c:v>
                </c:pt>
                <c:pt idx="222">
                  <c:v>#N/A</c:v>
                </c:pt>
                <c:pt idx="223">
                  <c:v>#N/A</c:v>
                </c:pt>
                <c:pt idx="224">
                  <c:v>#N/A</c:v>
                </c:pt>
                <c:pt idx="225">
                  <c:v>#N/A</c:v>
                </c:pt>
                <c:pt idx="226">
                  <c:v>#N/A</c:v>
                </c:pt>
                <c:pt idx="227">
                  <c:v>#N/A</c:v>
                </c:pt>
                <c:pt idx="228">
                  <c:v>#N/A</c:v>
                </c:pt>
                <c:pt idx="229">
                  <c:v>#N/A</c:v>
                </c:pt>
                <c:pt idx="230">
                  <c:v>4.9999999999999991</c:v>
                </c:pt>
                <c:pt idx="231">
                  <c:v>#N/A</c:v>
                </c:pt>
                <c:pt idx="232">
                  <c:v>#N/A</c:v>
                </c:pt>
                <c:pt idx="233">
                  <c:v>#N/A</c:v>
                </c:pt>
                <c:pt idx="234">
                  <c:v>#N/A</c:v>
                </c:pt>
                <c:pt idx="235">
                  <c:v>#N/A</c:v>
                </c:pt>
                <c:pt idx="236">
                  <c:v>#N/A</c:v>
                </c:pt>
                <c:pt idx="237">
                  <c:v>#N/A</c:v>
                </c:pt>
                <c:pt idx="238">
                  <c:v>#N/A</c:v>
                </c:pt>
                <c:pt idx="239">
                  <c:v>#N/A</c:v>
                </c:pt>
                <c:pt idx="240">
                  <c:v>5.9999999999999956</c:v>
                </c:pt>
                <c:pt idx="241">
                  <c:v>#N/A</c:v>
                </c:pt>
                <c:pt idx="242">
                  <c:v>#N/A</c:v>
                </c:pt>
                <c:pt idx="243">
                  <c:v>#N/A</c:v>
                </c:pt>
                <c:pt idx="244">
                  <c:v>#N/A</c:v>
                </c:pt>
                <c:pt idx="245">
                  <c:v>#N/A</c:v>
                </c:pt>
                <c:pt idx="246">
                  <c:v>#N/A</c:v>
                </c:pt>
                <c:pt idx="247">
                  <c:v>#N/A</c:v>
                </c:pt>
                <c:pt idx="248">
                  <c:v>#N/A</c:v>
                </c:pt>
                <c:pt idx="249">
                  <c:v>#N/A</c:v>
                </c:pt>
                <c:pt idx="250">
                  <c:v>6.999999999999992</c:v>
                </c:pt>
                <c:pt idx="251">
                  <c:v>#N/A</c:v>
                </c:pt>
                <c:pt idx="252">
                  <c:v>#N/A</c:v>
                </c:pt>
                <c:pt idx="253">
                  <c:v>#N/A</c:v>
                </c:pt>
                <c:pt idx="254">
                  <c:v>#N/A</c:v>
                </c:pt>
                <c:pt idx="255">
                  <c:v>#N/A</c:v>
                </c:pt>
                <c:pt idx="256">
                  <c:v>#N/A</c:v>
                </c:pt>
                <c:pt idx="257">
                  <c:v>#N/A</c:v>
                </c:pt>
                <c:pt idx="258">
                  <c:v>#N/A</c:v>
                </c:pt>
                <c:pt idx="259">
                  <c:v>#N/A</c:v>
                </c:pt>
                <c:pt idx="260">
                  <c:v>7.9999999999999885</c:v>
                </c:pt>
                <c:pt idx="261">
                  <c:v>#N/A</c:v>
                </c:pt>
                <c:pt idx="262">
                  <c:v>#N/A</c:v>
                </c:pt>
                <c:pt idx="263">
                  <c:v>#N/A</c:v>
                </c:pt>
                <c:pt idx="264">
                  <c:v>#N/A</c:v>
                </c:pt>
                <c:pt idx="265">
                  <c:v>#N/A</c:v>
                </c:pt>
                <c:pt idx="266">
                  <c:v>#N/A</c:v>
                </c:pt>
                <c:pt idx="267">
                  <c:v>#N/A</c:v>
                </c:pt>
                <c:pt idx="268">
                  <c:v>#N/A</c:v>
                </c:pt>
                <c:pt idx="269">
                  <c:v>#N/A</c:v>
                </c:pt>
                <c:pt idx="270">
                  <c:v>8.9999999999999858</c:v>
                </c:pt>
                <c:pt idx="271">
                  <c:v>#N/A</c:v>
                </c:pt>
                <c:pt idx="272">
                  <c:v>#N/A</c:v>
                </c:pt>
                <c:pt idx="273">
                  <c:v>#N/A</c:v>
                </c:pt>
                <c:pt idx="274">
                  <c:v>#N/A</c:v>
                </c:pt>
                <c:pt idx="275">
                  <c:v>#N/A</c:v>
                </c:pt>
                <c:pt idx="276">
                  <c:v>#N/A</c:v>
                </c:pt>
                <c:pt idx="277">
                  <c:v>#N/A</c:v>
                </c:pt>
                <c:pt idx="278">
                  <c:v>#N/A</c:v>
                </c:pt>
                <c:pt idx="279">
                  <c:v>#N/A</c:v>
                </c:pt>
                <c:pt idx="280">
                  <c:v>9.9999999999999822</c:v>
                </c:pt>
                <c:pt idx="281">
                  <c:v>#N/A</c:v>
                </c:pt>
                <c:pt idx="282">
                  <c:v>#N/A</c:v>
                </c:pt>
                <c:pt idx="283">
                  <c:v>#N/A</c:v>
                </c:pt>
                <c:pt idx="284">
                  <c:v>#N/A</c:v>
                </c:pt>
                <c:pt idx="285">
                  <c:v>#N/A</c:v>
                </c:pt>
                <c:pt idx="286">
                  <c:v>#N/A</c:v>
                </c:pt>
                <c:pt idx="287">
                  <c:v>#N/A</c:v>
                </c:pt>
                <c:pt idx="288">
                  <c:v>#N/A</c:v>
                </c:pt>
                <c:pt idx="289">
                  <c:v>#N/A</c:v>
                </c:pt>
                <c:pt idx="290">
                  <c:v>10.999999999999979</c:v>
                </c:pt>
                <c:pt idx="291">
                  <c:v>#N/A</c:v>
                </c:pt>
                <c:pt idx="292">
                  <c:v>#N/A</c:v>
                </c:pt>
                <c:pt idx="293">
                  <c:v>#N/A</c:v>
                </c:pt>
                <c:pt idx="294">
                  <c:v>#N/A</c:v>
                </c:pt>
                <c:pt idx="295">
                  <c:v>#N/A</c:v>
                </c:pt>
                <c:pt idx="296">
                  <c:v>#N/A</c:v>
                </c:pt>
                <c:pt idx="297">
                  <c:v>#N/A</c:v>
                </c:pt>
                <c:pt idx="298">
                  <c:v>#N/A</c:v>
                </c:pt>
                <c:pt idx="299">
                  <c:v>#N/A</c:v>
                </c:pt>
                <c:pt idx="300">
                  <c:v>11.999999999999975</c:v>
                </c:pt>
                <c:pt idx="301">
                  <c:v>#N/A</c:v>
                </c:pt>
                <c:pt idx="302">
                  <c:v>#N/A</c:v>
                </c:pt>
                <c:pt idx="303">
                  <c:v>#N/A</c:v>
                </c:pt>
                <c:pt idx="304">
                  <c:v>#N/A</c:v>
                </c:pt>
                <c:pt idx="305">
                  <c:v>#N/A</c:v>
                </c:pt>
                <c:pt idx="306">
                  <c:v>#N/A</c:v>
                </c:pt>
                <c:pt idx="307">
                  <c:v>#N/A</c:v>
                </c:pt>
                <c:pt idx="308">
                  <c:v>#N/A</c:v>
                </c:pt>
                <c:pt idx="309">
                  <c:v>#N/A</c:v>
                </c:pt>
                <c:pt idx="310">
                  <c:v>12.999999999999972</c:v>
                </c:pt>
                <c:pt idx="311">
                  <c:v>#N/A</c:v>
                </c:pt>
                <c:pt idx="312">
                  <c:v>#N/A</c:v>
                </c:pt>
                <c:pt idx="313">
                  <c:v>#N/A</c:v>
                </c:pt>
                <c:pt idx="314">
                  <c:v>#N/A</c:v>
                </c:pt>
                <c:pt idx="315">
                  <c:v>#N/A</c:v>
                </c:pt>
                <c:pt idx="316">
                  <c:v>#N/A</c:v>
                </c:pt>
                <c:pt idx="317">
                  <c:v>#N/A</c:v>
                </c:pt>
                <c:pt idx="318">
                  <c:v>#N/A</c:v>
                </c:pt>
                <c:pt idx="319">
                  <c:v>#N/A</c:v>
                </c:pt>
                <c:pt idx="320">
                  <c:v>13.999999999999968</c:v>
                </c:pt>
                <c:pt idx="321">
                  <c:v>#N/A</c:v>
                </c:pt>
                <c:pt idx="322">
                  <c:v>#N/A</c:v>
                </c:pt>
                <c:pt idx="323">
                  <c:v>#N/A</c:v>
                </c:pt>
                <c:pt idx="324">
                  <c:v>#N/A</c:v>
                </c:pt>
                <c:pt idx="325">
                  <c:v>#N/A</c:v>
                </c:pt>
                <c:pt idx="326">
                  <c:v>#N/A</c:v>
                </c:pt>
                <c:pt idx="327">
                  <c:v>#N/A</c:v>
                </c:pt>
                <c:pt idx="328">
                  <c:v>#N/A</c:v>
                </c:pt>
                <c:pt idx="329">
                  <c:v>#N/A</c:v>
                </c:pt>
                <c:pt idx="330">
                  <c:v>14.999999999999964</c:v>
                </c:pt>
                <c:pt idx="331">
                  <c:v>#N/A</c:v>
                </c:pt>
                <c:pt idx="332">
                  <c:v>#N/A</c:v>
                </c:pt>
                <c:pt idx="333">
                  <c:v>#N/A</c:v>
                </c:pt>
                <c:pt idx="334">
                  <c:v>#N/A</c:v>
                </c:pt>
                <c:pt idx="335">
                  <c:v>#N/A</c:v>
                </c:pt>
                <c:pt idx="336">
                  <c:v>#N/A</c:v>
                </c:pt>
                <c:pt idx="337">
                  <c:v>#N/A</c:v>
                </c:pt>
                <c:pt idx="338">
                  <c:v>#N/A</c:v>
                </c:pt>
                <c:pt idx="339">
                  <c:v>#N/A</c:v>
                </c:pt>
                <c:pt idx="340">
                  <c:v>15.999999999999961</c:v>
                </c:pt>
                <c:pt idx="341">
                  <c:v>#N/A</c:v>
                </c:pt>
                <c:pt idx="342">
                  <c:v>#N/A</c:v>
                </c:pt>
                <c:pt idx="343">
                  <c:v>#N/A</c:v>
                </c:pt>
                <c:pt idx="344">
                  <c:v>#N/A</c:v>
                </c:pt>
                <c:pt idx="345">
                  <c:v>#N/A</c:v>
                </c:pt>
                <c:pt idx="346">
                  <c:v>#N/A</c:v>
                </c:pt>
                <c:pt idx="347">
                  <c:v>#N/A</c:v>
                </c:pt>
                <c:pt idx="348">
                  <c:v>#N/A</c:v>
                </c:pt>
                <c:pt idx="349">
                  <c:v>#N/A</c:v>
                </c:pt>
                <c:pt idx="350">
                  <c:v>16.999999999999975</c:v>
                </c:pt>
                <c:pt idx="351">
                  <c:v>#N/A</c:v>
                </c:pt>
                <c:pt idx="352">
                  <c:v>#N/A</c:v>
                </c:pt>
                <c:pt idx="353">
                  <c:v>#N/A</c:v>
                </c:pt>
                <c:pt idx="354">
                  <c:v>#N/A</c:v>
                </c:pt>
                <c:pt idx="355">
                  <c:v>#N/A</c:v>
                </c:pt>
                <c:pt idx="356">
                  <c:v>#N/A</c:v>
                </c:pt>
                <c:pt idx="357">
                  <c:v>#N/A</c:v>
                </c:pt>
                <c:pt idx="358">
                  <c:v>#N/A</c:v>
                </c:pt>
                <c:pt idx="359">
                  <c:v>#N/A</c:v>
                </c:pt>
                <c:pt idx="360">
                  <c:v>17.999999999999989</c:v>
                </c:pt>
                <c:pt idx="361">
                  <c:v>#N/A</c:v>
                </c:pt>
                <c:pt idx="362">
                  <c:v>#N/A</c:v>
                </c:pt>
                <c:pt idx="363">
                  <c:v>#N/A</c:v>
                </c:pt>
                <c:pt idx="364">
                  <c:v>#N/A</c:v>
                </c:pt>
                <c:pt idx="365">
                  <c:v>#N/A</c:v>
                </c:pt>
                <c:pt idx="366">
                  <c:v>#N/A</c:v>
                </c:pt>
                <c:pt idx="367">
                  <c:v>#N/A</c:v>
                </c:pt>
                <c:pt idx="368">
                  <c:v>#N/A</c:v>
                </c:pt>
                <c:pt idx="369">
                  <c:v>#N/A</c:v>
                </c:pt>
                <c:pt idx="370">
                  <c:v>19.000000000000004</c:v>
                </c:pt>
                <c:pt idx="371">
                  <c:v>#N/A</c:v>
                </c:pt>
                <c:pt idx="372">
                  <c:v>#N/A</c:v>
                </c:pt>
                <c:pt idx="373">
                  <c:v>#N/A</c:v>
                </c:pt>
                <c:pt idx="374">
                  <c:v>#N/A</c:v>
                </c:pt>
                <c:pt idx="375">
                  <c:v>#N/A</c:v>
                </c:pt>
                <c:pt idx="376">
                  <c:v>#N/A</c:v>
                </c:pt>
                <c:pt idx="377">
                  <c:v>#N/A</c:v>
                </c:pt>
                <c:pt idx="378">
                  <c:v>#N/A</c:v>
                </c:pt>
                <c:pt idx="379">
                  <c:v>#N/A</c:v>
                </c:pt>
                <c:pt idx="380">
                  <c:v>20.000000000000018</c:v>
                </c:pt>
                <c:pt idx="381">
                  <c:v>#N/A</c:v>
                </c:pt>
                <c:pt idx="382">
                  <c:v>#N/A</c:v>
                </c:pt>
                <c:pt idx="383">
                  <c:v>#N/A</c:v>
                </c:pt>
                <c:pt idx="384">
                  <c:v>#N/A</c:v>
                </c:pt>
                <c:pt idx="385">
                  <c:v>#N/A</c:v>
                </c:pt>
                <c:pt idx="386">
                  <c:v>#N/A</c:v>
                </c:pt>
                <c:pt idx="387">
                  <c:v>#N/A</c:v>
                </c:pt>
                <c:pt idx="388">
                  <c:v>#N/A</c:v>
                </c:pt>
                <c:pt idx="389">
                  <c:v>#N/A</c:v>
                </c:pt>
                <c:pt idx="390">
                  <c:v>21.000000000000032</c:v>
                </c:pt>
                <c:pt idx="391">
                  <c:v>#N/A</c:v>
                </c:pt>
                <c:pt idx="392">
                  <c:v>#N/A</c:v>
                </c:pt>
                <c:pt idx="393">
                  <c:v>#N/A</c:v>
                </c:pt>
                <c:pt idx="394">
                  <c:v>#N/A</c:v>
                </c:pt>
                <c:pt idx="395">
                  <c:v>#N/A</c:v>
                </c:pt>
                <c:pt idx="396">
                  <c:v>#N/A</c:v>
                </c:pt>
                <c:pt idx="397">
                  <c:v>#N/A</c:v>
                </c:pt>
                <c:pt idx="398">
                  <c:v>#N/A</c:v>
                </c:pt>
                <c:pt idx="399">
                  <c:v>#N/A</c:v>
                </c:pt>
                <c:pt idx="400">
                  <c:v>22.000000000000046</c:v>
                </c:pt>
                <c:pt idx="401">
                  <c:v>#N/A</c:v>
                </c:pt>
                <c:pt idx="402">
                  <c:v>#N/A</c:v>
                </c:pt>
                <c:pt idx="403">
                  <c:v>#N/A</c:v>
                </c:pt>
                <c:pt idx="404">
                  <c:v>#N/A</c:v>
                </c:pt>
                <c:pt idx="405">
                  <c:v>#N/A</c:v>
                </c:pt>
                <c:pt idx="406">
                  <c:v>#N/A</c:v>
                </c:pt>
                <c:pt idx="407">
                  <c:v>#N/A</c:v>
                </c:pt>
                <c:pt idx="408">
                  <c:v>#N/A</c:v>
                </c:pt>
                <c:pt idx="409">
                  <c:v>#N/A</c:v>
                </c:pt>
                <c:pt idx="410">
                  <c:v>23.00000000000006</c:v>
                </c:pt>
                <c:pt idx="411">
                  <c:v>#N/A</c:v>
                </c:pt>
                <c:pt idx="412">
                  <c:v>#N/A</c:v>
                </c:pt>
                <c:pt idx="413">
                  <c:v>#N/A</c:v>
                </c:pt>
                <c:pt idx="414">
                  <c:v>#N/A</c:v>
                </c:pt>
                <c:pt idx="415">
                  <c:v>#N/A</c:v>
                </c:pt>
                <c:pt idx="416">
                  <c:v>#N/A</c:v>
                </c:pt>
                <c:pt idx="417">
                  <c:v>#N/A</c:v>
                </c:pt>
                <c:pt idx="418">
                  <c:v>#N/A</c:v>
                </c:pt>
                <c:pt idx="419">
                  <c:v>#N/A</c:v>
                </c:pt>
                <c:pt idx="420">
                  <c:v>24.000000000000075</c:v>
                </c:pt>
                <c:pt idx="421">
                  <c:v>#N/A</c:v>
                </c:pt>
                <c:pt idx="422">
                  <c:v>#N/A</c:v>
                </c:pt>
                <c:pt idx="423">
                  <c:v>#N/A</c:v>
                </c:pt>
                <c:pt idx="424">
                  <c:v>#N/A</c:v>
                </c:pt>
                <c:pt idx="425">
                  <c:v>#N/A</c:v>
                </c:pt>
                <c:pt idx="426">
                  <c:v>#N/A</c:v>
                </c:pt>
                <c:pt idx="427">
                  <c:v>#N/A</c:v>
                </c:pt>
                <c:pt idx="428">
                  <c:v>#N/A</c:v>
                </c:pt>
                <c:pt idx="429">
                  <c:v>#N/A</c:v>
                </c:pt>
                <c:pt idx="430">
                  <c:v>25.000000000000089</c:v>
                </c:pt>
                <c:pt idx="431">
                  <c:v>#N/A</c:v>
                </c:pt>
                <c:pt idx="432">
                  <c:v>#N/A</c:v>
                </c:pt>
                <c:pt idx="433">
                  <c:v>#N/A</c:v>
                </c:pt>
                <c:pt idx="434">
                  <c:v>#N/A</c:v>
                </c:pt>
                <c:pt idx="435">
                  <c:v>#N/A</c:v>
                </c:pt>
                <c:pt idx="436">
                  <c:v>#N/A</c:v>
                </c:pt>
                <c:pt idx="437">
                  <c:v>#N/A</c:v>
                </c:pt>
                <c:pt idx="438">
                  <c:v>#N/A</c:v>
                </c:pt>
                <c:pt idx="439">
                  <c:v>#N/A</c:v>
                </c:pt>
                <c:pt idx="440">
                  <c:v>26.000000000000103</c:v>
                </c:pt>
                <c:pt idx="441">
                  <c:v>#N/A</c:v>
                </c:pt>
                <c:pt idx="442">
                  <c:v>#N/A</c:v>
                </c:pt>
                <c:pt idx="443">
                  <c:v>#N/A</c:v>
                </c:pt>
                <c:pt idx="444">
                  <c:v>#N/A</c:v>
                </c:pt>
                <c:pt idx="445">
                  <c:v>#N/A</c:v>
                </c:pt>
                <c:pt idx="446">
                  <c:v>#N/A</c:v>
                </c:pt>
                <c:pt idx="447">
                  <c:v>#N/A</c:v>
                </c:pt>
                <c:pt idx="448">
                  <c:v>#N/A</c:v>
                </c:pt>
                <c:pt idx="449">
                  <c:v>#N/A</c:v>
                </c:pt>
                <c:pt idx="450">
                  <c:v>27.000000000000117</c:v>
                </c:pt>
                <c:pt idx="451">
                  <c:v>#N/A</c:v>
                </c:pt>
                <c:pt idx="452">
                  <c:v>#N/A</c:v>
                </c:pt>
                <c:pt idx="453">
                  <c:v>#N/A</c:v>
                </c:pt>
                <c:pt idx="454">
                  <c:v>#N/A</c:v>
                </c:pt>
                <c:pt idx="455">
                  <c:v>#N/A</c:v>
                </c:pt>
                <c:pt idx="456">
                  <c:v>#N/A</c:v>
                </c:pt>
                <c:pt idx="457">
                  <c:v>#N/A</c:v>
                </c:pt>
                <c:pt idx="458">
                  <c:v>#N/A</c:v>
                </c:pt>
                <c:pt idx="459">
                  <c:v>#N/A</c:v>
                </c:pt>
                <c:pt idx="460">
                  <c:v>28.000000000000131</c:v>
                </c:pt>
                <c:pt idx="461">
                  <c:v>#N/A</c:v>
                </c:pt>
                <c:pt idx="462">
                  <c:v>#N/A</c:v>
                </c:pt>
                <c:pt idx="463">
                  <c:v>#N/A</c:v>
                </c:pt>
                <c:pt idx="464">
                  <c:v>#N/A</c:v>
                </c:pt>
                <c:pt idx="465">
                  <c:v>#N/A</c:v>
                </c:pt>
                <c:pt idx="466">
                  <c:v>#N/A</c:v>
                </c:pt>
                <c:pt idx="467">
                  <c:v>#N/A</c:v>
                </c:pt>
                <c:pt idx="468">
                  <c:v>#N/A</c:v>
                </c:pt>
                <c:pt idx="469">
                  <c:v>#N/A</c:v>
                </c:pt>
                <c:pt idx="470">
                  <c:v>29.000000000000146</c:v>
                </c:pt>
                <c:pt idx="471">
                  <c:v>#N/A</c:v>
                </c:pt>
                <c:pt idx="472">
                  <c:v>#N/A</c:v>
                </c:pt>
                <c:pt idx="473">
                  <c:v>#N/A</c:v>
                </c:pt>
                <c:pt idx="474">
                  <c:v>#N/A</c:v>
                </c:pt>
                <c:pt idx="475">
                  <c:v>#N/A</c:v>
                </c:pt>
                <c:pt idx="476">
                  <c:v>#N/A</c:v>
                </c:pt>
                <c:pt idx="477">
                  <c:v>#N/A</c:v>
                </c:pt>
                <c:pt idx="478">
                  <c:v>#N/A</c:v>
                </c:pt>
                <c:pt idx="479">
                  <c:v>#N/A</c:v>
                </c:pt>
                <c:pt idx="480">
                  <c:v>30.00000000000016</c:v>
                </c:pt>
                <c:pt idx="481">
                  <c:v>#N/A</c:v>
                </c:pt>
                <c:pt idx="482">
                  <c:v>#N/A</c:v>
                </c:pt>
                <c:pt idx="483">
                  <c:v>#N/A</c:v>
                </c:pt>
                <c:pt idx="484">
                  <c:v>#N/A</c:v>
                </c:pt>
                <c:pt idx="485">
                  <c:v>#N/A</c:v>
                </c:pt>
                <c:pt idx="486">
                  <c:v>#N/A</c:v>
                </c:pt>
                <c:pt idx="487">
                  <c:v>#N/A</c:v>
                </c:pt>
                <c:pt idx="488">
                  <c:v>#N/A</c:v>
                </c:pt>
                <c:pt idx="489">
                  <c:v>#N/A</c:v>
                </c:pt>
                <c:pt idx="490">
                  <c:v>31.000000000000174</c:v>
                </c:pt>
                <c:pt idx="491">
                  <c:v>#N/A</c:v>
                </c:pt>
                <c:pt idx="492">
                  <c:v>#N/A</c:v>
                </c:pt>
                <c:pt idx="493">
                  <c:v>#N/A</c:v>
                </c:pt>
                <c:pt idx="494">
                  <c:v>#N/A</c:v>
                </c:pt>
                <c:pt idx="495">
                  <c:v>#N/A</c:v>
                </c:pt>
                <c:pt idx="496">
                  <c:v>#N/A</c:v>
                </c:pt>
                <c:pt idx="497">
                  <c:v>#N/A</c:v>
                </c:pt>
                <c:pt idx="498">
                  <c:v>#N/A</c:v>
                </c:pt>
                <c:pt idx="499">
                  <c:v>#N/A</c:v>
                </c:pt>
                <c:pt idx="500">
                  <c:v>32.000000000000185</c:v>
                </c:pt>
                <c:pt idx="501">
                  <c:v>#N/A</c:v>
                </c:pt>
                <c:pt idx="502">
                  <c:v>#N/A</c:v>
                </c:pt>
                <c:pt idx="503">
                  <c:v>#N/A</c:v>
                </c:pt>
                <c:pt idx="504">
                  <c:v>#N/A</c:v>
                </c:pt>
                <c:pt idx="505">
                  <c:v>#N/A</c:v>
                </c:pt>
                <c:pt idx="506">
                  <c:v>#N/A</c:v>
                </c:pt>
                <c:pt idx="507">
                  <c:v>#N/A</c:v>
                </c:pt>
                <c:pt idx="508">
                  <c:v>#N/A</c:v>
                </c:pt>
                <c:pt idx="509">
                  <c:v>#N/A</c:v>
                </c:pt>
                <c:pt idx="510">
                  <c:v>33.000000000000199</c:v>
                </c:pt>
                <c:pt idx="511">
                  <c:v>#N/A</c:v>
                </c:pt>
                <c:pt idx="512">
                  <c:v>#N/A</c:v>
                </c:pt>
                <c:pt idx="513">
                  <c:v>#N/A</c:v>
                </c:pt>
                <c:pt idx="514">
                  <c:v>#N/A</c:v>
                </c:pt>
                <c:pt idx="515">
                  <c:v>#N/A</c:v>
                </c:pt>
                <c:pt idx="516">
                  <c:v>#N/A</c:v>
                </c:pt>
                <c:pt idx="517">
                  <c:v>#N/A</c:v>
                </c:pt>
                <c:pt idx="518">
                  <c:v>#N/A</c:v>
                </c:pt>
                <c:pt idx="519">
                  <c:v>#N/A</c:v>
                </c:pt>
                <c:pt idx="520">
                  <c:v>34.000000000000213</c:v>
                </c:pt>
                <c:pt idx="521">
                  <c:v>#N/A</c:v>
                </c:pt>
                <c:pt idx="522">
                  <c:v>#N/A</c:v>
                </c:pt>
                <c:pt idx="523">
                  <c:v>#N/A</c:v>
                </c:pt>
                <c:pt idx="524">
                  <c:v>#N/A</c:v>
                </c:pt>
                <c:pt idx="525">
                  <c:v>#N/A</c:v>
                </c:pt>
                <c:pt idx="526">
                  <c:v>#N/A</c:v>
                </c:pt>
                <c:pt idx="527">
                  <c:v>#N/A</c:v>
                </c:pt>
                <c:pt idx="528">
                  <c:v>#N/A</c:v>
                </c:pt>
                <c:pt idx="529">
                  <c:v>#N/A</c:v>
                </c:pt>
                <c:pt idx="530">
                  <c:v>35.000000000000227</c:v>
                </c:pt>
                <c:pt idx="531">
                  <c:v>#N/A</c:v>
                </c:pt>
                <c:pt idx="532">
                  <c:v>#N/A</c:v>
                </c:pt>
                <c:pt idx="533">
                  <c:v>#N/A</c:v>
                </c:pt>
                <c:pt idx="534">
                  <c:v>#N/A</c:v>
                </c:pt>
                <c:pt idx="535">
                  <c:v>#N/A</c:v>
                </c:pt>
                <c:pt idx="536">
                  <c:v>#N/A</c:v>
                </c:pt>
                <c:pt idx="537">
                  <c:v>#N/A</c:v>
                </c:pt>
                <c:pt idx="538">
                  <c:v>#N/A</c:v>
                </c:pt>
                <c:pt idx="539">
                  <c:v>#N/A</c:v>
                </c:pt>
                <c:pt idx="540">
                  <c:v>36.000000000000242</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numCache>
            </c:numRef>
          </c:xVal>
          <c:yVal>
            <c:numRef>
              <c:f>Calculs!$K$4:$K$1004</c:f>
              <c:numCache>
                <c:formatCode>0.00</c:formatCode>
                <c:ptCount val="1001"/>
                <c:pt idx="0">
                  <c:v>0</c:v>
                </c:pt>
                <c:pt idx="1">
                  <c:v>1.014835289857519E-3</c:v>
                </c:pt>
                <c:pt idx="2">
                  <c:v>8.2092717621669274E-3</c:v>
                </c:pt>
                <c:pt idx="3">
                  <c:v>2.826280262367881E-2</c:v>
                </c:pt>
                <c:pt idx="4">
                  <c:v>6.3441336380832408E-2</c:v>
                </c:pt>
                <c:pt idx="5">
                  <c:v>0.11321685656357894</c:v>
                </c:pt>
                <c:pt idx="6">
                  <c:v>0.17722168839409749</c:v>
                </c:pt>
                <c:pt idx="7">
                  <c:v>0.25541074679293435</c:v>
                </c:pt>
                <c:pt idx="8">
                  <c:v>0.34790053114657993</c:v>
                </c:pt>
                <c:pt idx="9">
                  <c:v>0.4548076293392046</c:v>
                </c:pt>
                <c:pt idx="10">
                  <c:v>0.5762487157900873</c:v>
                </c:pt>
                <c:pt idx="11">
                  <c:v>0.71232375635665535</c:v>
                </c:pt>
                <c:pt idx="12">
                  <c:v>0.86309916219158467</c:v>
                </c:pt>
                <c:pt idx="13">
                  <c:v>1.0286245053401553</c:v>
                </c:pt>
                <c:pt idx="14">
                  <c:v>1.208949285564338</c:v>
                </c:pt>
                <c:pt idx="15">
                  <c:v>1.4041229287194446</c:v>
                </c:pt>
                <c:pt idx="16">
                  <c:v>1.6141947851243379</c:v>
                </c:pt>
                <c:pt idx="17">
                  <c:v>1.8392141279253065</c:v>
                </c:pt>
                <c:pt idx="18">
                  <c:v>2.0792301514537108</c:v>
                </c:pt>
                <c:pt idx="19">
                  <c:v>2.3342919695775111</c:v>
                </c:pt>
                <c:pt idx="20">
                  <c:v>2.6044486140467877</c:v>
                </c:pt>
                <c:pt idx="21">
                  <c:v>2.8897422865207414</c:v>
                </c:pt>
                <c:pt idx="22">
                  <c:v>3.1902015903762195</c:v>
                </c:pt>
                <c:pt idx="23">
                  <c:v>3.5058482460334504</c:v>
                </c:pt>
                <c:pt idx="24">
                  <c:v>3.836703826804376</c:v>
                </c:pt>
                <c:pt idx="25">
                  <c:v>4.1827897578456144</c:v>
                </c:pt>
                <c:pt idx="26">
                  <c:v>4.5441125127268629</c:v>
                </c:pt>
                <c:pt idx="27">
                  <c:v>4.9206777754406357</c:v>
                </c:pt>
                <c:pt idx="28">
                  <c:v>5.3125052505906112</c:v>
                </c:pt>
                <c:pt idx="29">
                  <c:v>5.7196145188719516</c:v>
                </c:pt>
                <c:pt idx="30">
                  <c:v>6.1420250454300582</c:v>
                </c:pt>
                <c:pt idx="31">
                  <c:v>6.5797561762952155</c:v>
                </c:pt>
                <c:pt idx="32">
                  <c:v>7.0328271350771372</c:v>
                </c:pt>
                <c:pt idx="33">
                  <c:v>7.5012570198865358</c:v>
                </c:pt>
                <c:pt idx="34">
                  <c:v>7.9850648004560352</c:v>
                </c:pt>
                <c:pt idx="35">
                  <c:v>8.4842693154369879</c:v>
                </c:pt>
                <c:pt idx="36">
                  <c:v>8.998889269852226</c:v>
                </c:pt>
                <c:pt idx="37">
                  <c:v>9.5289432326876877</c:v>
                </c:pt>
                <c:pt idx="38">
                  <c:v>10.074449634608213</c:v>
                </c:pt>
                <c:pt idx="39">
                  <c:v>10.63542676578486</c:v>
                </c:pt>
                <c:pt idx="40">
                  <c:v>11.211892773822738</c:v>
                </c:pt>
                <c:pt idx="41">
                  <c:v>11.803860402368862</c:v>
                </c:pt>
                <c:pt idx="42">
                  <c:v>12.411331715763811</c:v>
                </c:pt>
                <c:pt idx="43">
                  <c:v>13.034303336940619</c:v>
                </c:pt>
                <c:pt idx="44">
                  <c:v>13.672771699736666</c:v>
                </c:pt>
                <c:pt idx="45">
                  <c:v>14.326733047819415</c:v>
                </c:pt>
                <c:pt idx="46">
                  <c:v>14.996183433682525</c:v>
                </c:pt>
                <c:pt idx="47">
                  <c:v>15.681118717707127</c:v>
                </c:pt>
                <c:pt idx="48">
                  <c:v>16.381534567283673</c:v>
                </c:pt>
                <c:pt idx="49">
                  <c:v>17.097426455990202</c:v>
                </c:pt>
                <c:pt idx="50">
                  <c:v>17.828789662823397</c:v>
                </c:pt>
                <c:pt idx="51">
                  <c:v>18.575619271479084</c:v>
                </c:pt>
                <c:pt idx="52">
                  <c:v>19.337910169679283</c:v>
                </c:pt>
                <c:pt idx="53">
                  <c:v>20.115657048543085</c:v>
                </c:pt>
                <c:pt idx="54">
                  <c:v>20.908854401999015</c:v>
                </c:pt>
                <c:pt idx="55">
                  <c:v>21.717496526236687</c:v>
                </c:pt>
                <c:pt idx="56">
                  <c:v>22.541577519195783</c:v>
                </c:pt>
                <c:pt idx="57">
                  <c:v>23.381091280090605</c:v>
                </c:pt>
                <c:pt idx="58">
                  <c:v>24.236031508968555</c:v>
                </c:pt>
                <c:pt idx="59">
                  <c:v>25.106391706301096</c:v>
                </c:pt>
                <c:pt idx="60">
                  <c:v>25.992165172605819</c:v>
                </c:pt>
                <c:pt idx="61">
                  <c:v>26.893345008098414</c:v>
                </c:pt>
                <c:pt idx="62">
                  <c:v>27.809924112373409</c:v>
                </c:pt>
                <c:pt idx="63">
                  <c:v>28.741895184112654</c:v>
                </c:pt>
                <c:pt idx="64">
                  <c:v>29.689250720820588</c:v>
                </c:pt>
                <c:pt idx="65">
                  <c:v>30.651983018585437</c:v>
                </c:pt>
                <c:pt idx="66">
                  <c:v>31.630084171865516</c:v>
                </c:pt>
                <c:pt idx="67">
                  <c:v>32.62354607329992</c:v>
                </c:pt>
                <c:pt idx="68">
                  <c:v>33.632360413542884</c:v>
                </c:pt>
                <c:pt idx="69">
                  <c:v>34.656518681121227</c:v>
                </c:pt>
                <c:pt idx="70">
                  <c:v>35.69601216231424</c:v>
                </c:pt>
                <c:pt idx="71">
                  <c:v>36.75083194105548</c:v>
                </c:pt>
                <c:pt idx="72">
                  <c:v>37.82096889885603</c:v>
                </c:pt>
                <c:pt idx="73">
                  <c:v>38.906413714748616</c:v>
                </c:pt>
                <c:pt idx="74">
                  <c:v>40.00715686525227</c:v>
                </c:pt>
                <c:pt idx="75">
                  <c:v>41.12318862435707</c:v>
                </c:pt>
                <c:pt idx="76">
                  <c:v>42.254499063528542</c:v>
                </c:pt>
                <c:pt idx="77">
                  <c:v>43.401078051731403</c:v>
                </c:pt>
                <c:pt idx="78">
                  <c:v>44.562915255472312</c:v>
                </c:pt>
                <c:pt idx="79">
                  <c:v>45.740000138861248</c:v>
                </c:pt>
                <c:pt idx="80">
                  <c:v>46.932321963691273</c:v>
                </c:pt>
                <c:pt idx="81">
                  <c:v>48.139864422620498</c:v>
                </c:pt>
                <c:pt idx="82">
                  <c:v>49.362600260516437</c:v>
                </c:pt>
                <c:pt idx="83">
                  <c:v>50.600496626797494</c:v>
                </c:pt>
                <c:pt idx="84">
                  <c:v>51.853520440092936</c:v>
                </c:pt>
                <c:pt idx="85">
                  <c:v>53.121638389303747</c:v>
                </c:pt>
                <c:pt idx="86">
                  <c:v>54.40481693468324</c:v>
                </c:pt>
                <c:pt idx="87">
                  <c:v>55.703022308937122</c:v>
                </c:pt>
                <c:pt idx="88">
                  <c:v>57.016220518342564</c:v>
                </c:pt>
                <c:pt idx="89">
                  <c:v>58.344377343885952</c:v>
                </c:pt>
                <c:pt idx="90">
                  <c:v>59.687458342418907</c:v>
                </c:pt>
                <c:pt idx="91">
                  <c:v>61.045426473207243</c:v>
                </c:pt>
                <c:pt idx="92">
                  <c:v>62.41823971967262</c:v>
                </c:pt>
                <c:pt idx="93">
                  <c:v>63.805853459542291</c:v>
                </c:pt>
                <c:pt idx="94">
                  <c:v>65.208222840061339</c:v>
                </c:pt>
                <c:pt idx="95">
                  <c:v>66.625302779676446</c:v>
                </c:pt>
                <c:pt idx="96">
                  <c:v>68.05704796973626</c:v>
                </c:pt>
                <c:pt idx="97">
                  <c:v>69.503412876207904</c:v>
                </c:pt>
                <c:pt idx="98">
                  <c:v>70.964351741409232</c:v>
                </c:pt>
                <c:pt idx="99">
                  <c:v>72.439818585756555</c:v>
                </c:pt>
                <c:pt idx="100">
                  <c:v>73.929767209527313</c:v>
                </c:pt>
                <c:pt idx="101">
                  <c:v>75.434150814277572</c:v>
                </c:pt>
                <c:pt idx="102">
                  <c:v>76.952921623574568</c:v>
                </c:pt>
                <c:pt idx="103">
                  <c:v>78.486031264390817</c:v>
                </c:pt>
                <c:pt idx="104">
                  <c:v>80.033431149247576</c:v>
                </c:pt>
                <c:pt idx="105">
                  <c:v>81.595072478120144</c:v>
                </c:pt>
                <c:pt idx="106">
                  <c:v>83.170906240356075</c:v>
                </c:pt>
                <c:pt idx="107">
                  <c:v>84.760883216605734</c:v>
                </c:pt>
                <c:pt idx="108">
                  <c:v>86.364953980764994</c:v>
                </c:pt>
                <c:pt idx="109">
                  <c:v>87.983068901929698</c:v>
                </c:pt>
                <c:pt idx="110">
                  <c:v>89.615178146361458</c:v>
                </c:pt>
                <c:pt idx="111">
                  <c:v>91.261236064969438</c:v>
                </c:pt>
                <c:pt idx="112">
                  <c:v>92.921205588025856</c:v>
                </c:pt>
                <c:pt idx="113">
                  <c:v>94.595053848995107</c:v>
                </c:pt>
                <c:pt idx="114">
                  <c:v>96.282747800752887</c:v>
                </c:pt>
                <c:pt idx="115">
                  <c:v>97.984254216810271</c:v>
                </c:pt>
                <c:pt idx="116">
                  <c:v>99.699539692548342</c:v>
                </c:pt>
                <c:pt idx="117">
                  <c:v>101.42857064646307</c:v>
                </c:pt>
                <c:pt idx="118">
                  <c:v>103.17131332142036</c:v>
                </c:pt>
                <c:pt idx="119">
                  <c:v>104.92773378592094</c:v>
                </c:pt>
                <c:pt idx="120">
                  <c:v>106.69779793537506</c:v>
                </c:pt>
                <c:pt idx="121">
                  <c:v>108.4814642092374</c:v>
                </c:pt>
                <c:pt idx="122">
                  <c:v>110.27867629734055</c:v>
                </c:pt>
                <c:pt idx="123">
                  <c:v>112.08937041547584</c:v>
                </c:pt>
                <c:pt idx="124">
                  <c:v>113.91348259247557</c:v>
                </c:pt>
                <c:pt idx="125">
                  <c:v>115.75094867289528</c:v>
                </c:pt>
                <c:pt idx="126">
                  <c:v>117.60170431970077</c:v>
                </c:pt>
                <c:pt idx="127">
                  <c:v>119.46568501695968</c:v>
                </c:pt>
                <c:pt idx="128">
                  <c:v>121.34282607253705</c:v>
                </c:pt>
                <c:pt idx="129">
                  <c:v>123.2330626207945</c:v>
                </c:pt>
                <c:pt idx="130">
                  <c:v>125.1363296252927</c:v>
                </c:pt>
                <c:pt idx="131">
                  <c:v>127.05255997182877</c:v>
                </c:pt>
                <c:pt idx="132">
                  <c:v>128.98168255907402</c:v>
                </c:pt>
                <c:pt idx="133">
                  <c:v>130.92362420915705</c:v>
                </c:pt>
                <c:pt idx="134">
                  <c:v>132.87831158084617</c:v>
                </c:pt>
                <c:pt idx="135">
                  <c:v>134.84567117265215</c:v>
                </c:pt>
                <c:pt idx="136">
                  <c:v>136.82562932593001</c:v>
                </c:pt>
                <c:pt idx="137">
                  <c:v>138.81811222797924</c:v>
                </c:pt>
                <c:pt idx="138">
                  <c:v>140.82304591514207</c:v>
                </c:pt>
                <c:pt idx="139">
                  <c:v>142.84035627589932</c:v>
                </c:pt>
                <c:pt idx="140">
                  <c:v>144.86996905396333</c:v>
                </c:pt>
                <c:pt idx="141">
                  <c:v>146.91178698708333</c:v>
                </c:pt>
                <c:pt idx="142">
                  <c:v>148.96566692288272</c:v>
                </c:pt>
                <c:pt idx="143">
                  <c:v>151.03144267539574</c:v>
                </c:pt>
                <c:pt idx="144">
                  <c:v>153.10894790750638</c:v>
                </c:pt>
                <c:pt idx="145">
                  <c:v>155.19801613987988</c:v>
                </c:pt>
                <c:pt idx="146">
                  <c:v>157.2984807598383</c:v>
                </c:pt>
                <c:pt idx="147">
                  <c:v>159.41017503017829</c:v>
                </c:pt>
                <c:pt idx="148">
                  <c:v>161.5329320979302</c:v>
                </c:pt>
                <c:pt idx="149">
                  <c:v>163.66658500305633</c:v>
                </c:pt>
                <c:pt idx="150">
                  <c:v>165.81096668708767</c:v>
                </c:pt>
                <c:pt idx="151">
                  <c:v>167.96591000169732</c:v>
                </c:pt>
                <c:pt idx="152">
                  <c:v>170.13124771720939</c:v>
                </c:pt>
                <c:pt idx="153">
                  <c:v>172.30681253104228</c:v>
                </c:pt>
                <c:pt idx="154">
                  <c:v>174.49243707608477</c:v>
                </c:pt>
                <c:pt idx="155">
                  <c:v>176.68795392900398</c:v>
                </c:pt>
                <c:pt idx="156">
                  <c:v>178.89308714213681</c:v>
                </c:pt>
                <c:pt idx="157">
                  <c:v>181.10734374515161</c:v>
                </c:pt>
                <c:pt idx="158">
                  <c:v>183.33012231697492</c:v>
                </c:pt>
                <c:pt idx="159">
                  <c:v>185.56082161710287</c:v>
                </c:pt>
                <c:pt idx="160">
                  <c:v>187.79884065168349</c:v>
                </c:pt>
                <c:pt idx="161">
                  <c:v>190.04344076972521</c:v>
                </c:pt>
                <c:pt idx="162">
                  <c:v>192.29360783695529</c:v>
                </c:pt>
                <c:pt idx="163">
                  <c:v>194.54820373809588</c:v>
                </c:pt>
                <c:pt idx="164">
                  <c:v>196.80611785876218</c:v>
                </c:pt>
                <c:pt idx="165">
                  <c:v>199.06638591248998</c:v>
                </c:pt>
                <c:pt idx="166">
                  <c:v>201.32830857749934</c:v>
                </c:pt>
                <c:pt idx="167">
                  <c:v>203.59121916885027</c:v>
                </c:pt>
                <c:pt idx="168">
                  <c:v>205.85432411080905</c:v>
                </c:pt>
                <c:pt idx="169">
                  <c:v>208.11659647290509</c:v>
                </c:pt>
                <c:pt idx="170">
                  <c:v>210.37674232348601</c:v>
                </c:pt>
                <c:pt idx="171">
                  <c:v>212.63385665462681</c:v>
                </c:pt>
                <c:pt idx="172">
                  <c:v>214.88771531735478</c:v>
                </c:pt>
                <c:pt idx="173">
                  <c:v>217.13832534242837</c:v>
                </c:pt>
                <c:pt idx="174">
                  <c:v>219.38569373336375</c:v>
                </c:pt>
                <c:pt idx="175">
                  <c:v>221.62982746657516</c:v>
                </c:pt>
                <c:pt idx="176">
                  <c:v>223.8707334915145</c:v>
                </c:pt>
                <c:pt idx="177">
                  <c:v>226.10841873080986</c:v>
                </c:pt>
                <c:pt idx="178">
                  <c:v>228.34289008040329</c:v>
                </c:pt>
                <c:pt idx="179">
                  <c:v>230.57415440968754</c:v>
                </c:pt>
                <c:pt idx="180">
                  <c:v>232.80221856164206</c:v>
                </c:pt>
                <c:pt idx="181">
                  <c:v>235.02708935296801</c:v>
                </c:pt>
                <c:pt idx="182">
                  <c:v>237.24877357422241</c:v>
                </c:pt>
                <c:pt idx="183">
                  <c:v>239.46727798995155</c:v>
                </c:pt>
                <c:pt idx="184">
                  <c:v>241.68260933882334</c:v>
                </c:pt>
                <c:pt idx="185">
                  <c:v>243.89477433375896</c:v>
                </c:pt>
                <c:pt idx="186">
                  <c:v>246.10377966206366</c:v>
                </c:pt>
                <c:pt idx="187">
                  <c:v>248.30963198555665</c:v>
                </c:pt>
                <c:pt idx="188">
                  <c:v>250.51233794070015</c:v>
                </c:pt>
                <c:pt idx="189">
                  <c:v>252.7119041387277</c:v>
                </c:pt>
                <c:pt idx="190">
                  <c:v>254.90833716577166</c:v>
                </c:pt>
                <c:pt idx="191">
                  <c:v>257.10164358298971</c:v>
                </c:pt>
                <c:pt idx="192">
                  <c:v>259.29182992669087</c:v>
                </c:pt>
                <c:pt idx="193">
                  <c:v>261.47890270846034</c:v>
                </c:pt>
                <c:pt idx="194">
                  <c:v>263.66286841528387</c:v>
                </c:pt>
                <c:pt idx="195">
                  <c:v>265.8437335096711</c:v>
                </c:pt>
                <c:pt idx="196">
                  <c:v>268.02150442977836</c:v>
                </c:pt>
                <c:pt idx="197">
                  <c:v>270.19618758953044</c:v>
                </c:pt>
                <c:pt idx="198">
                  <c:v>272.3677893787418</c:v>
                </c:pt>
                <c:pt idx="199">
                  <c:v>274.5363161632369</c:v>
                </c:pt>
                <c:pt idx="200">
                  <c:v>276.7017742849697</c:v>
                </c:pt>
                <c:pt idx="201">
                  <c:v>298.18806844452359</c:v>
                </c:pt>
                <c:pt idx="202">
                  <c:v>319.37155913113872</c:v>
                </c:pt>
                <c:pt idx="203">
                  <c:v>340.25836315811733</c:v>
                </c:pt>
                <c:pt idx="204">
                  <c:v>360.85437383944549</c:v>
                </c:pt>
                <c:pt idx="205">
                  <c:v>381.1652717252208</c:v>
                </c:pt>
                <c:pt idx="206">
                  <c:v>401.19653469204792</c:v>
                </c:pt>
                <c:pt idx="207">
                  <c:v>420.95344743459793</c:v>
                </c:pt>
                <c:pt idx="208">
                  <c:v>440.44111040069697</c:v>
                </c:pt>
                <c:pt idx="209">
                  <c:v>459.66444820883692</c:v>
                </c:pt>
                <c:pt idx="210">
                  <c:v>478.62821758385189</c:v>
                </c:pt>
                <c:pt idx="211">
                  <c:v>497.33701484364508</c:v>
                </c:pt>
                <c:pt idx="212">
                  <c:v>515.79528296724777</c:v>
                </c:pt>
                <c:pt idx="213">
                  <c:v>534.00731827212758</c:v>
                </c:pt>
                <c:pt idx="214">
                  <c:v>551.97727672650228</c:v>
                </c:pt>
                <c:pt idx="215">
                  <c:v>569.70917992045008</c:v>
                </c:pt>
                <c:pt idx="216">
                  <c:v>587.2069207178065</c:v>
                </c:pt>
                <c:pt idx="217">
                  <c:v>604.47426860919734</c:v>
                </c:pt>
                <c:pt idx="218">
                  <c:v>621.51487478504953</c:v>
                </c:pt>
                <c:pt idx="219">
                  <c:v>638.33227694604579</c:v>
                </c:pt>
                <c:pt idx="220">
                  <c:v>654.92990386722522</c:v>
                </c:pt>
                <c:pt idx="221">
                  <c:v>671.31107973076951</c:v>
                </c:pt>
                <c:pt idx="222">
                  <c:v>687.47902824145251</c:v>
                </c:pt>
                <c:pt idx="223">
                  <c:v>703.43687653774646</c:v>
                </c:pt>
                <c:pt idx="224">
                  <c:v>719.1876589106804</c:v>
                </c:pt>
                <c:pt idx="225">
                  <c:v>734.73432034171162</c:v>
                </c:pt>
                <c:pt idx="226">
                  <c:v>750.07971987010762</c:v>
                </c:pt>
                <c:pt idx="227">
                  <c:v>765.22663379962705</c:v>
                </c:pt>
                <c:pt idx="228">
                  <c:v>780.17775875363714</c:v>
                </c:pt>
                <c:pt idx="229">
                  <c:v>794.93571458719885</c:v>
                </c:pt>
                <c:pt idx="230">
                  <c:v>809.50304716409653</c:v>
                </c:pt>
                <c:pt idx="231">
                  <c:v>823.8822310062684</c:v>
                </c:pt>
                <c:pt idx="232">
                  <c:v>838.07567182261812</c:v>
                </c:pt>
                <c:pt idx="233">
                  <c:v>852.08570892374257</c:v>
                </c:pt>
                <c:pt idx="234">
                  <c:v>865.9146175286993</c:v>
                </c:pt>
                <c:pt idx="235">
                  <c:v>879.5646109695557</c:v>
                </c:pt>
                <c:pt idx="236">
                  <c:v>893.03784279910587</c:v>
                </c:pt>
                <c:pt idx="237">
                  <c:v>906.3364088068106</c:v>
                </c:pt>
                <c:pt idx="238">
                  <c:v>919.46234894771032</c:v>
                </c:pt>
                <c:pt idx="239">
                  <c:v>932.41764918877345</c:v>
                </c:pt>
                <c:pt idx="240">
                  <c:v>945.20424327687579</c:v>
                </c:pt>
                <c:pt idx="241">
                  <c:v>957.82401443236006</c:v>
                </c:pt>
                <c:pt idx="242">
                  <c:v>970.27879697189155</c:v>
                </c:pt>
                <c:pt idx="243">
                  <c:v>982.57037786410933</c:v>
                </c:pt>
                <c:pt idx="244">
                  <c:v>994.70049822137241</c:v>
                </c:pt>
                <c:pt idx="245">
                  <c:v>1006.6708547307095</c:v>
                </c:pt>
                <c:pt idx="246">
                  <c:v>1018.483101026906</c:v>
                </c:pt>
                <c:pt idx="247">
                  <c:v>1030.1388490104957</c:v>
                </c:pt>
                <c:pt idx="248">
                  <c:v>1041.6396701132724</c:v>
                </c:pt>
                <c:pt idx="249">
                  <c:v>1052.987096513787</c:v>
                </c:pt>
                <c:pt idx="250">
                  <c:v>1064.1826223051685</c:v>
                </c:pt>
                <c:pt idx="251">
                  <c:v>1075.2277046174697</c:v>
                </c:pt>
                <c:pt idx="252">
                  <c:v>1086.1237646966292</c:v>
                </c:pt>
                <c:pt idx="253">
                  <c:v>1096.8721889420215</c:v>
                </c:pt>
                <c:pt idx="254">
                  <c:v>1107.4743299044674</c:v>
                </c:pt>
                <c:pt idx="255">
                  <c:v>1117.9315072464747</c:v>
                </c:pt>
                <c:pt idx="256">
                  <c:v>1128.2450086663891</c:v>
                </c:pt>
                <c:pt idx="257">
                  <c:v>1138.4160907880448</c:v>
                </c:pt>
                <c:pt idx="258">
                  <c:v>1148.4459800174252</c:v>
                </c:pt>
                <c:pt idx="259">
                  <c:v>1158.3358733677655</c:v>
                </c:pt>
                <c:pt idx="260">
                  <c:v>1168.0869392544566</c:v>
                </c:pt>
                <c:pt idx="261">
                  <c:v>1177.7003182610395</c:v>
                </c:pt>
                <c:pt idx="262">
                  <c:v>1187.1771238775182</c:v>
                </c:pt>
                <c:pt idx="263">
                  <c:v>1196.5184432121555</c:v>
                </c:pt>
                <c:pt idx="264">
                  <c:v>1205.7253376778583</c:v>
                </c:pt>
                <c:pt idx="265">
                  <c:v>1214.7988436542075</c:v>
                </c:pt>
                <c:pt idx="266">
                  <c:v>1223.7399731261344</c:v>
                </c:pt>
                <c:pt idx="267">
                  <c:v>1232.5497143001958</c:v>
                </c:pt>
                <c:pt idx="268">
                  <c:v>1241.2290321993603</c:v>
                </c:pt>
                <c:pt idx="269">
                  <c:v>1249.7788692371664</c:v>
                </c:pt>
                <c:pt idx="270">
                  <c:v>1258.2001457720798</c:v>
                </c:pt>
                <c:pt idx="271">
                  <c:v>1266.4937606428352</c:v>
                </c:pt>
                <c:pt idx="272">
                  <c:v>1274.6605916855115</c:v>
                </c:pt>
                <c:pt idx="273">
                  <c:v>1282.701496233057</c:v>
                </c:pt>
                <c:pt idx="274">
                  <c:v>1290.6173115979454</c:v>
                </c:pt>
                <c:pt idx="275">
                  <c:v>1298.4088555386154</c:v>
                </c:pt>
                <c:pt idx="276">
                  <c:v>1306.0769267103153</c:v>
                </c:pt>
                <c:pt idx="277">
                  <c:v>1313.622305100949</c:v>
                </c:pt>
                <c:pt idx="278">
                  <c:v>1321.0457524524904</c:v>
                </c:pt>
                <c:pt idx="279">
                  <c:v>1328.348012668511</c:v>
                </c:pt>
                <c:pt idx="280">
                  <c:v>1335.5298122083414</c:v>
                </c:pt>
                <c:pt idx="281">
                  <c:v>1342.5918604683645</c:v>
                </c:pt>
                <c:pt idx="282">
                  <c:v>1349.5348501509188</c:v>
                </c:pt>
                <c:pt idx="283">
                  <c:v>1356.3594576212674</c:v>
                </c:pt>
                <c:pt idx="284">
                  <c:v>1363.066343253075</c:v>
                </c:pt>
                <c:pt idx="285">
                  <c:v>1369.6561517628111</c:v>
                </c:pt>
                <c:pt idx="286">
                  <c:v>1376.129512533485</c:v>
                </c:pt>
                <c:pt idx="287">
                  <c:v>1382.4870399281037</c:v>
                </c:pt>
                <c:pt idx="288">
                  <c:v>1388.7293335932236</c:v>
                </c:pt>
                <c:pt idx="289">
                  <c:v>1394.8569787529584</c:v>
                </c:pt>
                <c:pt idx="290">
                  <c:v>1400.8705464937912</c:v>
                </c:pt>
                <c:pt idx="291">
                  <c:v>1406.7705940405247</c:v>
                </c:pt>
                <c:pt idx="292">
                  <c:v>1412.5576650236951</c:v>
                </c:pt>
                <c:pt idx="293">
                  <c:v>1418.2322897387626</c:v>
                </c:pt>
                <c:pt idx="294">
                  <c:v>1423.7949853973826</c:v>
                </c:pt>
                <c:pt idx="295">
                  <c:v>1429.2462563710544</c:v>
                </c:pt>
                <c:pt idx="296">
                  <c:v>1434.5865944274333</c:v>
                </c:pt>
                <c:pt idx="297">
                  <c:v>1439.816478959588</c:v>
                </c:pt>
                <c:pt idx="298">
                  <c:v>1444.9363772084766</c:v>
                </c:pt>
                <c:pt idx="299">
                  <c:v>1449.9467444789107</c:v>
                </c:pt>
                <c:pt idx="300">
                  <c:v>1454.8480243492709</c:v>
                </c:pt>
                <c:pt idx="301">
                  <c:v>1459.6406488752384</c:v>
                </c:pt>
                <c:pt idx="302">
                  <c:v>1464.3250387877956</c:v>
                </c:pt>
                <c:pt idx="303">
                  <c:v>1468.9016036857581</c:v>
                </c:pt>
                <c:pt idx="304">
                  <c:v>1473.3707422230914</c:v>
                </c:pt>
                <c:pt idx="305">
                  <c:v>1477.7328422912717</c:v>
                </c:pt>
                <c:pt idx="306">
                  <c:v>1481.988281196951</c:v>
                </c:pt>
                <c:pt idx="307">
                  <c:v>1486.1374258351873</c:v>
                </c:pt>
                <c:pt idx="308">
                  <c:v>1490.1806328585112</c:v>
                </c:pt>
                <c:pt idx="309">
                  <c:v>1494.1182488421023</c:v>
                </c:pt>
                <c:pt idx="310">
                  <c:v>1497.9506104453583</c:v>
                </c:pt>
                <c:pt idx="311">
                  <c:v>1501.6780445701515</c:v>
                </c:pt>
                <c:pt idx="312">
                  <c:v>1505.3008685160778</c:v>
                </c:pt>
                <c:pt idx="313">
                  <c:v>1508.8193901330187</c:v>
                </c:pt>
                <c:pt idx="314">
                  <c:v>1512.2339079713545</c:v>
                </c:pt>
                <c:pt idx="315">
                  <c:v>1515.5447114301844</c:v>
                </c:pt>
                <c:pt idx="316">
                  <c:v>1518.7520809039358</c:v>
                </c:pt>
                <c:pt idx="317">
                  <c:v>1521.856287927767</c:v>
                </c:pt>
                <c:pt idx="318">
                  <c:v>1524.8575953221971</c:v>
                </c:pt>
                <c:pt idx="319">
                  <c:v>1527.7562573374339</c:v>
                </c:pt>
                <c:pt idx="320">
                  <c:v>1530.5525197978991</c:v>
                </c:pt>
                <c:pt idx="321">
                  <c:v>1533.2466202474986</c:v>
                </c:pt>
                <c:pt idx="322">
                  <c:v>1535.8387880962241</c:v>
                </c:pt>
                <c:pt idx="323">
                  <c:v>1538.3292447687206</c:v>
                </c:pt>
                <c:pt idx="324">
                  <c:v>1540.7182038555113</c:v>
                </c:pt>
                <c:pt idx="325">
                  <c:v>1543.0058712676168</c:v>
                </c:pt>
                <c:pt idx="326">
                  <c:v>1545.1924453953729</c:v>
                </c:pt>
                <c:pt idx="327">
                  <c:v>1547.278117272303</c:v>
                </c:pt>
                <c:pt idx="328">
                  <c:v>1549.2630707449644</c:v>
                </c:pt>
                <c:pt idx="329">
                  <c:v>1551.1474826497463</c:v>
                </c:pt>
                <c:pt idx="330">
                  <c:v>1552.931522997648</c:v>
                </c:pt>
                <c:pt idx="331">
                  <c:v>1554.6153551681195</c:v>
                </c:pt>
                <c:pt idx="332">
                  <c:v>1556.1991361130772</c:v>
                </c:pt>
                <c:pt idx="333">
                  <c:v>1557.6830165722383</c:v>
                </c:pt>
                <c:pt idx="334">
                  <c:v>1559.0671413009147</c:v>
                </c:pt>
                <c:pt idx="335">
                  <c:v>1560.3516493113871</c:v>
                </c:pt>
                <c:pt idx="336">
                  <c:v>1561.5366741289292</c:v>
                </c:pt>
                <c:pt idx="337">
                  <c:v>1562.6223440634592</c:v>
                </c:pt>
                <c:pt idx="338">
                  <c:v>1563.6087824976619</c:v>
                </c:pt>
                <c:pt idx="339">
                  <c:v>1564.4961081922449</c:v>
                </c:pt>
                <c:pt idx="340">
                  <c:v>1565.2844356087567</c:v>
                </c:pt>
                <c:pt idx="341">
                  <c:v>1565.9738752501087</c:v>
                </c:pt>
                <c:pt idx="342">
                  <c:v>1566.564534018609</c:v>
                </c:pt>
                <c:pt idx="343">
                  <c:v>1567.0565155909271</c:v>
                </c:pt>
                <c:pt idx="344">
                  <c:v>1567.4499208089997</c:v>
                </c:pt>
                <c:pt idx="345">
                  <c:v>1567.7448480854459</c:v>
                </c:pt>
                <c:pt idx="346">
                  <c:v>1567.9413938216237</c:v>
                </c:pt>
                <c:pt idx="347">
                  <c:v>1568.0396528360352</c:v>
                </c:pt>
                <c:pt idx="348">
                  <c:v>1568.0397188004185</c:v>
                </c:pt>
                <c:pt idx="349">
                  <c:v>1567.9416846805457</c:v>
                </c:pt>
                <c:pt idx="350">
                  <c:v>1567.745643178519</c:v>
                </c:pt>
                <c:pt idx="351">
                  <c:v>1567.4516871732339</c:v>
                </c:pt>
                <c:pt idx="352">
                  <c:v>1567.0599101556518</c:v>
                </c:pt>
                <c:pt idx="353">
                  <c:v>1566.5704066556229</c:v>
                </c:pt>
                <c:pt idx="354">
                  <c:v>1565.9832726571901</c:v>
                </c:pt>
                <c:pt idx="355">
                  <c:v>1565.2986059995912</c:v>
                </c:pt>
                <c:pt idx="356">
                  <c:v>1564.516506761541</c:v>
                </c:pt>
                <c:pt idx="357">
                  <c:v>1563.6370776267743</c:v>
                </c:pt>
                <c:pt idx="358">
                  <c:v>1562.6604242292788</c:v>
                </c:pt>
                <c:pt idx="359">
                  <c:v>1561.5866554770812</c:v>
                </c:pt>
                <c:pt idx="360">
                  <c:v>1560.4158838538804</c:v>
                </c:pt>
                <c:pt idx="361">
                  <c:v>1559.1482256982199</c:v>
                </c:pt>
                <c:pt idx="362">
                  <c:v>1557.7838014602439</c:v>
                </c:pt>
                <c:pt idx="363">
                  <c:v>1556.3227359363855</c:v>
                </c:pt>
                <c:pt idx="364">
                  <c:v>1554.765158482588</c:v>
                </c:pt>
                <c:pt idx="365">
                  <c:v>1553.1112032068581</c:v>
                </c:pt>
                <c:pt idx="366">
                  <c:v>1551.3610091420937</c:v>
                </c:pt>
                <c:pt idx="367">
                  <c:v>1549.5147204002344</c:v>
                </c:pt>
                <c:pt idx="368">
                  <c:v>1547.5724863088403</c:v>
                </c:pt>
                <c:pt idx="369">
                  <c:v>1545.5344615312347</c:v>
                </c:pt>
                <c:pt idx="370">
                  <c:v>1543.400806171345</c:v>
                </c:pt>
                <c:pt idx="371">
                  <c:v>1541.1716858643522</c:v>
                </c:pt>
                <c:pt idx="372">
                  <c:v>1538.8472718542246</c:v>
                </c:pt>
                <c:pt idx="373">
                  <c:v>1536.4277410591581</c:v>
                </c:pt>
                <c:pt idx="374">
                  <c:v>1533.9132761258907</c:v>
                </c:pt>
                <c:pt idx="375">
                  <c:v>1531.3040654737931</c:v>
                </c:pt>
                <c:pt idx="376">
                  <c:v>1528.6003033295765</c:v>
                </c:pt>
                <c:pt idx="377">
                  <c:v>1525.8021897533922</c:v>
                </c:pt>
                <c:pt idx="378">
                  <c:v>1522.9099306570367</c:v>
                </c:pt>
                <c:pt idx="379">
                  <c:v>1519.9237378149126</c:v>
                </c:pt>
                <c:pt idx="380">
                  <c:v>1516.8438288683433</c:v>
                </c:pt>
                <c:pt idx="381">
                  <c:v>1513.6704273237817</c:v>
                </c:pt>
                <c:pt idx="382">
                  <c:v>1510.4037625454052</c:v>
                </c:pt>
                <c:pt idx="383">
                  <c:v>1507.0440697425456</c:v>
                </c:pt>
                <c:pt idx="384">
                  <c:v>1503.5915899523554</c:v>
                </c:pt>
                <c:pt idx="385">
                  <c:v>1500.0465700180819</c:v>
                </c:pt>
                <c:pt idx="386">
                  <c:v>1496.4092625632766</c:v>
                </c:pt>
                <c:pt idx="387">
                  <c:v>1492.6799259622451</c:v>
                </c:pt>
                <c:pt idx="388">
                  <c:v>1488.858824307008</c:v>
                </c:pt>
                <c:pt idx="389">
                  <c:v>1484.9462273710221</c:v>
                </c:pt>
                <c:pt idx="390">
                  <c:v>1480.9424105698856</c:v>
                </c:pt>
                <c:pt idx="391">
                  <c:v>1476.8476549192344</c:v>
                </c:pt>
                <c:pt idx="392">
                  <c:v>1472.6622469900126</c:v>
                </c:pt>
                <c:pt idx="393">
                  <c:v>1468.3864788612923</c:v>
                </c:pt>
                <c:pt idx="394">
                  <c:v>1464.0206480707939</c:v>
                </c:pt>
                <c:pt idx="395">
                  <c:v>1459.5650575632533</c:v>
                </c:pt>
                <c:pt idx="396">
                  <c:v>1455.0200156367659</c:v>
                </c:pt>
                <c:pt idx="397">
                  <c:v>1450.3858358872299</c:v>
                </c:pt>
                <c:pt idx="398">
                  <c:v>1445.6628371509978</c:v>
                </c:pt>
                <c:pt idx="399">
                  <c:v>1440.8513434458437</c:v>
                </c:pt>
                <c:pt idx="400">
                  <c:v>1435.9516839103405</c:v>
                </c:pt>
                <c:pt idx="401">
                  <c:v>1430.9641927417374</c:v>
                </c:pt>
                <c:pt idx="402">
                  <c:v>1425.889209132421</c:v>
                </c:pt>
                <c:pt idx="403">
                  <c:v>1420.7270772050406</c:v>
                </c:pt>
                <c:pt idx="404">
                  <c:v>1415.47814594637</c:v>
                </c:pt>
                <c:pt idx="405">
                  <c:v>1410.1427691399765</c:v>
                </c:pt>
                <c:pt idx="406">
                  <c:v>1404.7213052977627</c:v>
                </c:pt>
                <c:pt idx="407">
                  <c:v>1399.2141175904446</c:v>
                </c:pt>
                <c:pt idx="408">
                  <c:v>1393.6215737770256</c:v>
                </c:pt>
                <c:pt idx="409">
                  <c:v>1387.9440461333218</c:v>
                </c:pt>
                <c:pt idx="410">
                  <c:v>1382.1819113795955</c:v>
                </c:pt>
                <c:pt idx="411">
                  <c:v>1376.3355506073474</c:v>
                </c:pt>
                <c:pt idx="412">
                  <c:v>1370.4053492053183</c:v>
                </c:pt>
                <c:pt idx="413">
                  <c:v>1364.391696784749</c:v>
                </c:pt>
                <c:pt idx="414">
                  <c:v>1358.2949871039432</c:v>
                </c:pt>
                <c:pt idx="415">
                  <c:v>1352.1156179921818</c:v>
                </c:pt>
                <c:pt idx="416">
                  <c:v>1345.8539912730298</c:v>
                </c:pt>
                <c:pt idx="417">
                  <c:v>1339.5105126870783</c:v>
                </c:pt>
                <c:pt idx="418">
                  <c:v>1333.0855918141649</c:v>
                </c:pt>
                <c:pt idx="419">
                  <c:v>1326.57964199511</c:v>
                </c:pt>
                <c:pt idx="420">
                  <c:v>1319.9930802530107</c:v>
                </c:pt>
                <c:pt idx="421">
                  <c:v>1313.3263272141278</c:v>
                </c:pt>
                <c:pt idx="422">
                  <c:v>1306.5798070284059</c:v>
                </c:pt>
                <c:pt idx="423">
                  <c:v>1299.7539472896617</c:v>
                </c:pt>
                <c:pt idx="424">
                  <c:v>1292.8491789554757</c:v>
                </c:pt>
                <c:pt idx="425">
                  <c:v>1285.8659362668229</c:v>
                </c:pt>
                <c:pt idx="426">
                  <c:v>1278.8046566674777</c:v>
                </c:pt>
                <c:pt idx="427">
                  <c:v>1271.6657807232241</c:v>
                </c:pt>
                <c:pt idx="428">
                  <c:v>1264.4497520409066</c:v>
                </c:pt>
                <c:pt idx="429">
                  <c:v>1257.1570171873525</c:v>
                </c:pt>
                <c:pt idx="430">
                  <c:v>1249.7880256081983</c:v>
                </c:pt>
                <c:pt idx="431">
                  <c:v>1242.3432295466498</c:v>
                </c:pt>
                <c:pt idx="432">
                  <c:v>1234.8230839622083</c:v>
                </c:pt>
                <c:pt idx="433">
                  <c:v>1227.228046449392</c:v>
                </c:pt>
                <c:pt idx="434">
                  <c:v>1219.5585771564806</c:v>
                </c:pt>
                <c:pt idx="435">
                  <c:v>1211.8151387043151</c:v>
                </c:pt>
                <c:pt idx="436">
                  <c:v>1203.9981961051783</c:v>
                </c:pt>
                <c:pt idx="437">
                  <c:v>1196.1082166817848</c:v>
                </c:pt>
                <c:pt idx="438">
                  <c:v>1188.1456699864086</c:v>
                </c:pt>
                <c:pt idx="439">
                  <c:v>1180.1110277201735</c:v>
                </c:pt>
                <c:pt idx="440">
                  <c:v>1172.0047636525339</c:v>
                </c:pt>
                <c:pt idx="441">
                  <c:v>1163.8273535409717</c:v>
                </c:pt>
                <c:pt idx="442">
                  <c:v>1155.5792750509329</c:v>
                </c:pt>
                <c:pt idx="443">
                  <c:v>1147.2610076760318</c:v>
                </c:pt>
                <c:pt idx="444">
                  <c:v>1138.873032658543</c:v>
                </c:pt>
                <c:pt idx="445">
                  <c:v>1130.4158329102092</c:v>
                </c:pt>
                <c:pt idx="446">
                  <c:v>1121.8898929333848</c:v>
                </c:pt>
                <c:pt idx="447">
                  <c:v>1113.2956987425393</c:v>
                </c:pt>
                <c:pt idx="448">
                  <c:v>1104.6337377861441</c:v>
                </c:pt>
                <c:pt idx="449">
                  <c:v>1095.9044988689609</c:v>
                </c:pt>
                <c:pt idx="450">
                  <c:v>1087.1084720747569</c:v>
                </c:pt>
                <c:pt idx="451">
                  <c:v>1078.2461486894654</c:v>
                </c:pt>
                <c:pt idx="452">
                  <c:v>1069.3180211248118</c:v>
                </c:pt>
                <c:pt idx="453">
                  <c:v>1060.3245828424265</c:v>
                </c:pt>
                <c:pt idx="454">
                  <c:v>1051.266328278462</c:v>
                </c:pt>
                <c:pt idx="455">
                  <c:v>1042.1437527687342</c:v>
                </c:pt>
                <c:pt idx="456">
                  <c:v>1032.957352474406</c:v>
                </c:pt>
                <c:pt idx="457">
                  <c:v>1023.7076243082297</c:v>
                </c:pt>
                <c:pt idx="458">
                  <c:v>1014.3950658613678</c:v>
                </c:pt>
                <c:pt idx="459">
                  <c:v>1005.0201753308068</c:v>
                </c:pt>
                <c:pt idx="460">
                  <c:v>995.58345144738064</c:v>
                </c:pt>
                <c:pt idx="461">
                  <c:v>986.0853934044211</c:v>
                </c:pt>
                <c:pt idx="462">
                  <c:v>976.52650078704767</c:v>
                </c:pt>
                <c:pt idx="463">
                  <c:v>966.90727350211409</c:v>
                </c:pt>
                <c:pt idx="464">
                  <c:v>957.2282117088248</c:v>
                </c:pt>
                <c:pt idx="465">
                  <c:v>947.48981575003415</c:v>
                </c:pt>
                <c:pt idx="466">
                  <c:v>937.69258608424354</c:v>
                </c:pt>
                <c:pt idx="467">
                  <c:v>927.83702321830742</c:v>
                </c:pt>
                <c:pt idx="468">
                  <c:v>917.92362764086158</c:v>
                </c:pt>
                <c:pt idx="469">
                  <c:v>907.9528997564845</c:v>
                </c:pt>
                <c:pt idx="470">
                  <c:v>897.92533982060422</c:v>
                </c:pt>
                <c:pt idx="471">
                  <c:v>887.84144787516038</c:v>
                </c:pt>
                <c:pt idx="472">
                  <c:v>877.70172368503222</c:v>
                </c:pt>
                <c:pt idx="473">
                  <c:v>867.50666667524229</c:v>
                </c:pt>
                <c:pt idx="474">
                  <c:v>857.25677586894551</c:v>
                </c:pt>
                <c:pt idx="475">
                  <c:v>846.95254982621179</c:v>
                </c:pt>
                <c:pt idx="476">
                  <c:v>836.59448658361146</c:v>
                </c:pt>
                <c:pt idx="477">
                  <c:v>826.18308359461025</c:v>
                </c:pt>
                <c:pt idx="478">
                  <c:v>815.71883767078236</c:v>
                </c:pt>
                <c:pt idx="479">
                  <c:v>805.20224492384864</c:v>
                </c:pt>
                <c:pt idx="480">
                  <c:v>794.6338007085451</c:v>
                </c:pt>
                <c:pt idx="481">
                  <c:v>784.01399956632963</c:v>
                </c:pt>
                <c:pt idx="482">
                  <c:v>773.34333516993149</c:v>
                </c:pt>
                <c:pt idx="483">
                  <c:v>762.62230026874863</c:v>
                </c:pt>
                <c:pt idx="484">
                  <c:v>751.85138663509883</c:v>
                </c:pt>
                <c:pt idx="485">
                  <c:v>741.0310850113276</c:v>
                </c:pt>
                <c:pt idx="486">
                  <c:v>730.16188505777745</c:v>
                </c:pt>
                <c:pt idx="487">
                  <c:v>719.24427530162257</c:v>
                </c:pt>
                <c:pt idx="488">
                  <c:v>708.27874308657067</c:v>
                </c:pt>
                <c:pt idx="489">
                  <c:v>697.26577452343622</c:v>
                </c:pt>
                <c:pt idx="490">
                  <c:v>686.20585444158587</c:v>
                </c:pt>
                <c:pt idx="491">
                  <c:v>675.09946634125959</c:v>
                </c:pt>
                <c:pt idx="492">
                  <c:v>663.94709234676748</c:v>
                </c:pt>
                <c:pt idx="493">
                  <c:v>652.74921316056452</c:v>
                </c:pt>
                <c:pt idx="494">
                  <c:v>641.50630801820341</c:v>
                </c:pt>
                <c:pt idx="495">
                  <c:v>630.21885464416641</c:v>
                </c:pt>
                <c:pt idx="496">
                  <c:v>618.88732920857524</c:v>
                </c:pt>
                <c:pt idx="497">
                  <c:v>607.51220628478018</c:v>
                </c:pt>
                <c:pt idx="498">
                  <c:v>596.09395880782654</c:v>
                </c:pt>
                <c:pt idx="499">
                  <c:v>584.63305803379797</c:v>
                </c:pt>
                <c:pt idx="500">
                  <c:v>573.12997350003502</c:v>
                </c:pt>
                <c:pt idx="501">
                  <c:v>561.58517298622758</c:v>
                </c:pt>
                <c:pt idx="502">
                  <c:v>549.99912247637928</c:v>
                </c:pt>
                <c:pt idx="503">
                  <c:v>538.37228612164131</c:v>
                </c:pt>
                <c:pt idx="504">
                  <c:v>526.70512620401269</c:v>
                </c:pt>
                <c:pt idx="505">
                  <c:v>514.99810310090527</c:v>
                </c:pt>
                <c:pt idx="506">
                  <c:v>503.25167525056901</c:v>
                </c:pt>
                <c:pt idx="507">
                  <c:v>491.46629911837505</c:v>
                </c:pt>
                <c:pt idx="508">
                  <c:v>479.64242916395199</c:v>
                </c:pt>
                <c:pt idx="509">
                  <c:v>467.78051780917218</c:v>
                </c:pt>
                <c:pt idx="510">
                  <c:v>455.88101540698301</c:v>
                </c:pt>
                <c:pt idx="511">
                  <c:v>443.9443702110795</c:v>
                </c:pt>
                <c:pt idx="512">
                  <c:v>431.97102834641248</c:v>
                </c:pt>
                <c:pt idx="513">
                  <c:v>419.9614337805283</c:v>
                </c:pt>
                <c:pt idx="514">
                  <c:v>407.91602829573418</c:v>
                </c:pt>
                <c:pt idx="515">
                  <c:v>395.83525146208387</c:v>
                </c:pt>
                <c:pt idx="516">
                  <c:v>383.71954061117839</c:v>
                </c:pt>
                <c:pt idx="517">
                  <c:v>371.56933081077528</c:v>
                </c:pt>
                <c:pt idx="518">
                  <c:v>359.38505484020078</c:v>
                </c:pt>
                <c:pt idx="519">
                  <c:v>347.16714316655856</c:v>
                </c:pt>
                <c:pt idx="520">
                  <c:v>334.91602392172854</c:v>
                </c:pt>
                <c:pt idx="521">
                  <c:v>322.63212288014881</c:v>
                </c:pt>
                <c:pt idx="522">
                  <c:v>310.31586343737473</c:v>
                </c:pt>
                <c:pt idx="523">
                  <c:v>297.96766658940697</c:v>
                </c:pt>
                <c:pt idx="524">
                  <c:v>285.58795091278262</c:v>
                </c:pt>
                <c:pt idx="525">
                  <c:v>273.1771325454211</c:v>
                </c:pt>
                <c:pt idx="526">
                  <c:v>260.73562516821806</c:v>
                </c:pt>
                <c:pt idx="527">
                  <c:v>248.26383998737938</c:v>
                </c:pt>
                <c:pt idx="528">
                  <c:v>235.7621857174876</c:v>
                </c:pt>
                <c:pt idx="529">
                  <c:v>223.23106856529313</c:v>
                </c:pt>
                <c:pt idx="530">
                  <c:v>210.67089221422214</c:v>
                </c:pt>
                <c:pt idx="531">
                  <c:v>198.08205780959295</c:v>
                </c:pt>
                <c:pt idx="532">
                  <c:v>185.46496394453311</c:v>
                </c:pt>
                <c:pt idx="533">
                  <c:v>172.82000664658847</c:v>
                </c:pt>
                <c:pt idx="534">
                  <c:v>160.14757936501633</c:v>
                </c:pt>
                <c:pt idx="535">
                  <c:v>147.44807295875384</c:v>
                </c:pt>
                <c:pt idx="536">
                  <c:v>134.72187568505322</c:v>
                </c:pt>
                <c:pt idx="537">
                  <c:v>121.96937318877546</c:v>
                </c:pt>
                <c:pt idx="538">
                  <c:v>109.19094849233339</c:v>
                </c:pt>
                <c:pt idx="539">
                  <c:v>96.386981986275714</c:v>
                </c:pt>
                <c:pt idx="540">
                  <c:v>83.55785142050307</c:v>
                </c:pt>
                <c:pt idx="541">
                  <c:v>70.703931896107321</c:v>
                </c:pt>
                <c:pt idx="542">
                  <c:v>57.825595857825071</c:v>
                </c:pt>
                <c:pt idx="543">
                  <c:v>44.923213087096606</c:v>
                </c:pt>
                <c:pt idx="544">
                  <c:v>31.997150695721189</c:v>
                </c:pt>
                <c:pt idx="545">
                  <c:v>19.047773120099716</c:v>
                </c:pt>
                <c:pt idx="546">
                  <c:v>6.0754421160557044</c:v>
                </c:pt>
                <c:pt idx="547">
                  <c:v>-6.9194832457744635</c:v>
                </c:pt>
                <c:pt idx="548">
                  <c:v>-6.9324893899136759</c:v>
                </c:pt>
                <c:pt idx="549">
                  <c:v>-6.9454955561131708</c:v>
                </c:pt>
                <c:pt idx="550">
                  <c:v>-6.9585017443725965</c:v>
                </c:pt>
                <c:pt idx="551">
                  <c:v>-6.9715079546916021</c:v>
                </c:pt>
                <c:pt idx="552">
                  <c:v>-6.9845141870698351</c:v>
                </c:pt>
                <c:pt idx="553">
                  <c:v>-6.9975204415069445</c:v>
                </c:pt>
                <c:pt idx="554">
                  <c:v>-7.0105267180025779</c:v>
                </c:pt>
                <c:pt idx="555">
                  <c:v>-7.0235330165563843</c:v>
                </c:pt>
                <c:pt idx="556">
                  <c:v>-7.0365393371680121</c:v>
                </c:pt>
                <c:pt idx="557">
                  <c:v>-7.0495456798371094</c:v>
                </c:pt>
                <c:pt idx="558">
                  <c:v>-7.0625520445633247</c:v>
                </c:pt>
                <c:pt idx="559">
                  <c:v>-7.0755584313463071</c:v>
                </c:pt>
                <c:pt idx="560">
                  <c:v>-7.088564840185704</c:v>
                </c:pt>
                <c:pt idx="561">
                  <c:v>-7.1015712710811636</c:v>
                </c:pt>
                <c:pt idx="562">
                  <c:v>-7.1145777240323351</c:v>
                </c:pt>
                <c:pt idx="563">
                  <c:v>-7.1275841990388669</c:v>
                </c:pt>
                <c:pt idx="564">
                  <c:v>-7.1405906961004071</c:v>
                </c:pt>
                <c:pt idx="565">
                  <c:v>-7.1535972152166041</c:v>
                </c:pt>
                <c:pt idx="566">
                  <c:v>-7.1666037563871061</c:v>
                </c:pt>
                <c:pt idx="567">
                  <c:v>-7.1796103196115624</c:v>
                </c:pt>
                <c:pt idx="568">
                  <c:v>-7.1926169048896202</c:v>
                </c:pt>
                <c:pt idx="569">
                  <c:v>-7.2056235122209289</c:v>
                </c:pt>
                <c:pt idx="570">
                  <c:v>-7.2186301416051366</c:v>
                </c:pt>
                <c:pt idx="571">
                  <c:v>-7.2316367930418908</c:v>
                </c:pt>
                <c:pt idx="572">
                  <c:v>-7.2446434665308415</c:v>
                </c:pt>
                <c:pt idx="573">
                  <c:v>-7.257650162071636</c:v>
                </c:pt>
                <c:pt idx="574">
                  <c:v>-7.2706568796639228</c:v>
                </c:pt>
                <c:pt idx="575">
                  <c:v>-7.283663619307351</c:v>
                </c:pt>
                <c:pt idx="576">
                  <c:v>-7.2966703810015687</c:v>
                </c:pt>
                <c:pt idx="577">
                  <c:v>-7.3096771647462244</c:v>
                </c:pt>
                <c:pt idx="578">
                  <c:v>-7.3226839705409663</c:v>
                </c:pt>
                <c:pt idx="579">
                  <c:v>-7.3356907983854427</c:v>
                </c:pt>
                <c:pt idx="580">
                  <c:v>-7.3486976482793027</c:v>
                </c:pt>
                <c:pt idx="581">
                  <c:v>-7.3617045202221947</c:v>
                </c:pt>
                <c:pt idx="582">
                  <c:v>-7.3747114142137669</c:v>
                </c:pt>
                <c:pt idx="583">
                  <c:v>-7.3877183302536675</c:v>
                </c:pt>
                <c:pt idx="584">
                  <c:v>-7.400725268341545</c:v>
                </c:pt>
                <c:pt idx="585">
                  <c:v>-7.4137322284770484</c:v>
                </c:pt>
                <c:pt idx="586">
                  <c:v>-7.4267392106598251</c:v>
                </c:pt>
                <c:pt idx="587">
                  <c:v>-7.4397462148895244</c:v>
                </c:pt>
                <c:pt idx="588">
                  <c:v>-7.4527532411657944</c:v>
                </c:pt>
                <c:pt idx="589">
                  <c:v>-7.4657602894882844</c:v>
                </c:pt>
                <c:pt idx="590">
                  <c:v>-7.4787673598566418</c:v>
                </c:pt>
                <c:pt idx="591">
                  <c:v>-7.4917744522705156</c:v>
                </c:pt>
                <c:pt idx="592">
                  <c:v>-7.5047815667295543</c:v>
                </c:pt>
                <c:pt idx="593">
                  <c:v>-7.5177887032334061</c:v>
                </c:pt>
                <c:pt idx="594">
                  <c:v>-7.5307958617817201</c:v>
                </c:pt>
                <c:pt idx="595">
                  <c:v>-7.5438030423741447</c:v>
                </c:pt>
                <c:pt idx="596">
                  <c:v>-7.5568102450103272</c:v>
                </c:pt>
                <c:pt idx="597">
                  <c:v>-7.5698174696899176</c:v>
                </c:pt>
                <c:pt idx="598">
                  <c:v>-7.5828247164125635</c:v>
                </c:pt>
                <c:pt idx="599">
                  <c:v>-7.5958319851779139</c:v>
                </c:pt>
                <c:pt idx="600">
                  <c:v>-7.6088392759856172</c:v>
                </c:pt>
                <c:pt idx="601">
                  <c:v>-7.6218465888353215</c:v>
                </c:pt>
                <c:pt idx="602">
                  <c:v>-7.6348539237266753</c:v>
                </c:pt>
                <c:pt idx="603">
                  <c:v>-7.6478612806593276</c:v>
                </c:pt>
                <c:pt idx="604">
                  <c:v>-7.6608686596329267</c:v>
                </c:pt>
                <c:pt idx="605">
                  <c:v>-7.673876060647121</c:v>
                </c:pt>
                <c:pt idx="606">
                  <c:v>-7.6868834837015587</c:v>
                </c:pt>
                <c:pt idx="607">
                  <c:v>-7.699890928795889</c:v>
                </c:pt>
                <c:pt idx="608">
                  <c:v>-7.7128983959297601</c:v>
                </c:pt>
                <c:pt idx="609">
                  <c:v>-7.7259058851028204</c:v>
                </c:pt>
                <c:pt idx="610">
                  <c:v>-7.738913396314719</c:v>
                </c:pt>
                <c:pt idx="611">
                  <c:v>-7.7519209295651041</c:v>
                </c:pt>
                <c:pt idx="612">
                  <c:v>-7.7649284848536242</c:v>
                </c:pt>
                <c:pt idx="613">
                  <c:v>-7.7779360621799274</c:v>
                </c:pt>
                <c:pt idx="614">
                  <c:v>-7.7909436615436629</c:v>
                </c:pt>
                <c:pt idx="615">
                  <c:v>-7.803951282944479</c:v>
                </c:pt>
                <c:pt idx="616">
                  <c:v>-7.8169589263820241</c:v>
                </c:pt>
                <c:pt idx="617">
                  <c:v>-7.8299665918559462</c:v>
                </c:pt>
                <c:pt idx="618">
                  <c:v>-7.8429742793658948</c:v>
                </c:pt>
                <c:pt idx="619">
                  <c:v>-7.8559819889115179</c:v>
                </c:pt>
                <c:pt idx="620">
                  <c:v>-7.8689897204924648</c:v>
                </c:pt>
                <c:pt idx="621">
                  <c:v>-7.8819974741083838</c:v>
                </c:pt>
                <c:pt idx="622">
                  <c:v>-7.8950052497589231</c:v>
                </c:pt>
                <c:pt idx="623">
                  <c:v>-7.9080130474437311</c:v>
                </c:pt>
                <c:pt idx="624">
                  <c:v>-7.9210208671624569</c:v>
                </c:pt>
                <c:pt idx="625">
                  <c:v>-7.9340287089147488</c:v>
                </c:pt>
                <c:pt idx="626">
                  <c:v>-7.947036572700255</c:v>
                </c:pt>
                <c:pt idx="627">
                  <c:v>-7.9600444585186247</c:v>
                </c:pt>
                <c:pt idx="628">
                  <c:v>-7.9730523663695063</c:v>
                </c:pt>
                <c:pt idx="629">
                  <c:v>-7.986060296252548</c:v>
                </c:pt>
                <c:pt idx="630">
                  <c:v>-7.9990682481673989</c:v>
                </c:pt>
                <c:pt idx="631">
                  <c:v>-8.0120762221137074</c:v>
                </c:pt>
                <c:pt idx="632">
                  <c:v>-8.0250842180911217</c:v>
                </c:pt>
                <c:pt idx="633">
                  <c:v>-8.0380922360992901</c:v>
                </c:pt>
                <c:pt idx="634">
                  <c:v>-8.0511002761378627</c:v>
                </c:pt>
                <c:pt idx="635">
                  <c:v>-8.0641083382064878</c:v>
                </c:pt>
                <c:pt idx="636">
                  <c:v>-8.0771164223048117</c:v>
                </c:pt>
                <c:pt idx="637">
                  <c:v>-8.0901245284324865</c:v>
                </c:pt>
                <c:pt idx="638">
                  <c:v>-8.1031326565891586</c:v>
                </c:pt>
                <c:pt idx="639">
                  <c:v>-8.1161408067744762</c:v>
                </c:pt>
                <c:pt idx="640">
                  <c:v>-8.1291489789880895</c:v>
                </c:pt>
                <c:pt idx="641">
                  <c:v>-8.1421571732296467</c:v>
                </c:pt>
                <c:pt idx="642">
                  <c:v>-8.1551653894987961</c:v>
                </c:pt>
                <c:pt idx="643">
                  <c:v>-8.168173627795186</c:v>
                </c:pt>
                <c:pt idx="644">
                  <c:v>-8.1811818881184646</c:v>
                </c:pt>
                <c:pt idx="645">
                  <c:v>-8.194190170468282</c:v>
                </c:pt>
                <c:pt idx="646">
                  <c:v>-8.2071984748442848</c:v>
                </c:pt>
                <c:pt idx="647">
                  <c:v>-8.2202068012461229</c:v>
                </c:pt>
                <c:pt idx="648">
                  <c:v>-8.2332151496734447</c:v>
                </c:pt>
                <c:pt idx="649">
                  <c:v>-8.2462235201259002</c:v>
                </c:pt>
                <c:pt idx="650">
                  <c:v>-8.2592319126031359</c:v>
                </c:pt>
                <c:pt idx="651">
                  <c:v>-8.2722403271048019</c:v>
                </c:pt>
                <c:pt idx="652">
                  <c:v>-8.2852487636305465</c:v>
                </c:pt>
                <c:pt idx="653">
                  <c:v>-8.2982572221800179</c:v>
                </c:pt>
                <c:pt idx="654">
                  <c:v>-8.3112657027528645</c:v>
                </c:pt>
                <c:pt idx="655">
                  <c:v>-8.3242742053487362</c:v>
                </c:pt>
                <c:pt idx="656">
                  <c:v>-8.3372827299672814</c:v>
                </c:pt>
                <c:pt idx="657">
                  <c:v>-8.3502912766081465</c:v>
                </c:pt>
                <c:pt idx="658">
                  <c:v>-8.3632998452709835</c:v>
                </c:pt>
                <c:pt idx="659">
                  <c:v>-8.3763084359554387</c:v>
                </c:pt>
                <c:pt idx="660">
                  <c:v>-8.3893170486611623</c:v>
                </c:pt>
                <c:pt idx="661">
                  <c:v>-8.4023256833878008</c:v>
                </c:pt>
                <c:pt idx="662">
                  <c:v>-8.4153343401350043</c:v>
                </c:pt>
                <c:pt idx="663">
                  <c:v>-8.4283430189024227</c:v>
                </c:pt>
                <c:pt idx="664">
                  <c:v>-8.4413517196897025</c:v>
                </c:pt>
                <c:pt idx="665">
                  <c:v>-8.454360442496494</c:v>
                </c:pt>
                <c:pt idx="666">
                  <c:v>-8.4673691873224453</c:v>
                </c:pt>
                <c:pt idx="667">
                  <c:v>-8.4803779541672046</c:v>
                </c:pt>
                <c:pt idx="668">
                  <c:v>-8.4933867430304204</c:v>
                </c:pt>
                <c:pt idx="669">
                  <c:v>-8.5063955539117426</c:v>
                </c:pt>
                <c:pt idx="670">
                  <c:v>-8.5194043868108178</c:v>
                </c:pt>
                <c:pt idx="671">
                  <c:v>-8.532413241727296</c:v>
                </c:pt>
                <c:pt idx="672">
                  <c:v>-8.5454221186608272</c:v>
                </c:pt>
                <c:pt idx="673">
                  <c:v>-8.5584310176110581</c:v>
                </c:pt>
                <c:pt idx="674">
                  <c:v>-8.5714399385776385</c:v>
                </c:pt>
                <c:pt idx="675">
                  <c:v>-8.5844488815602169</c:v>
                </c:pt>
                <c:pt idx="676">
                  <c:v>-8.5974578465584415</c:v>
                </c:pt>
                <c:pt idx="677">
                  <c:v>-8.6104668335719605</c:v>
                </c:pt>
                <c:pt idx="678">
                  <c:v>-8.6234758426004241</c:v>
                </c:pt>
                <c:pt idx="679">
                  <c:v>-8.6364848736434805</c:v>
                </c:pt>
                <c:pt idx="680">
                  <c:v>-8.649493926700778</c:v>
                </c:pt>
                <c:pt idx="681">
                  <c:v>-8.6625030017719666</c:v>
                </c:pt>
                <c:pt idx="682">
                  <c:v>-8.6755120988566929</c:v>
                </c:pt>
                <c:pt idx="683">
                  <c:v>-8.688521217954607</c:v>
                </c:pt>
                <c:pt idx="684">
                  <c:v>-8.701530359065357</c:v>
                </c:pt>
                <c:pt idx="685">
                  <c:v>-8.7145395221885931</c:v>
                </c:pt>
                <c:pt idx="686">
                  <c:v>-8.7275487073239617</c:v>
                </c:pt>
                <c:pt idx="687">
                  <c:v>-8.740557914471113</c:v>
                </c:pt>
                <c:pt idx="688">
                  <c:v>-8.7535671436296951</c:v>
                </c:pt>
                <c:pt idx="689">
                  <c:v>-8.7665763947993582</c:v>
                </c:pt>
                <c:pt idx="690">
                  <c:v>-8.7795856679797488</c:v>
                </c:pt>
                <c:pt idx="691">
                  <c:v>-8.7925949631705169</c:v>
                </c:pt>
                <c:pt idx="692">
                  <c:v>-8.8056042803713126</c:v>
                </c:pt>
                <c:pt idx="693">
                  <c:v>-8.8186136195817824</c:v>
                </c:pt>
                <c:pt idx="694">
                  <c:v>-8.8316229808015763</c:v>
                </c:pt>
                <c:pt idx="695">
                  <c:v>-8.8446323640303426</c:v>
                </c:pt>
                <c:pt idx="696">
                  <c:v>-8.8576417692677296</c:v>
                </c:pt>
                <c:pt idx="697">
                  <c:v>-8.8706511965133856</c:v>
                </c:pt>
                <c:pt idx="698">
                  <c:v>-8.8836606457669607</c:v>
                </c:pt>
                <c:pt idx="699">
                  <c:v>-8.8966701170281031</c:v>
                </c:pt>
                <c:pt idx="700">
                  <c:v>-8.9096796102964628</c:v>
                </c:pt>
                <c:pt idx="701">
                  <c:v>-8.9226891255716865</c:v>
                </c:pt>
                <c:pt idx="702">
                  <c:v>-8.9356986628534241</c:v>
                </c:pt>
                <c:pt idx="703">
                  <c:v>-8.9487082221413239</c:v>
                </c:pt>
                <c:pt idx="704">
                  <c:v>-8.961717803435036</c:v>
                </c:pt>
                <c:pt idx="705">
                  <c:v>-8.9747274067342069</c:v>
                </c:pt>
                <c:pt idx="706">
                  <c:v>-8.9877370320384866</c:v>
                </c:pt>
                <c:pt idx="707">
                  <c:v>-9.0007466793475253</c:v>
                </c:pt>
                <c:pt idx="708">
                  <c:v>-9.0137563486609693</c:v>
                </c:pt>
                <c:pt idx="709">
                  <c:v>-9.0267660399784688</c:v>
                </c:pt>
                <c:pt idx="710">
                  <c:v>-9.0397757532996721</c:v>
                </c:pt>
                <c:pt idx="711">
                  <c:v>-9.0527854886242292</c:v>
                </c:pt>
                <c:pt idx="712">
                  <c:v>-9.0657952459517883</c:v>
                </c:pt>
                <c:pt idx="713">
                  <c:v>-9.0788050252819978</c:v>
                </c:pt>
                <c:pt idx="714">
                  <c:v>-9.091814826614506</c:v>
                </c:pt>
                <c:pt idx="715">
                  <c:v>-9.1048246499489611</c:v>
                </c:pt>
                <c:pt idx="716">
                  <c:v>-9.1178344952850132</c:v>
                </c:pt>
                <c:pt idx="717">
                  <c:v>-9.1308443626223124</c:v>
                </c:pt>
                <c:pt idx="718">
                  <c:v>-9.1438542519605051</c:v>
                </c:pt>
                <c:pt idx="719">
                  <c:v>-9.1568641632992414</c:v>
                </c:pt>
                <c:pt idx="720">
                  <c:v>-9.1698740966381695</c:v>
                </c:pt>
                <c:pt idx="721">
                  <c:v>-9.1828840519769379</c:v>
                </c:pt>
                <c:pt idx="722">
                  <c:v>-9.1958940293151965</c:v>
                </c:pt>
                <c:pt idx="723">
                  <c:v>-9.2089040286525936</c:v>
                </c:pt>
                <c:pt idx="724">
                  <c:v>-9.2219140499887793</c:v>
                </c:pt>
                <c:pt idx="725">
                  <c:v>-9.2349240933234</c:v>
                </c:pt>
                <c:pt idx="726">
                  <c:v>-9.2479341586561059</c:v>
                </c:pt>
                <c:pt idx="727">
                  <c:v>-9.2609442459865452</c:v>
                </c:pt>
                <c:pt idx="728">
                  <c:v>-9.273954355314368</c:v>
                </c:pt>
                <c:pt idx="729">
                  <c:v>-9.2869644866392225</c:v>
                </c:pt>
                <c:pt idx="730">
                  <c:v>-9.299974639960757</c:v>
                </c:pt>
                <c:pt idx="731">
                  <c:v>-9.3129848152786217</c:v>
                </c:pt>
                <c:pt idx="732">
                  <c:v>-9.3259950125924647</c:v>
                </c:pt>
                <c:pt idx="733">
                  <c:v>-9.3390052319019343</c:v>
                </c:pt>
                <c:pt idx="734">
                  <c:v>-9.3520154732066789</c:v>
                </c:pt>
                <c:pt idx="735">
                  <c:v>-9.3650257365063485</c:v>
                </c:pt>
                <c:pt idx="736">
                  <c:v>-9.3780360218005914</c:v>
                </c:pt>
                <c:pt idx="737">
                  <c:v>-9.3910463290890576</c:v>
                </c:pt>
                <c:pt idx="738">
                  <c:v>-9.4040566583713954</c:v>
                </c:pt>
                <c:pt idx="739">
                  <c:v>-9.4170670096472531</c:v>
                </c:pt>
                <c:pt idx="740">
                  <c:v>-9.4300773829162789</c:v>
                </c:pt>
                <c:pt idx="741">
                  <c:v>-9.4430877781781231</c:v>
                </c:pt>
                <c:pt idx="742">
                  <c:v>-9.4560981954324337</c:v>
                </c:pt>
                <c:pt idx="743">
                  <c:v>-9.4691086346788609</c:v>
                </c:pt>
                <c:pt idx="744">
                  <c:v>-9.4821190959170529</c:v>
                </c:pt>
                <c:pt idx="745">
                  <c:v>-9.4951295791466581</c:v>
                </c:pt>
                <c:pt idx="746">
                  <c:v>-9.5081400843673247</c:v>
                </c:pt>
                <c:pt idx="747">
                  <c:v>-9.5211506115787028</c:v>
                </c:pt>
                <c:pt idx="748">
                  <c:v>-9.5341611607804406</c:v>
                </c:pt>
                <c:pt idx="749">
                  <c:v>-9.5471717319721883</c:v>
                </c:pt>
                <c:pt idx="750">
                  <c:v>-9.560182325153594</c:v>
                </c:pt>
                <c:pt idx="751">
                  <c:v>-9.5731929403243061</c:v>
                </c:pt>
                <c:pt idx="752">
                  <c:v>-9.5862035774839747</c:v>
                </c:pt>
                <c:pt idx="753">
                  <c:v>-9.5992142366322479</c:v>
                </c:pt>
                <c:pt idx="754">
                  <c:v>-9.6122249177687742</c:v>
                </c:pt>
                <c:pt idx="755">
                  <c:v>-9.6252356208932035</c:v>
                </c:pt>
                <c:pt idx="756">
                  <c:v>-9.6382463460051842</c:v>
                </c:pt>
                <c:pt idx="757">
                  <c:v>-9.6512570931043644</c:v>
                </c:pt>
                <c:pt idx="758">
                  <c:v>-9.6642678621903944</c:v>
                </c:pt>
                <c:pt idx="759">
                  <c:v>-9.6772786532629222</c:v>
                </c:pt>
                <c:pt idx="760">
                  <c:v>-9.6902894663215982</c:v>
                </c:pt>
                <c:pt idx="761">
                  <c:v>-9.7033003013660686</c:v>
                </c:pt>
                <c:pt idx="762">
                  <c:v>-9.7163111583959854</c:v>
                </c:pt>
                <c:pt idx="763">
                  <c:v>-9.729322037410995</c:v>
                </c:pt>
                <c:pt idx="764">
                  <c:v>-9.7423329384107475</c:v>
                </c:pt>
                <c:pt idx="765">
                  <c:v>-9.7553438613948913</c:v>
                </c:pt>
                <c:pt idx="766">
                  <c:v>-9.7683548063630763</c:v>
                </c:pt>
                <c:pt idx="767">
                  <c:v>-9.7813657733149508</c:v>
                </c:pt>
                <c:pt idx="768">
                  <c:v>-9.794376762250165</c:v>
                </c:pt>
                <c:pt idx="769">
                  <c:v>-9.8073877731683652</c:v>
                </c:pt>
                <c:pt idx="770">
                  <c:v>-9.8203988060692033</c:v>
                </c:pt>
                <c:pt idx="771">
                  <c:v>-9.8334098609523259</c:v>
                </c:pt>
                <c:pt idx="772">
                  <c:v>-9.846420937817383</c:v>
                </c:pt>
                <c:pt idx="773">
                  <c:v>-9.8594320366640247</c:v>
                </c:pt>
                <c:pt idx="774">
                  <c:v>-9.8724431574918974</c:v>
                </c:pt>
                <c:pt idx="775">
                  <c:v>-9.8854543003006512</c:v>
                </c:pt>
                <c:pt idx="776">
                  <c:v>-9.8984654650899362</c:v>
                </c:pt>
                <c:pt idx="777">
                  <c:v>-9.9114766518594006</c:v>
                </c:pt>
                <c:pt idx="778">
                  <c:v>-9.9244878606086928</c:v>
                </c:pt>
                <c:pt idx="779">
                  <c:v>-9.9374990913374628</c:v>
                </c:pt>
                <c:pt idx="780">
                  <c:v>-9.9505103440453588</c:v>
                </c:pt>
                <c:pt idx="781">
                  <c:v>-9.9635216187320292</c:v>
                </c:pt>
                <c:pt idx="782">
                  <c:v>-9.9765329153971241</c:v>
                </c:pt>
                <c:pt idx="783">
                  <c:v>-9.9895442340402916</c:v>
                </c:pt>
                <c:pt idx="784">
                  <c:v>-10.002555574661182</c:v>
                </c:pt>
                <c:pt idx="785">
                  <c:v>-10.015566937259443</c:v>
                </c:pt>
                <c:pt idx="786">
                  <c:v>-10.028578321834724</c:v>
                </c:pt>
                <c:pt idx="787">
                  <c:v>-10.041589728386674</c:v>
                </c:pt>
                <c:pt idx="788">
                  <c:v>-10.054601156914943</c:v>
                </c:pt>
                <c:pt idx="789">
                  <c:v>-10.067612607419179</c:v>
                </c:pt>
                <c:pt idx="790">
                  <c:v>-10.08062407989903</c:v>
                </c:pt>
                <c:pt idx="791">
                  <c:v>-10.093635574354147</c:v>
                </c:pt>
                <c:pt idx="792">
                  <c:v>-10.106647090784179</c:v>
                </c:pt>
                <c:pt idx="793">
                  <c:v>-10.119658629188773</c:v>
                </c:pt>
                <c:pt idx="794">
                  <c:v>-10.13267018956758</c:v>
                </c:pt>
                <c:pt idx="795">
                  <c:v>-10.145681771920248</c:v>
                </c:pt>
                <c:pt idx="796">
                  <c:v>-10.158693376246426</c:v>
                </c:pt>
                <c:pt idx="797">
                  <c:v>-10.171705002545762</c:v>
                </c:pt>
                <c:pt idx="798">
                  <c:v>-10.184716650817908</c:v>
                </c:pt>
                <c:pt idx="799">
                  <c:v>-10.197728321062511</c:v>
                </c:pt>
                <c:pt idx="800">
                  <c:v>-10.210740013279221</c:v>
                </c:pt>
                <c:pt idx="801">
                  <c:v>-10.223751727467686</c:v>
                </c:pt>
                <c:pt idx="802">
                  <c:v>-10.236763463627556</c:v>
                </c:pt>
                <c:pt idx="803">
                  <c:v>-10.249775221758478</c:v>
                </c:pt>
                <c:pt idx="804">
                  <c:v>-10.262787001860103</c:v>
                </c:pt>
                <c:pt idx="805">
                  <c:v>-10.27579880393208</c:v>
                </c:pt>
                <c:pt idx="806">
                  <c:v>-10.288810627974057</c:v>
                </c:pt>
                <c:pt idx="807">
                  <c:v>-10.301822473985684</c:v>
                </c:pt>
                <c:pt idx="808">
                  <c:v>-10.314834341966609</c:v>
                </c:pt>
                <c:pt idx="809">
                  <c:v>-10.327846231916482</c:v>
                </c:pt>
                <c:pt idx="810">
                  <c:v>-10.340858143834952</c:v>
                </c:pt>
                <c:pt idx="811">
                  <c:v>-10.353870077721668</c:v>
                </c:pt>
                <c:pt idx="812">
                  <c:v>-10.366882033576278</c:v>
                </c:pt>
                <c:pt idx="813">
                  <c:v>-10.379894011398433</c:v>
                </c:pt>
                <c:pt idx="814">
                  <c:v>-10.392906011187781</c:v>
                </c:pt>
                <c:pt idx="815">
                  <c:v>-10.405918032943971</c:v>
                </c:pt>
                <c:pt idx="816">
                  <c:v>-10.418930076666653</c:v>
                </c:pt>
                <c:pt idx="817">
                  <c:v>-10.431942142355474</c:v>
                </c:pt>
                <c:pt idx="818">
                  <c:v>-10.444954230010085</c:v>
                </c:pt>
                <c:pt idx="819">
                  <c:v>-10.457966339630135</c:v>
                </c:pt>
                <c:pt idx="820">
                  <c:v>-10.470978471215272</c:v>
                </c:pt>
                <c:pt idx="821">
                  <c:v>-10.483990624765147</c:v>
                </c:pt>
                <c:pt idx="822">
                  <c:v>-10.497002800279407</c:v>
                </c:pt>
                <c:pt idx="823">
                  <c:v>-10.510014997757702</c:v>
                </c:pt>
                <c:pt idx="824">
                  <c:v>-10.523027217199681</c:v>
                </c:pt>
                <c:pt idx="825">
                  <c:v>-10.536039458604993</c:v>
                </c:pt>
                <c:pt idx="826">
                  <c:v>-10.549051721973287</c:v>
                </c:pt>
                <c:pt idx="827">
                  <c:v>-10.562064007304212</c:v>
                </c:pt>
                <c:pt idx="828">
                  <c:v>-10.575076314597418</c:v>
                </c:pt>
                <c:pt idx="829">
                  <c:v>-10.588088643852553</c:v>
                </c:pt>
                <c:pt idx="830">
                  <c:v>-10.601100995069267</c:v>
                </c:pt>
                <c:pt idx="831">
                  <c:v>-10.614113368247208</c:v>
                </c:pt>
                <c:pt idx="832">
                  <c:v>-10.627125763386026</c:v>
                </c:pt>
                <c:pt idx="833">
                  <c:v>-10.640138180485369</c:v>
                </c:pt>
                <c:pt idx="834">
                  <c:v>-10.653150619544888</c:v>
                </c:pt>
                <c:pt idx="835">
                  <c:v>-10.666163080564232</c:v>
                </c:pt>
                <c:pt idx="836">
                  <c:v>-10.679175563543049</c:v>
                </c:pt>
                <c:pt idx="837">
                  <c:v>-10.692188068480988</c:v>
                </c:pt>
                <c:pt idx="838">
                  <c:v>-10.705200595377699</c:v>
                </c:pt>
                <c:pt idx="839">
                  <c:v>-10.718213144232831</c:v>
                </c:pt>
                <c:pt idx="840">
                  <c:v>-10.731225715046032</c:v>
                </c:pt>
                <c:pt idx="841">
                  <c:v>-10.744238307816952</c:v>
                </c:pt>
                <c:pt idx="842">
                  <c:v>-10.757250922545241</c:v>
                </c:pt>
                <c:pt idx="843">
                  <c:v>-10.770263559230546</c:v>
                </c:pt>
                <c:pt idx="844">
                  <c:v>-10.783276217872519</c:v>
                </c:pt>
                <c:pt idx="845">
                  <c:v>-10.796288898470808</c:v>
                </c:pt>
                <c:pt idx="846">
                  <c:v>-10.80930160102506</c:v>
                </c:pt>
                <c:pt idx="847">
                  <c:v>-10.822314325534927</c:v>
                </c:pt>
                <c:pt idx="848">
                  <c:v>-10.835327072000057</c:v>
                </c:pt>
                <c:pt idx="849">
                  <c:v>-10.848339840420099</c:v>
                </c:pt>
                <c:pt idx="850">
                  <c:v>-10.861352630794702</c:v>
                </c:pt>
                <c:pt idx="851">
                  <c:v>-10.874365443123516</c:v>
                </c:pt>
                <c:pt idx="852">
                  <c:v>-10.88737827740619</c:v>
                </c:pt>
                <c:pt idx="853">
                  <c:v>-10.900391133642373</c:v>
                </c:pt>
                <c:pt idx="854">
                  <c:v>-10.913404011831714</c:v>
                </c:pt>
                <c:pt idx="855">
                  <c:v>-10.926416911973863</c:v>
                </c:pt>
                <c:pt idx="856">
                  <c:v>-10.939429834068468</c:v>
                </c:pt>
                <c:pt idx="857">
                  <c:v>-10.952442778115179</c:v>
                </c:pt>
                <c:pt idx="858">
                  <c:v>-10.965455744113644</c:v>
                </c:pt>
                <c:pt idx="859">
                  <c:v>-10.978468732063513</c:v>
                </c:pt>
                <c:pt idx="860">
                  <c:v>-10.991481741964437</c:v>
                </c:pt>
                <c:pt idx="861">
                  <c:v>-11.004494773816061</c:v>
                </c:pt>
                <c:pt idx="862">
                  <c:v>-11.017507827618038</c:v>
                </c:pt>
                <c:pt idx="863">
                  <c:v>-11.030520903370016</c:v>
                </c:pt>
                <c:pt idx="864">
                  <c:v>-11.043534001071643</c:v>
                </c:pt>
                <c:pt idx="865">
                  <c:v>-11.05654712072257</c:v>
                </c:pt>
                <c:pt idx="866">
                  <c:v>-11.069560262322446</c:v>
                </c:pt>
                <c:pt idx="867">
                  <c:v>-11.082573425870919</c:v>
                </c:pt>
                <c:pt idx="868">
                  <c:v>-11.095586611367638</c:v>
                </c:pt>
                <c:pt idx="869">
                  <c:v>-11.108599818812255</c:v>
                </c:pt>
                <c:pt idx="870">
                  <c:v>-11.121613048204416</c:v>
                </c:pt>
                <c:pt idx="871">
                  <c:v>-11.134626299543772</c:v>
                </c:pt>
                <c:pt idx="872">
                  <c:v>-11.147639572829972</c:v>
                </c:pt>
                <c:pt idx="873">
                  <c:v>-11.160652868062664</c:v>
                </c:pt>
                <c:pt idx="874">
                  <c:v>-11.173666185241499</c:v>
                </c:pt>
                <c:pt idx="875">
                  <c:v>-11.186679524366125</c:v>
                </c:pt>
                <c:pt idx="876">
                  <c:v>-11.199692885436193</c:v>
                </c:pt>
                <c:pt idx="877">
                  <c:v>-11.212706268451349</c:v>
                </c:pt>
                <c:pt idx="878">
                  <c:v>-11.225719673411245</c:v>
                </c:pt>
                <c:pt idx="879">
                  <c:v>-11.23873310031553</c:v>
                </c:pt>
                <c:pt idx="880">
                  <c:v>-11.251746549163853</c:v>
                </c:pt>
                <c:pt idx="881">
                  <c:v>-11.264760019955862</c:v>
                </c:pt>
                <c:pt idx="882">
                  <c:v>-11.277773512691207</c:v>
                </c:pt>
                <c:pt idx="883">
                  <c:v>-11.290787027369538</c:v>
                </c:pt>
                <c:pt idx="884">
                  <c:v>-11.303800563990503</c:v>
                </c:pt>
                <c:pt idx="885">
                  <c:v>-11.316814122553753</c:v>
                </c:pt>
                <c:pt idx="886">
                  <c:v>-11.329827703058935</c:v>
                </c:pt>
                <c:pt idx="887">
                  <c:v>-11.342841305505701</c:v>
                </c:pt>
                <c:pt idx="888">
                  <c:v>-11.355854929893699</c:v>
                </c:pt>
                <c:pt idx="889">
                  <c:v>-11.368868576222576</c:v>
                </c:pt>
                <c:pt idx="890">
                  <c:v>-11.381882244491985</c:v>
                </c:pt>
                <c:pt idx="891">
                  <c:v>-11.394895934701573</c:v>
                </c:pt>
                <c:pt idx="892">
                  <c:v>-11.407909646850991</c:v>
                </c:pt>
                <c:pt idx="893">
                  <c:v>-11.420923380939886</c:v>
                </c:pt>
                <c:pt idx="894">
                  <c:v>-11.433937136967909</c:v>
                </c:pt>
                <c:pt idx="895">
                  <c:v>-11.446950914934709</c:v>
                </c:pt>
                <c:pt idx="896">
                  <c:v>-11.459964714839934</c:v>
                </c:pt>
                <c:pt idx="897">
                  <c:v>-11.472978536683234</c:v>
                </c:pt>
                <c:pt idx="898">
                  <c:v>-11.485992380464259</c:v>
                </c:pt>
                <c:pt idx="899">
                  <c:v>-11.499006246182658</c:v>
                </c:pt>
                <c:pt idx="900">
                  <c:v>-11.51202013383808</c:v>
                </c:pt>
                <c:pt idx="901">
                  <c:v>-11.525034043430175</c:v>
                </c:pt>
                <c:pt idx="902">
                  <c:v>-11.538047974958591</c:v>
                </c:pt>
                <c:pt idx="903">
                  <c:v>-11.551061928422978</c:v>
                </c:pt>
                <c:pt idx="904">
                  <c:v>-11.564075903822987</c:v>
                </c:pt>
                <c:pt idx="905">
                  <c:v>-11.577089901158265</c:v>
                </c:pt>
                <c:pt idx="906">
                  <c:v>-11.590103920428461</c:v>
                </c:pt>
                <c:pt idx="907">
                  <c:v>-11.603117961633227</c:v>
                </c:pt>
                <c:pt idx="908">
                  <c:v>-11.61613202477221</c:v>
                </c:pt>
                <c:pt idx="909">
                  <c:v>-11.62914610984506</c:v>
                </c:pt>
                <c:pt idx="910">
                  <c:v>-11.642160216851426</c:v>
                </c:pt>
                <c:pt idx="911">
                  <c:v>-11.655174345790957</c:v>
                </c:pt>
                <c:pt idx="912">
                  <c:v>-11.668188496663305</c:v>
                </c:pt>
                <c:pt idx="913">
                  <c:v>-11.681202669468115</c:v>
                </c:pt>
                <c:pt idx="914">
                  <c:v>-11.694216864205041</c:v>
                </c:pt>
                <c:pt idx="915">
                  <c:v>-11.707231080873729</c:v>
                </c:pt>
                <c:pt idx="916">
                  <c:v>-11.720245319473829</c:v>
                </c:pt>
                <c:pt idx="917">
                  <c:v>-11.733259580004992</c:v>
                </c:pt>
                <c:pt idx="918">
                  <c:v>-11.746273862466865</c:v>
                </c:pt>
                <c:pt idx="919">
                  <c:v>-11.759288166859099</c:v>
                </c:pt>
                <c:pt idx="920">
                  <c:v>-11.772302493181343</c:v>
                </c:pt>
                <c:pt idx="921">
                  <c:v>-11.785316841433245</c:v>
                </c:pt>
                <c:pt idx="922">
                  <c:v>-11.798331211614455</c:v>
                </c:pt>
                <c:pt idx="923">
                  <c:v>-11.811345603724623</c:v>
                </c:pt>
                <c:pt idx="924">
                  <c:v>-11.8243600177634</c:v>
                </c:pt>
                <c:pt idx="925">
                  <c:v>-11.837374453730433</c:v>
                </c:pt>
                <c:pt idx="926">
                  <c:v>-11.850388911625371</c:v>
                </c:pt>
                <c:pt idx="927">
                  <c:v>-11.863403391447866</c:v>
                </c:pt>
                <c:pt idx="928">
                  <c:v>-11.876417893197564</c:v>
                </c:pt>
                <c:pt idx="929">
                  <c:v>-11.889432416874117</c:v>
                </c:pt>
                <c:pt idx="930">
                  <c:v>-11.902446962477173</c:v>
                </c:pt>
                <c:pt idx="931">
                  <c:v>-11.915461530006382</c:v>
                </c:pt>
                <c:pt idx="932">
                  <c:v>-11.928476119461394</c:v>
                </c:pt>
                <c:pt idx="933">
                  <c:v>-11.941490730841856</c:v>
                </c:pt>
                <c:pt idx="934">
                  <c:v>-11.954505364147421</c:v>
                </c:pt>
                <c:pt idx="935">
                  <c:v>-11.967520019377735</c:v>
                </c:pt>
                <c:pt idx="936">
                  <c:v>-11.98053469653245</c:v>
                </c:pt>
                <c:pt idx="937">
                  <c:v>-11.993549395611213</c:v>
                </c:pt>
                <c:pt idx="938">
                  <c:v>-12.006564116613674</c:v>
                </c:pt>
                <c:pt idx="939">
                  <c:v>-12.019578859539484</c:v>
                </c:pt>
                <c:pt idx="940">
                  <c:v>-12.032593624388291</c:v>
                </c:pt>
                <c:pt idx="941">
                  <c:v>-12.045608411159744</c:v>
                </c:pt>
                <c:pt idx="942">
                  <c:v>-12.058623219853494</c:v>
                </c:pt>
                <c:pt idx="943">
                  <c:v>-12.07163805046919</c:v>
                </c:pt>
                <c:pt idx="944">
                  <c:v>-12.08465290300648</c:v>
                </c:pt>
                <c:pt idx="945">
                  <c:v>-12.097667777465016</c:v>
                </c:pt>
                <c:pt idx="946">
                  <c:v>-12.110682673844446</c:v>
                </c:pt>
                <c:pt idx="947">
                  <c:v>-12.123697592144419</c:v>
                </c:pt>
                <c:pt idx="948">
                  <c:v>-12.136712532364584</c:v>
                </c:pt>
                <c:pt idx="949">
                  <c:v>-12.149727494504591</c:v>
                </c:pt>
                <c:pt idx="950">
                  <c:v>-12.162742478564089</c:v>
                </c:pt>
                <c:pt idx="951">
                  <c:v>-12.17575748454273</c:v>
                </c:pt>
                <c:pt idx="952">
                  <c:v>-12.188772512440162</c:v>
                </c:pt>
                <c:pt idx="953">
                  <c:v>-12.201787562256031</c:v>
                </c:pt>
                <c:pt idx="954">
                  <c:v>-12.214802633989992</c:v>
                </c:pt>
                <c:pt idx="955">
                  <c:v>-12.227817727641691</c:v>
                </c:pt>
                <c:pt idx="956">
                  <c:v>-12.240832843210779</c:v>
                </c:pt>
                <c:pt idx="957">
                  <c:v>-12.253847980696904</c:v>
                </c:pt>
                <c:pt idx="958">
                  <c:v>-12.266863140099716</c:v>
                </c:pt>
                <c:pt idx="959">
                  <c:v>-12.279878321418865</c:v>
                </c:pt>
                <c:pt idx="960">
                  <c:v>-12.292893524654</c:v>
                </c:pt>
                <c:pt idx="961">
                  <c:v>-12.30590874980477</c:v>
                </c:pt>
                <c:pt idx="962">
                  <c:v>-12.318923996870826</c:v>
                </c:pt>
                <c:pt idx="963">
                  <c:v>-12.331939265851815</c:v>
                </c:pt>
                <c:pt idx="964">
                  <c:v>-12.344954556747389</c:v>
                </c:pt>
                <c:pt idx="965">
                  <c:v>-12.357969869557197</c:v>
                </c:pt>
                <c:pt idx="966">
                  <c:v>-12.370985204280887</c:v>
                </c:pt>
                <c:pt idx="967">
                  <c:v>-12.384000560918109</c:v>
                </c:pt>
                <c:pt idx="968">
                  <c:v>-12.397015939468513</c:v>
                </c:pt>
                <c:pt idx="969">
                  <c:v>-12.410031339931749</c:v>
                </c:pt>
                <c:pt idx="970">
                  <c:v>-12.423046762307465</c:v>
                </c:pt>
                <c:pt idx="971">
                  <c:v>-12.436062206595311</c:v>
                </c:pt>
                <c:pt idx="972">
                  <c:v>-12.449077672794939</c:v>
                </c:pt>
                <c:pt idx="973">
                  <c:v>-12.462093160905996</c:v>
                </c:pt>
                <c:pt idx="974">
                  <c:v>-12.475108670928131</c:v>
                </c:pt>
                <c:pt idx="975">
                  <c:v>-12.488124202860995</c:v>
                </c:pt>
                <c:pt idx="976">
                  <c:v>-12.501139756704235</c:v>
                </c:pt>
                <c:pt idx="977">
                  <c:v>-12.514155332457504</c:v>
                </c:pt>
                <c:pt idx="978">
                  <c:v>-12.52717093012045</c:v>
                </c:pt>
                <c:pt idx="979">
                  <c:v>-12.540186549692722</c:v>
                </c:pt>
                <c:pt idx="980">
                  <c:v>-12.55320219117397</c:v>
                </c:pt>
                <c:pt idx="981">
                  <c:v>-12.566217854563844</c:v>
                </c:pt>
                <c:pt idx="982">
                  <c:v>-12.579233539861992</c:v>
                </c:pt>
                <c:pt idx="983">
                  <c:v>-12.592249247068064</c:v>
                </c:pt>
                <c:pt idx="984">
                  <c:v>-12.605264976181711</c:v>
                </c:pt>
                <c:pt idx="985">
                  <c:v>-12.618280727202581</c:v>
                </c:pt>
                <c:pt idx="986">
                  <c:v>-12.631296500130324</c:v>
                </c:pt>
                <c:pt idx="987">
                  <c:v>-12.644312294964589</c:v>
                </c:pt>
                <c:pt idx="988">
                  <c:v>-12.657328111705027</c:v>
                </c:pt>
                <c:pt idx="989">
                  <c:v>-12.670343950351286</c:v>
                </c:pt>
                <c:pt idx="990">
                  <c:v>-12.683359810903017</c:v>
                </c:pt>
                <c:pt idx="991">
                  <c:v>-12.696375693359869</c:v>
                </c:pt>
                <c:pt idx="992">
                  <c:v>-12.70939159772149</c:v>
                </c:pt>
                <c:pt idx="993">
                  <c:v>-12.722407523987531</c:v>
                </c:pt>
                <c:pt idx="994">
                  <c:v>-12.735423472157642</c:v>
                </c:pt>
                <c:pt idx="995">
                  <c:v>-12.748439442231472</c:v>
                </c:pt>
                <c:pt idx="996">
                  <c:v>-12.761455434208671</c:v>
                </c:pt>
                <c:pt idx="997">
                  <c:v>-12.774471448088887</c:v>
                </c:pt>
                <c:pt idx="998">
                  <c:v>-12.78748748387177</c:v>
                </c:pt>
                <c:pt idx="999">
                  <c:v>-12.800503541556971</c:v>
                </c:pt>
                <c:pt idx="1000">
                  <c:v>-12.813519621144138</c:v>
                </c:pt>
              </c:numCache>
            </c:numRef>
          </c:yVal>
          <c:smooth val="1"/>
          <c:extLst>
            <c:ext xmlns:c16="http://schemas.microsoft.com/office/drawing/2014/chart" uri="{C3380CC4-5D6E-409C-BE32-E72D297353CC}">
              <c16:uniqueId val="{00000001-4C7F-469F-ADED-1B0B28F452E1}"/>
            </c:ext>
          </c:extLst>
        </c:ser>
        <c:ser>
          <c:idx val="1"/>
          <c:order val="2"/>
          <c:tx>
            <c:strRef>
              <c:f>Trajecto!$B$108</c:f>
              <c:strCache>
                <c:ptCount val="1"/>
                <c:pt idx="0">
                  <c:v>Descente balistique</c:v>
                </c:pt>
              </c:strCache>
            </c:strRef>
          </c:tx>
          <c:spPr>
            <a:ln w="12700">
              <a:solidFill>
                <a:srgbClr val="808080"/>
              </a:solidFill>
              <a:prstDash val="sysDash"/>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2.1000000000000014</c:v>
                </c:pt>
                <c:pt idx="202">
                  <c:v>2.2000000000000015</c:v>
                </c:pt>
                <c:pt idx="203">
                  <c:v>2.3000000000000016</c:v>
                </c:pt>
                <c:pt idx="204">
                  <c:v>2.4000000000000017</c:v>
                </c:pt>
                <c:pt idx="205">
                  <c:v>2.5000000000000018</c:v>
                </c:pt>
                <c:pt idx="206">
                  <c:v>2.6000000000000019</c:v>
                </c:pt>
                <c:pt idx="207">
                  <c:v>2.700000000000002</c:v>
                </c:pt>
                <c:pt idx="208">
                  <c:v>2.800000000000002</c:v>
                </c:pt>
                <c:pt idx="209">
                  <c:v>2.9000000000000021</c:v>
                </c:pt>
                <c:pt idx="210">
                  <c:v>3.0000000000000022</c:v>
                </c:pt>
                <c:pt idx="211">
                  <c:v>3.1000000000000023</c:v>
                </c:pt>
                <c:pt idx="212">
                  <c:v>3.2000000000000024</c:v>
                </c:pt>
                <c:pt idx="213">
                  <c:v>3.3000000000000025</c:v>
                </c:pt>
                <c:pt idx="214">
                  <c:v>3.4000000000000026</c:v>
                </c:pt>
                <c:pt idx="215">
                  <c:v>3.5000000000000027</c:v>
                </c:pt>
                <c:pt idx="216">
                  <c:v>3.6000000000000028</c:v>
                </c:pt>
                <c:pt idx="217">
                  <c:v>3.7000000000000028</c:v>
                </c:pt>
                <c:pt idx="218">
                  <c:v>3.8000000000000029</c:v>
                </c:pt>
                <c:pt idx="219">
                  <c:v>3.900000000000003</c:v>
                </c:pt>
                <c:pt idx="220">
                  <c:v>4.0000000000000027</c:v>
                </c:pt>
                <c:pt idx="221">
                  <c:v>4.1000000000000023</c:v>
                </c:pt>
                <c:pt idx="222">
                  <c:v>4.200000000000002</c:v>
                </c:pt>
                <c:pt idx="223">
                  <c:v>4.3000000000000016</c:v>
                </c:pt>
                <c:pt idx="224">
                  <c:v>4.4000000000000012</c:v>
                </c:pt>
                <c:pt idx="225">
                  <c:v>4.5000000000000009</c:v>
                </c:pt>
                <c:pt idx="226">
                  <c:v>4.6000000000000005</c:v>
                </c:pt>
                <c:pt idx="227">
                  <c:v>4.7</c:v>
                </c:pt>
                <c:pt idx="228">
                  <c:v>4.8</c:v>
                </c:pt>
                <c:pt idx="229">
                  <c:v>4.8999999999999995</c:v>
                </c:pt>
                <c:pt idx="230">
                  <c:v>4.9999999999999991</c:v>
                </c:pt>
                <c:pt idx="231">
                  <c:v>5.0999999999999988</c:v>
                </c:pt>
                <c:pt idx="232">
                  <c:v>5.1999999999999984</c:v>
                </c:pt>
                <c:pt idx="233">
                  <c:v>5.299999999999998</c:v>
                </c:pt>
                <c:pt idx="234">
                  <c:v>5.3999999999999977</c:v>
                </c:pt>
                <c:pt idx="235">
                  <c:v>5.4999999999999973</c:v>
                </c:pt>
                <c:pt idx="236">
                  <c:v>5.599999999999997</c:v>
                </c:pt>
                <c:pt idx="237">
                  <c:v>5.6999999999999966</c:v>
                </c:pt>
                <c:pt idx="238">
                  <c:v>5.7999999999999963</c:v>
                </c:pt>
                <c:pt idx="239">
                  <c:v>5.8999999999999959</c:v>
                </c:pt>
                <c:pt idx="240">
                  <c:v>5.9999999999999956</c:v>
                </c:pt>
                <c:pt idx="241">
                  <c:v>6.0999999999999952</c:v>
                </c:pt>
                <c:pt idx="242">
                  <c:v>6.1999999999999948</c:v>
                </c:pt>
                <c:pt idx="243">
                  <c:v>6.2999999999999945</c:v>
                </c:pt>
                <c:pt idx="244">
                  <c:v>6.3999999999999941</c:v>
                </c:pt>
                <c:pt idx="245">
                  <c:v>6.4999999999999938</c:v>
                </c:pt>
                <c:pt idx="246">
                  <c:v>6.5999999999999934</c:v>
                </c:pt>
                <c:pt idx="247">
                  <c:v>6.6999999999999931</c:v>
                </c:pt>
                <c:pt idx="248">
                  <c:v>6.7999999999999927</c:v>
                </c:pt>
                <c:pt idx="249">
                  <c:v>6.8999999999999924</c:v>
                </c:pt>
                <c:pt idx="250">
                  <c:v>6.999999999999992</c:v>
                </c:pt>
                <c:pt idx="251">
                  <c:v>7.0999999999999917</c:v>
                </c:pt>
                <c:pt idx="252">
                  <c:v>7.1999999999999913</c:v>
                </c:pt>
                <c:pt idx="253">
                  <c:v>7.2999999999999909</c:v>
                </c:pt>
                <c:pt idx="254">
                  <c:v>7.3999999999999906</c:v>
                </c:pt>
                <c:pt idx="255">
                  <c:v>7.4999999999999902</c:v>
                </c:pt>
                <c:pt idx="256">
                  <c:v>7.5999999999999899</c:v>
                </c:pt>
                <c:pt idx="257">
                  <c:v>7.6999999999999895</c:v>
                </c:pt>
                <c:pt idx="258">
                  <c:v>7.7999999999999892</c:v>
                </c:pt>
                <c:pt idx="259">
                  <c:v>7.8999999999999888</c:v>
                </c:pt>
                <c:pt idx="260">
                  <c:v>7.9999999999999885</c:v>
                </c:pt>
                <c:pt idx="261">
                  <c:v>8.099999999999989</c:v>
                </c:pt>
                <c:pt idx="262">
                  <c:v>8.1999999999999886</c:v>
                </c:pt>
                <c:pt idx="263">
                  <c:v>8.2999999999999883</c:v>
                </c:pt>
                <c:pt idx="264">
                  <c:v>8.3999999999999879</c:v>
                </c:pt>
                <c:pt idx="265">
                  <c:v>8.4999999999999876</c:v>
                </c:pt>
                <c:pt idx="266">
                  <c:v>8.5999999999999872</c:v>
                </c:pt>
                <c:pt idx="267">
                  <c:v>8.6999999999999869</c:v>
                </c:pt>
                <c:pt idx="268">
                  <c:v>8.7999999999999865</c:v>
                </c:pt>
                <c:pt idx="269">
                  <c:v>8.8999999999999861</c:v>
                </c:pt>
                <c:pt idx="270">
                  <c:v>8.9999999999999858</c:v>
                </c:pt>
                <c:pt idx="271">
                  <c:v>9.0999999999999854</c:v>
                </c:pt>
                <c:pt idx="272">
                  <c:v>9.1999999999999851</c:v>
                </c:pt>
                <c:pt idx="273">
                  <c:v>9.2999999999999847</c:v>
                </c:pt>
                <c:pt idx="274">
                  <c:v>9.3999999999999844</c:v>
                </c:pt>
                <c:pt idx="275">
                  <c:v>9.499999999999984</c:v>
                </c:pt>
                <c:pt idx="276">
                  <c:v>9.5999999999999837</c:v>
                </c:pt>
                <c:pt idx="277">
                  <c:v>9.6999999999999833</c:v>
                </c:pt>
                <c:pt idx="278">
                  <c:v>9.7999999999999829</c:v>
                </c:pt>
                <c:pt idx="279">
                  <c:v>9.8999999999999826</c:v>
                </c:pt>
                <c:pt idx="280">
                  <c:v>9.9999999999999822</c:v>
                </c:pt>
                <c:pt idx="281">
                  <c:v>10.099999999999982</c:v>
                </c:pt>
                <c:pt idx="282">
                  <c:v>10.199999999999982</c:v>
                </c:pt>
                <c:pt idx="283">
                  <c:v>10.299999999999981</c:v>
                </c:pt>
                <c:pt idx="284">
                  <c:v>10.399999999999981</c:v>
                </c:pt>
                <c:pt idx="285">
                  <c:v>10.49999999999998</c:v>
                </c:pt>
                <c:pt idx="286">
                  <c:v>10.59999999999998</c:v>
                </c:pt>
                <c:pt idx="287">
                  <c:v>10.69999999999998</c:v>
                </c:pt>
                <c:pt idx="288">
                  <c:v>10.799999999999979</c:v>
                </c:pt>
                <c:pt idx="289">
                  <c:v>10.899999999999979</c:v>
                </c:pt>
                <c:pt idx="290">
                  <c:v>10.999999999999979</c:v>
                </c:pt>
                <c:pt idx="291">
                  <c:v>11.099999999999978</c:v>
                </c:pt>
                <c:pt idx="292">
                  <c:v>11.199999999999978</c:v>
                </c:pt>
                <c:pt idx="293">
                  <c:v>11.299999999999978</c:v>
                </c:pt>
                <c:pt idx="294">
                  <c:v>11.399999999999977</c:v>
                </c:pt>
                <c:pt idx="295">
                  <c:v>11.499999999999977</c:v>
                </c:pt>
                <c:pt idx="296">
                  <c:v>11.599999999999977</c:v>
                </c:pt>
                <c:pt idx="297">
                  <c:v>11.699999999999976</c:v>
                </c:pt>
                <c:pt idx="298">
                  <c:v>11.799999999999976</c:v>
                </c:pt>
                <c:pt idx="299">
                  <c:v>11.899999999999975</c:v>
                </c:pt>
                <c:pt idx="300">
                  <c:v>11.999999999999975</c:v>
                </c:pt>
                <c:pt idx="301">
                  <c:v>12.099999999999975</c:v>
                </c:pt>
                <c:pt idx="302">
                  <c:v>12.199999999999974</c:v>
                </c:pt>
                <c:pt idx="303">
                  <c:v>12.299999999999974</c:v>
                </c:pt>
                <c:pt idx="304">
                  <c:v>12.399999999999974</c:v>
                </c:pt>
                <c:pt idx="305">
                  <c:v>12.499999999999973</c:v>
                </c:pt>
                <c:pt idx="306">
                  <c:v>12.599999999999973</c:v>
                </c:pt>
                <c:pt idx="307">
                  <c:v>12.699999999999973</c:v>
                </c:pt>
                <c:pt idx="308">
                  <c:v>12.799999999999972</c:v>
                </c:pt>
                <c:pt idx="309">
                  <c:v>12.899999999999972</c:v>
                </c:pt>
                <c:pt idx="310">
                  <c:v>12.999999999999972</c:v>
                </c:pt>
                <c:pt idx="311">
                  <c:v>13.099999999999971</c:v>
                </c:pt>
                <c:pt idx="312">
                  <c:v>13.199999999999971</c:v>
                </c:pt>
                <c:pt idx="313">
                  <c:v>13.299999999999971</c:v>
                </c:pt>
                <c:pt idx="314">
                  <c:v>13.39999999999997</c:v>
                </c:pt>
                <c:pt idx="315">
                  <c:v>13.49999999999997</c:v>
                </c:pt>
                <c:pt idx="316">
                  <c:v>13.599999999999969</c:v>
                </c:pt>
                <c:pt idx="317">
                  <c:v>13.699999999999969</c:v>
                </c:pt>
                <c:pt idx="318">
                  <c:v>13.799999999999969</c:v>
                </c:pt>
                <c:pt idx="319">
                  <c:v>13.899999999999968</c:v>
                </c:pt>
                <c:pt idx="320">
                  <c:v>13.999999999999968</c:v>
                </c:pt>
                <c:pt idx="321">
                  <c:v>14.099999999999968</c:v>
                </c:pt>
                <c:pt idx="322">
                  <c:v>14.199999999999967</c:v>
                </c:pt>
                <c:pt idx="323">
                  <c:v>14.299999999999967</c:v>
                </c:pt>
                <c:pt idx="324">
                  <c:v>14.399999999999967</c:v>
                </c:pt>
                <c:pt idx="325">
                  <c:v>14.499999999999966</c:v>
                </c:pt>
                <c:pt idx="326">
                  <c:v>14.599999999999966</c:v>
                </c:pt>
                <c:pt idx="327">
                  <c:v>14.699999999999966</c:v>
                </c:pt>
                <c:pt idx="328">
                  <c:v>14.799999999999965</c:v>
                </c:pt>
                <c:pt idx="329">
                  <c:v>14.899999999999965</c:v>
                </c:pt>
                <c:pt idx="330">
                  <c:v>14.999999999999964</c:v>
                </c:pt>
                <c:pt idx="331">
                  <c:v>15.099999999999964</c:v>
                </c:pt>
                <c:pt idx="332">
                  <c:v>15.199999999999964</c:v>
                </c:pt>
                <c:pt idx="333">
                  <c:v>15.299999999999963</c:v>
                </c:pt>
                <c:pt idx="334">
                  <c:v>15.399999999999963</c:v>
                </c:pt>
                <c:pt idx="335">
                  <c:v>15.499999999999963</c:v>
                </c:pt>
                <c:pt idx="336">
                  <c:v>15.599999999999962</c:v>
                </c:pt>
                <c:pt idx="337">
                  <c:v>15.699999999999962</c:v>
                </c:pt>
                <c:pt idx="338">
                  <c:v>15.799999999999962</c:v>
                </c:pt>
                <c:pt idx="339">
                  <c:v>15.899999999999961</c:v>
                </c:pt>
                <c:pt idx="340">
                  <c:v>15.999999999999961</c:v>
                </c:pt>
                <c:pt idx="341">
                  <c:v>16.099999999999962</c:v>
                </c:pt>
                <c:pt idx="342">
                  <c:v>16.199999999999964</c:v>
                </c:pt>
                <c:pt idx="343">
                  <c:v>16.299999999999965</c:v>
                </c:pt>
                <c:pt idx="344">
                  <c:v>16.399999999999967</c:v>
                </c:pt>
                <c:pt idx="345">
                  <c:v>16.499999999999968</c:v>
                </c:pt>
                <c:pt idx="346">
                  <c:v>16.599999999999969</c:v>
                </c:pt>
                <c:pt idx="347">
                  <c:v>16.699999999999971</c:v>
                </c:pt>
                <c:pt idx="348">
                  <c:v>16.799999999999972</c:v>
                </c:pt>
                <c:pt idx="349">
                  <c:v>16.899999999999974</c:v>
                </c:pt>
                <c:pt idx="350">
                  <c:v>16.999999999999975</c:v>
                </c:pt>
                <c:pt idx="351">
                  <c:v>17.099999999999977</c:v>
                </c:pt>
                <c:pt idx="352">
                  <c:v>17.199999999999978</c:v>
                </c:pt>
                <c:pt idx="353">
                  <c:v>17.299999999999979</c:v>
                </c:pt>
                <c:pt idx="354">
                  <c:v>17.399999999999981</c:v>
                </c:pt>
                <c:pt idx="355">
                  <c:v>17.499999999999982</c:v>
                </c:pt>
                <c:pt idx="356">
                  <c:v>17.599999999999984</c:v>
                </c:pt>
                <c:pt idx="357">
                  <c:v>17.699999999999985</c:v>
                </c:pt>
                <c:pt idx="358">
                  <c:v>17.799999999999986</c:v>
                </c:pt>
                <c:pt idx="359">
                  <c:v>17.899999999999988</c:v>
                </c:pt>
                <c:pt idx="360">
                  <c:v>17.999999999999989</c:v>
                </c:pt>
                <c:pt idx="361">
                  <c:v>18.099999999999991</c:v>
                </c:pt>
                <c:pt idx="362">
                  <c:v>18.199999999999992</c:v>
                </c:pt>
                <c:pt idx="363">
                  <c:v>18.299999999999994</c:v>
                </c:pt>
                <c:pt idx="364">
                  <c:v>18.399999999999995</c:v>
                </c:pt>
                <c:pt idx="365">
                  <c:v>18.499999999999996</c:v>
                </c:pt>
                <c:pt idx="366">
                  <c:v>18.599999999999998</c:v>
                </c:pt>
                <c:pt idx="367">
                  <c:v>18.7</c:v>
                </c:pt>
                <c:pt idx="368">
                  <c:v>18.8</c:v>
                </c:pt>
                <c:pt idx="369">
                  <c:v>18.900000000000002</c:v>
                </c:pt>
                <c:pt idx="370">
                  <c:v>19.000000000000004</c:v>
                </c:pt>
                <c:pt idx="371">
                  <c:v>19.100000000000005</c:v>
                </c:pt>
                <c:pt idx="372">
                  <c:v>19.200000000000006</c:v>
                </c:pt>
                <c:pt idx="373">
                  <c:v>19.300000000000008</c:v>
                </c:pt>
                <c:pt idx="374">
                  <c:v>19.400000000000009</c:v>
                </c:pt>
                <c:pt idx="375">
                  <c:v>19.500000000000011</c:v>
                </c:pt>
                <c:pt idx="376">
                  <c:v>19.600000000000012</c:v>
                </c:pt>
                <c:pt idx="377">
                  <c:v>19.700000000000014</c:v>
                </c:pt>
                <c:pt idx="378">
                  <c:v>19.800000000000015</c:v>
                </c:pt>
                <c:pt idx="379">
                  <c:v>19.900000000000016</c:v>
                </c:pt>
                <c:pt idx="380">
                  <c:v>20.000000000000018</c:v>
                </c:pt>
                <c:pt idx="381">
                  <c:v>20.100000000000019</c:v>
                </c:pt>
                <c:pt idx="382">
                  <c:v>20.200000000000021</c:v>
                </c:pt>
                <c:pt idx="383">
                  <c:v>20.300000000000022</c:v>
                </c:pt>
                <c:pt idx="384">
                  <c:v>20.400000000000023</c:v>
                </c:pt>
                <c:pt idx="385">
                  <c:v>20.500000000000025</c:v>
                </c:pt>
                <c:pt idx="386">
                  <c:v>20.600000000000026</c:v>
                </c:pt>
                <c:pt idx="387">
                  <c:v>20.700000000000028</c:v>
                </c:pt>
                <c:pt idx="388">
                  <c:v>20.800000000000029</c:v>
                </c:pt>
                <c:pt idx="389">
                  <c:v>20.900000000000031</c:v>
                </c:pt>
                <c:pt idx="390">
                  <c:v>21.000000000000032</c:v>
                </c:pt>
                <c:pt idx="391">
                  <c:v>21.100000000000033</c:v>
                </c:pt>
                <c:pt idx="392">
                  <c:v>21.200000000000035</c:v>
                </c:pt>
                <c:pt idx="393">
                  <c:v>21.300000000000036</c:v>
                </c:pt>
                <c:pt idx="394">
                  <c:v>21.400000000000038</c:v>
                </c:pt>
                <c:pt idx="395">
                  <c:v>21.500000000000039</c:v>
                </c:pt>
                <c:pt idx="396">
                  <c:v>21.600000000000041</c:v>
                </c:pt>
                <c:pt idx="397">
                  <c:v>21.700000000000042</c:v>
                </c:pt>
                <c:pt idx="398">
                  <c:v>21.800000000000043</c:v>
                </c:pt>
                <c:pt idx="399">
                  <c:v>21.900000000000045</c:v>
                </c:pt>
                <c:pt idx="400">
                  <c:v>22.000000000000046</c:v>
                </c:pt>
                <c:pt idx="401">
                  <c:v>22.100000000000048</c:v>
                </c:pt>
                <c:pt idx="402">
                  <c:v>22.200000000000049</c:v>
                </c:pt>
                <c:pt idx="403">
                  <c:v>22.30000000000005</c:v>
                </c:pt>
                <c:pt idx="404">
                  <c:v>22.400000000000052</c:v>
                </c:pt>
                <c:pt idx="405">
                  <c:v>22.500000000000053</c:v>
                </c:pt>
                <c:pt idx="406">
                  <c:v>22.600000000000055</c:v>
                </c:pt>
                <c:pt idx="407">
                  <c:v>22.700000000000056</c:v>
                </c:pt>
                <c:pt idx="408">
                  <c:v>22.800000000000058</c:v>
                </c:pt>
                <c:pt idx="409">
                  <c:v>22.900000000000059</c:v>
                </c:pt>
                <c:pt idx="410">
                  <c:v>23.00000000000006</c:v>
                </c:pt>
                <c:pt idx="411">
                  <c:v>23.100000000000062</c:v>
                </c:pt>
                <c:pt idx="412">
                  <c:v>23.200000000000063</c:v>
                </c:pt>
                <c:pt idx="413">
                  <c:v>23.300000000000065</c:v>
                </c:pt>
                <c:pt idx="414">
                  <c:v>23.400000000000066</c:v>
                </c:pt>
                <c:pt idx="415">
                  <c:v>23.500000000000068</c:v>
                </c:pt>
                <c:pt idx="416">
                  <c:v>23.600000000000069</c:v>
                </c:pt>
                <c:pt idx="417">
                  <c:v>23.70000000000007</c:v>
                </c:pt>
                <c:pt idx="418">
                  <c:v>23.800000000000072</c:v>
                </c:pt>
                <c:pt idx="419">
                  <c:v>23.900000000000073</c:v>
                </c:pt>
                <c:pt idx="420">
                  <c:v>24.000000000000075</c:v>
                </c:pt>
                <c:pt idx="421">
                  <c:v>24.100000000000076</c:v>
                </c:pt>
                <c:pt idx="422">
                  <c:v>24.200000000000077</c:v>
                </c:pt>
                <c:pt idx="423">
                  <c:v>24.300000000000079</c:v>
                </c:pt>
                <c:pt idx="424">
                  <c:v>24.40000000000008</c:v>
                </c:pt>
                <c:pt idx="425">
                  <c:v>24.500000000000082</c:v>
                </c:pt>
                <c:pt idx="426">
                  <c:v>24.600000000000083</c:v>
                </c:pt>
                <c:pt idx="427">
                  <c:v>24.700000000000085</c:v>
                </c:pt>
                <c:pt idx="428">
                  <c:v>24.800000000000086</c:v>
                </c:pt>
                <c:pt idx="429">
                  <c:v>24.900000000000087</c:v>
                </c:pt>
                <c:pt idx="430">
                  <c:v>25.000000000000089</c:v>
                </c:pt>
                <c:pt idx="431">
                  <c:v>25.10000000000009</c:v>
                </c:pt>
                <c:pt idx="432">
                  <c:v>25.200000000000092</c:v>
                </c:pt>
                <c:pt idx="433">
                  <c:v>25.300000000000093</c:v>
                </c:pt>
                <c:pt idx="434">
                  <c:v>25.400000000000095</c:v>
                </c:pt>
                <c:pt idx="435">
                  <c:v>25.500000000000096</c:v>
                </c:pt>
                <c:pt idx="436">
                  <c:v>25.600000000000097</c:v>
                </c:pt>
                <c:pt idx="437">
                  <c:v>25.700000000000099</c:v>
                </c:pt>
                <c:pt idx="438">
                  <c:v>25.8000000000001</c:v>
                </c:pt>
                <c:pt idx="439">
                  <c:v>25.900000000000102</c:v>
                </c:pt>
                <c:pt idx="440">
                  <c:v>26.000000000000103</c:v>
                </c:pt>
                <c:pt idx="441">
                  <c:v>26.100000000000104</c:v>
                </c:pt>
                <c:pt idx="442">
                  <c:v>26.200000000000106</c:v>
                </c:pt>
                <c:pt idx="443">
                  <c:v>26.300000000000107</c:v>
                </c:pt>
                <c:pt idx="444">
                  <c:v>26.400000000000109</c:v>
                </c:pt>
                <c:pt idx="445">
                  <c:v>26.50000000000011</c:v>
                </c:pt>
                <c:pt idx="446">
                  <c:v>26.600000000000112</c:v>
                </c:pt>
                <c:pt idx="447">
                  <c:v>26.700000000000113</c:v>
                </c:pt>
                <c:pt idx="448">
                  <c:v>26.800000000000114</c:v>
                </c:pt>
                <c:pt idx="449">
                  <c:v>26.900000000000116</c:v>
                </c:pt>
                <c:pt idx="450">
                  <c:v>27.000000000000117</c:v>
                </c:pt>
                <c:pt idx="451">
                  <c:v>27.100000000000119</c:v>
                </c:pt>
                <c:pt idx="452">
                  <c:v>27.20000000000012</c:v>
                </c:pt>
                <c:pt idx="453">
                  <c:v>27.300000000000122</c:v>
                </c:pt>
                <c:pt idx="454">
                  <c:v>27.400000000000123</c:v>
                </c:pt>
                <c:pt idx="455">
                  <c:v>27.500000000000124</c:v>
                </c:pt>
                <c:pt idx="456">
                  <c:v>27.600000000000126</c:v>
                </c:pt>
                <c:pt idx="457">
                  <c:v>27.700000000000127</c:v>
                </c:pt>
                <c:pt idx="458">
                  <c:v>27.800000000000129</c:v>
                </c:pt>
                <c:pt idx="459">
                  <c:v>27.90000000000013</c:v>
                </c:pt>
                <c:pt idx="460">
                  <c:v>28.000000000000131</c:v>
                </c:pt>
                <c:pt idx="461">
                  <c:v>28.100000000000133</c:v>
                </c:pt>
                <c:pt idx="462">
                  <c:v>28.200000000000134</c:v>
                </c:pt>
                <c:pt idx="463">
                  <c:v>28.300000000000136</c:v>
                </c:pt>
                <c:pt idx="464">
                  <c:v>28.400000000000137</c:v>
                </c:pt>
                <c:pt idx="465">
                  <c:v>28.500000000000139</c:v>
                </c:pt>
                <c:pt idx="466">
                  <c:v>28.60000000000014</c:v>
                </c:pt>
                <c:pt idx="467">
                  <c:v>28.700000000000141</c:v>
                </c:pt>
                <c:pt idx="468">
                  <c:v>28.800000000000143</c:v>
                </c:pt>
                <c:pt idx="469">
                  <c:v>28.900000000000144</c:v>
                </c:pt>
                <c:pt idx="470">
                  <c:v>29.000000000000146</c:v>
                </c:pt>
                <c:pt idx="471">
                  <c:v>29.100000000000147</c:v>
                </c:pt>
                <c:pt idx="472">
                  <c:v>29.200000000000149</c:v>
                </c:pt>
                <c:pt idx="473">
                  <c:v>29.30000000000015</c:v>
                </c:pt>
                <c:pt idx="474">
                  <c:v>29.400000000000151</c:v>
                </c:pt>
                <c:pt idx="475">
                  <c:v>29.500000000000153</c:v>
                </c:pt>
                <c:pt idx="476">
                  <c:v>29.600000000000154</c:v>
                </c:pt>
                <c:pt idx="477">
                  <c:v>29.700000000000156</c:v>
                </c:pt>
                <c:pt idx="478">
                  <c:v>29.800000000000157</c:v>
                </c:pt>
                <c:pt idx="479">
                  <c:v>29.900000000000158</c:v>
                </c:pt>
                <c:pt idx="480">
                  <c:v>30.00000000000016</c:v>
                </c:pt>
                <c:pt idx="481">
                  <c:v>30.100000000000161</c:v>
                </c:pt>
                <c:pt idx="482">
                  <c:v>30.200000000000163</c:v>
                </c:pt>
                <c:pt idx="483">
                  <c:v>30.300000000000164</c:v>
                </c:pt>
                <c:pt idx="484">
                  <c:v>30.400000000000166</c:v>
                </c:pt>
                <c:pt idx="485">
                  <c:v>30.500000000000167</c:v>
                </c:pt>
                <c:pt idx="486">
                  <c:v>30.600000000000168</c:v>
                </c:pt>
                <c:pt idx="487">
                  <c:v>30.70000000000017</c:v>
                </c:pt>
                <c:pt idx="488">
                  <c:v>30.800000000000171</c:v>
                </c:pt>
                <c:pt idx="489">
                  <c:v>30.900000000000173</c:v>
                </c:pt>
                <c:pt idx="490">
                  <c:v>31.000000000000174</c:v>
                </c:pt>
                <c:pt idx="491">
                  <c:v>31.100000000000176</c:v>
                </c:pt>
                <c:pt idx="492">
                  <c:v>31.200000000000177</c:v>
                </c:pt>
                <c:pt idx="493">
                  <c:v>31.300000000000178</c:v>
                </c:pt>
                <c:pt idx="494">
                  <c:v>31.40000000000018</c:v>
                </c:pt>
                <c:pt idx="495">
                  <c:v>31.500000000000181</c:v>
                </c:pt>
                <c:pt idx="496">
                  <c:v>31.600000000000183</c:v>
                </c:pt>
                <c:pt idx="497">
                  <c:v>31.700000000000184</c:v>
                </c:pt>
                <c:pt idx="498">
                  <c:v>31.800000000000185</c:v>
                </c:pt>
                <c:pt idx="499">
                  <c:v>31.900000000000187</c:v>
                </c:pt>
                <c:pt idx="500">
                  <c:v>32.000000000000185</c:v>
                </c:pt>
                <c:pt idx="501">
                  <c:v>32.100000000000186</c:v>
                </c:pt>
                <c:pt idx="502">
                  <c:v>32.200000000000188</c:v>
                </c:pt>
                <c:pt idx="503">
                  <c:v>32.300000000000189</c:v>
                </c:pt>
                <c:pt idx="504">
                  <c:v>32.40000000000019</c:v>
                </c:pt>
                <c:pt idx="505">
                  <c:v>32.500000000000192</c:v>
                </c:pt>
                <c:pt idx="506">
                  <c:v>32.600000000000193</c:v>
                </c:pt>
                <c:pt idx="507">
                  <c:v>32.700000000000195</c:v>
                </c:pt>
                <c:pt idx="508">
                  <c:v>32.800000000000196</c:v>
                </c:pt>
                <c:pt idx="509">
                  <c:v>32.900000000000198</c:v>
                </c:pt>
                <c:pt idx="510">
                  <c:v>33.000000000000199</c:v>
                </c:pt>
                <c:pt idx="511">
                  <c:v>33.1000000000002</c:v>
                </c:pt>
                <c:pt idx="512">
                  <c:v>33.200000000000202</c:v>
                </c:pt>
                <c:pt idx="513">
                  <c:v>33.300000000000203</c:v>
                </c:pt>
                <c:pt idx="514">
                  <c:v>33.400000000000205</c:v>
                </c:pt>
                <c:pt idx="515">
                  <c:v>33.500000000000206</c:v>
                </c:pt>
                <c:pt idx="516">
                  <c:v>33.600000000000207</c:v>
                </c:pt>
                <c:pt idx="517">
                  <c:v>33.700000000000209</c:v>
                </c:pt>
                <c:pt idx="518">
                  <c:v>33.80000000000021</c:v>
                </c:pt>
                <c:pt idx="519">
                  <c:v>33.900000000000212</c:v>
                </c:pt>
                <c:pt idx="520">
                  <c:v>34.000000000000213</c:v>
                </c:pt>
                <c:pt idx="521">
                  <c:v>34.100000000000215</c:v>
                </c:pt>
                <c:pt idx="522">
                  <c:v>34.200000000000216</c:v>
                </c:pt>
                <c:pt idx="523">
                  <c:v>34.300000000000217</c:v>
                </c:pt>
                <c:pt idx="524">
                  <c:v>34.400000000000219</c:v>
                </c:pt>
                <c:pt idx="525">
                  <c:v>34.50000000000022</c:v>
                </c:pt>
                <c:pt idx="526">
                  <c:v>34.600000000000222</c:v>
                </c:pt>
                <c:pt idx="527">
                  <c:v>34.700000000000223</c:v>
                </c:pt>
                <c:pt idx="528">
                  <c:v>34.800000000000225</c:v>
                </c:pt>
                <c:pt idx="529">
                  <c:v>34.900000000000226</c:v>
                </c:pt>
                <c:pt idx="530">
                  <c:v>35.000000000000227</c:v>
                </c:pt>
                <c:pt idx="531">
                  <c:v>35.100000000000229</c:v>
                </c:pt>
                <c:pt idx="532">
                  <c:v>35.20000000000023</c:v>
                </c:pt>
                <c:pt idx="533">
                  <c:v>35.300000000000232</c:v>
                </c:pt>
                <c:pt idx="534">
                  <c:v>35.400000000000233</c:v>
                </c:pt>
                <c:pt idx="535">
                  <c:v>35.500000000000234</c:v>
                </c:pt>
                <c:pt idx="536">
                  <c:v>35.600000000000236</c:v>
                </c:pt>
                <c:pt idx="537">
                  <c:v>35.700000000000237</c:v>
                </c:pt>
                <c:pt idx="538">
                  <c:v>35.800000000000239</c:v>
                </c:pt>
                <c:pt idx="539">
                  <c:v>35.90000000000024</c:v>
                </c:pt>
                <c:pt idx="540">
                  <c:v>36.000000000000242</c:v>
                </c:pt>
                <c:pt idx="541">
                  <c:v>36.100000000000243</c:v>
                </c:pt>
                <c:pt idx="542">
                  <c:v>36.200000000000244</c:v>
                </c:pt>
                <c:pt idx="543">
                  <c:v>36.300000000000246</c:v>
                </c:pt>
                <c:pt idx="544">
                  <c:v>36.400000000000247</c:v>
                </c:pt>
                <c:pt idx="545">
                  <c:v>36.500000000000249</c:v>
                </c:pt>
                <c:pt idx="546">
                  <c:v>36.60000000000025</c:v>
                </c:pt>
                <c:pt idx="547">
                  <c:v>36.700000000000252</c:v>
                </c:pt>
                <c:pt idx="548">
                  <c:v>36.700100000000255</c:v>
                </c:pt>
                <c:pt idx="549">
                  <c:v>36.700200000000258</c:v>
                </c:pt>
                <c:pt idx="550">
                  <c:v>36.700300000000261</c:v>
                </c:pt>
                <c:pt idx="551">
                  <c:v>36.700400000000265</c:v>
                </c:pt>
                <c:pt idx="552">
                  <c:v>36.700500000000268</c:v>
                </c:pt>
                <c:pt idx="553">
                  <c:v>36.700600000000271</c:v>
                </c:pt>
                <c:pt idx="554">
                  <c:v>36.700700000000275</c:v>
                </c:pt>
                <c:pt idx="555">
                  <c:v>36.700800000000278</c:v>
                </c:pt>
                <c:pt idx="556">
                  <c:v>36.700900000000281</c:v>
                </c:pt>
                <c:pt idx="557">
                  <c:v>36.701000000000285</c:v>
                </c:pt>
                <c:pt idx="558">
                  <c:v>36.701100000000288</c:v>
                </c:pt>
                <c:pt idx="559">
                  <c:v>36.701200000000291</c:v>
                </c:pt>
                <c:pt idx="560">
                  <c:v>36.701300000000295</c:v>
                </c:pt>
                <c:pt idx="561">
                  <c:v>36.701400000000298</c:v>
                </c:pt>
                <c:pt idx="562">
                  <c:v>36.701500000000301</c:v>
                </c:pt>
                <c:pt idx="563">
                  <c:v>36.701600000000305</c:v>
                </c:pt>
                <c:pt idx="564">
                  <c:v>36.701700000000308</c:v>
                </c:pt>
                <c:pt idx="565">
                  <c:v>36.701800000000311</c:v>
                </c:pt>
                <c:pt idx="566">
                  <c:v>36.701900000000315</c:v>
                </c:pt>
                <c:pt idx="567">
                  <c:v>36.702000000000318</c:v>
                </c:pt>
                <c:pt idx="568">
                  <c:v>36.702100000000321</c:v>
                </c:pt>
                <c:pt idx="569">
                  <c:v>36.702200000000325</c:v>
                </c:pt>
                <c:pt idx="570">
                  <c:v>36.702300000000328</c:v>
                </c:pt>
                <c:pt idx="571">
                  <c:v>36.702400000000331</c:v>
                </c:pt>
                <c:pt idx="572">
                  <c:v>36.702500000000335</c:v>
                </c:pt>
                <c:pt idx="573">
                  <c:v>36.702600000000338</c:v>
                </c:pt>
                <c:pt idx="574">
                  <c:v>36.702700000000341</c:v>
                </c:pt>
                <c:pt idx="575">
                  <c:v>36.702800000000344</c:v>
                </c:pt>
                <c:pt idx="576">
                  <c:v>36.702900000000348</c:v>
                </c:pt>
                <c:pt idx="577">
                  <c:v>36.703000000000351</c:v>
                </c:pt>
                <c:pt idx="578">
                  <c:v>36.703100000000354</c:v>
                </c:pt>
                <c:pt idx="579">
                  <c:v>36.703200000000358</c:v>
                </c:pt>
                <c:pt idx="580">
                  <c:v>36.703300000000361</c:v>
                </c:pt>
                <c:pt idx="581">
                  <c:v>36.703400000000364</c:v>
                </c:pt>
                <c:pt idx="582">
                  <c:v>36.703500000000368</c:v>
                </c:pt>
                <c:pt idx="583">
                  <c:v>36.703600000000371</c:v>
                </c:pt>
                <c:pt idx="584">
                  <c:v>36.703700000000374</c:v>
                </c:pt>
                <c:pt idx="585">
                  <c:v>36.703800000000378</c:v>
                </c:pt>
                <c:pt idx="586">
                  <c:v>36.703900000000381</c:v>
                </c:pt>
                <c:pt idx="587">
                  <c:v>36.704000000000384</c:v>
                </c:pt>
                <c:pt idx="588">
                  <c:v>36.704100000000388</c:v>
                </c:pt>
                <c:pt idx="589">
                  <c:v>36.704200000000391</c:v>
                </c:pt>
                <c:pt idx="590">
                  <c:v>36.704300000000394</c:v>
                </c:pt>
                <c:pt idx="591">
                  <c:v>36.704400000000398</c:v>
                </c:pt>
                <c:pt idx="592">
                  <c:v>36.704500000000401</c:v>
                </c:pt>
                <c:pt idx="593">
                  <c:v>36.704600000000404</c:v>
                </c:pt>
                <c:pt idx="594">
                  <c:v>36.704700000000408</c:v>
                </c:pt>
                <c:pt idx="595">
                  <c:v>36.704800000000411</c:v>
                </c:pt>
                <c:pt idx="596">
                  <c:v>36.704900000000414</c:v>
                </c:pt>
                <c:pt idx="597">
                  <c:v>36.705000000000418</c:v>
                </c:pt>
                <c:pt idx="598">
                  <c:v>36.705100000000421</c:v>
                </c:pt>
                <c:pt idx="599">
                  <c:v>36.705200000000424</c:v>
                </c:pt>
                <c:pt idx="600">
                  <c:v>36.705300000000427</c:v>
                </c:pt>
                <c:pt idx="601">
                  <c:v>36.705400000000431</c:v>
                </c:pt>
                <c:pt idx="602">
                  <c:v>36.705500000000434</c:v>
                </c:pt>
                <c:pt idx="603">
                  <c:v>36.705600000000437</c:v>
                </c:pt>
                <c:pt idx="604">
                  <c:v>36.705700000000441</c:v>
                </c:pt>
                <c:pt idx="605">
                  <c:v>36.705800000000444</c:v>
                </c:pt>
                <c:pt idx="606">
                  <c:v>36.705900000000447</c:v>
                </c:pt>
                <c:pt idx="607">
                  <c:v>36.706000000000451</c:v>
                </c:pt>
                <c:pt idx="608">
                  <c:v>36.706100000000454</c:v>
                </c:pt>
                <c:pt idx="609">
                  <c:v>36.706200000000457</c:v>
                </c:pt>
                <c:pt idx="610">
                  <c:v>36.706300000000461</c:v>
                </c:pt>
                <c:pt idx="611">
                  <c:v>36.706400000000464</c:v>
                </c:pt>
                <c:pt idx="612">
                  <c:v>36.706500000000467</c:v>
                </c:pt>
                <c:pt idx="613">
                  <c:v>36.706600000000471</c:v>
                </c:pt>
                <c:pt idx="614">
                  <c:v>36.706700000000474</c:v>
                </c:pt>
                <c:pt idx="615">
                  <c:v>36.706800000000477</c:v>
                </c:pt>
                <c:pt idx="616">
                  <c:v>36.706900000000481</c:v>
                </c:pt>
                <c:pt idx="617">
                  <c:v>36.707000000000484</c:v>
                </c:pt>
                <c:pt idx="618">
                  <c:v>36.707100000000487</c:v>
                </c:pt>
                <c:pt idx="619">
                  <c:v>36.707200000000491</c:v>
                </c:pt>
                <c:pt idx="620">
                  <c:v>36.707300000000494</c:v>
                </c:pt>
                <c:pt idx="621">
                  <c:v>36.707400000000497</c:v>
                </c:pt>
                <c:pt idx="622">
                  <c:v>36.707500000000501</c:v>
                </c:pt>
                <c:pt idx="623">
                  <c:v>36.707600000000504</c:v>
                </c:pt>
                <c:pt idx="624">
                  <c:v>36.707700000000507</c:v>
                </c:pt>
                <c:pt idx="625">
                  <c:v>36.70780000000051</c:v>
                </c:pt>
                <c:pt idx="626">
                  <c:v>36.707900000000514</c:v>
                </c:pt>
                <c:pt idx="627">
                  <c:v>36.708000000000517</c:v>
                </c:pt>
                <c:pt idx="628">
                  <c:v>36.70810000000052</c:v>
                </c:pt>
                <c:pt idx="629">
                  <c:v>36.708200000000524</c:v>
                </c:pt>
                <c:pt idx="630">
                  <c:v>36.708300000000527</c:v>
                </c:pt>
                <c:pt idx="631">
                  <c:v>36.70840000000053</c:v>
                </c:pt>
                <c:pt idx="632">
                  <c:v>36.708500000000534</c:v>
                </c:pt>
                <c:pt idx="633">
                  <c:v>36.708600000000537</c:v>
                </c:pt>
                <c:pt idx="634">
                  <c:v>36.70870000000054</c:v>
                </c:pt>
                <c:pt idx="635">
                  <c:v>36.708800000000544</c:v>
                </c:pt>
                <c:pt idx="636">
                  <c:v>36.708900000000547</c:v>
                </c:pt>
                <c:pt idx="637">
                  <c:v>36.70900000000055</c:v>
                </c:pt>
                <c:pt idx="638">
                  <c:v>36.709100000000554</c:v>
                </c:pt>
                <c:pt idx="639">
                  <c:v>36.709200000000557</c:v>
                </c:pt>
                <c:pt idx="640">
                  <c:v>36.70930000000056</c:v>
                </c:pt>
                <c:pt idx="641">
                  <c:v>36.709400000000564</c:v>
                </c:pt>
                <c:pt idx="642">
                  <c:v>36.709500000000567</c:v>
                </c:pt>
                <c:pt idx="643">
                  <c:v>36.70960000000057</c:v>
                </c:pt>
                <c:pt idx="644">
                  <c:v>36.709700000000574</c:v>
                </c:pt>
                <c:pt idx="645">
                  <c:v>36.709800000000577</c:v>
                </c:pt>
                <c:pt idx="646">
                  <c:v>36.70990000000058</c:v>
                </c:pt>
                <c:pt idx="647">
                  <c:v>36.710000000000583</c:v>
                </c:pt>
                <c:pt idx="648">
                  <c:v>36.710100000000587</c:v>
                </c:pt>
                <c:pt idx="649">
                  <c:v>36.71020000000059</c:v>
                </c:pt>
                <c:pt idx="650">
                  <c:v>36.710300000000593</c:v>
                </c:pt>
                <c:pt idx="651">
                  <c:v>36.710400000000597</c:v>
                </c:pt>
                <c:pt idx="652">
                  <c:v>36.7105000000006</c:v>
                </c:pt>
                <c:pt idx="653">
                  <c:v>36.710600000000603</c:v>
                </c:pt>
                <c:pt idx="654">
                  <c:v>36.710700000000607</c:v>
                </c:pt>
                <c:pt idx="655">
                  <c:v>36.71080000000061</c:v>
                </c:pt>
                <c:pt idx="656">
                  <c:v>36.710900000000613</c:v>
                </c:pt>
                <c:pt idx="657">
                  <c:v>36.711000000000617</c:v>
                </c:pt>
                <c:pt idx="658">
                  <c:v>36.71110000000062</c:v>
                </c:pt>
                <c:pt idx="659">
                  <c:v>36.711200000000623</c:v>
                </c:pt>
                <c:pt idx="660">
                  <c:v>36.711300000000627</c:v>
                </c:pt>
                <c:pt idx="661">
                  <c:v>36.71140000000063</c:v>
                </c:pt>
                <c:pt idx="662">
                  <c:v>36.711500000000633</c:v>
                </c:pt>
                <c:pt idx="663">
                  <c:v>36.711600000000637</c:v>
                </c:pt>
                <c:pt idx="664">
                  <c:v>36.71170000000064</c:v>
                </c:pt>
                <c:pt idx="665">
                  <c:v>36.711800000000643</c:v>
                </c:pt>
                <c:pt idx="666">
                  <c:v>36.711900000000647</c:v>
                </c:pt>
                <c:pt idx="667">
                  <c:v>36.71200000000065</c:v>
                </c:pt>
                <c:pt idx="668">
                  <c:v>36.712100000000653</c:v>
                </c:pt>
                <c:pt idx="669">
                  <c:v>36.712200000000657</c:v>
                </c:pt>
                <c:pt idx="670">
                  <c:v>36.71230000000066</c:v>
                </c:pt>
                <c:pt idx="671">
                  <c:v>36.712400000000663</c:v>
                </c:pt>
                <c:pt idx="672">
                  <c:v>36.712500000000666</c:v>
                </c:pt>
                <c:pt idx="673">
                  <c:v>36.71260000000067</c:v>
                </c:pt>
                <c:pt idx="674">
                  <c:v>36.712700000000673</c:v>
                </c:pt>
                <c:pt idx="675">
                  <c:v>36.712800000000676</c:v>
                </c:pt>
                <c:pt idx="676">
                  <c:v>36.71290000000068</c:v>
                </c:pt>
                <c:pt idx="677">
                  <c:v>36.713000000000683</c:v>
                </c:pt>
                <c:pt idx="678">
                  <c:v>36.713100000000686</c:v>
                </c:pt>
                <c:pt idx="679">
                  <c:v>36.71320000000069</c:v>
                </c:pt>
                <c:pt idx="680">
                  <c:v>36.713300000000693</c:v>
                </c:pt>
                <c:pt idx="681">
                  <c:v>36.713400000000696</c:v>
                </c:pt>
                <c:pt idx="682">
                  <c:v>36.7135000000007</c:v>
                </c:pt>
                <c:pt idx="683">
                  <c:v>36.713600000000703</c:v>
                </c:pt>
                <c:pt idx="684">
                  <c:v>36.713700000000706</c:v>
                </c:pt>
                <c:pt idx="685">
                  <c:v>36.71380000000071</c:v>
                </c:pt>
                <c:pt idx="686">
                  <c:v>36.713900000000713</c:v>
                </c:pt>
                <c:pt idx="687">
                  <c:v>36.714000000000716</c:v>
                </c:pt>
                <c:pt idx="688">
                  <c:v>36.71410000000072</c:v>
                </c:pt>
                <c:pt idx="689">
                  <c:v>36.714200000000723</c:v>
                </c:pt>
                <c:pt idx="690">
                  <c:v>36.714300000000726</c:v>
                </c:pt>
                <c:pt idx="691">
                  <c:v>36.71440000000073</c:v>
                </c:pt>
                <c:pt idx="692">
                  <c:v>36.714500000000733</c:v>
                </c:pt>
                <c:pt idx="693">
                  <c:v>36.714600000000736</c:v>
                </c:pt>
                <c:pt idx="694">
                  <c:v>36.71470000000074</c:v>
                </c:pt>
                <c:pt idx="695">
                  <c:v>36.714800000000743</c:v>
                </c:pt>
                <c:pt idx="696">
                  <c:v>36.714900000000746</c:v>
                </c:pt>
                <c:pt idx="697">
                  <c:v>36.715000000000749</c:v>
                </c:pt>
                <c:pt idx="698">
                  <c:v>36.715100000000753</c:v>
                </c:pt>
                <c:pt idx="699">
                  <c:v>36.715200000000756</c:v>
                </c:pt>
                <c:pt idx="700">
                  <c:v>36.715300000000759</c:v>
                </c:pt>
                <c:pt idx="701">
                  <c:v>36.715400000000763</c:v>
                </c:pt>
                <c:pt idx="702">
                  <c:v>36.715500000000766</c:v>
                </c:pt>
                <c:pt idx="703">
                  <c:v>36.715600000000769</c:v>
                </c:pt>
                <c:pt idx="704">
                  <c:v>36.715700000000773</c:v>
                </c:pt>
                <c:pt idx="705">
                  <c:v>36.715800000000776</c:v>
                </c:pt>
                <c:pt idx="706">
                  <c:v>36.715900000000779</c:v>
                </c:pt>
                <c:pt idx="707">
                  <c:v>36.716000000000783</c:v>
                </c:pt>
                <c:pt idx="708">
                  <c:v>36.716100000000786</c:v>
                </c:pt>
                <c:pt idx="709">
                  <c:v>36.716200000000789</c:v>
                </c:pt>
                <c:pt idx="710">
                  <c:v>36.716300000000793</c:v>
                </c:pt>
                <c:pt idx="711">
                  <c:v>36.716400000000796</c:v>
                </c:pt>
                <c:pt idx="712">
                  <c:v>36.716500000000799</c:v>
                </c:pt>
                <c:pt idx="713">
                  <c:v>36.716600000000803</c:v>
                </c:pt>
                <c:pt idx="714">
                  <c:v>36.716700000000806</c:v>
                </c:pt>
                <c:pt idx="715">
                  <c:v>36.716800000000809</c:v>
                </c:pt>
                <c:pt idx="716">
                  <c:v>36.716900000000813</c:v>
                </c:pt>
                <c:pt idx="717">
                  <c:v>36.717000000000816</c:v>
                </c:pt>
                <c:pt idx="718">
                  <c:v>36.717100000000819</c:v>
                </c:pt>
                <c:pt idx="719">
                  <c:v>36.717200000000823</c:v>
                </c:pt>
                <c:pt idx="720">
                  <c:v>36.717300000000826</c:v>
                </c:pt>
                <c:pt idx="721">
                  <c:v>36.717400000000829</c:v>
                </c:pt>
                <c:pt idx="722">
                  <c:v>36.717500000000832</c:v>
                </c:pt>
                <c:pt idx="723">
                  <c:v>36.717600000000836</c:v>
                </c:pt>
                <c:pt idx="724">
                  <c:v>36.717700000000839</c:v>
                </c:pt>
                <c:pt idx="725">
                  <c:v>36.717800000000842</c:v>
                </c:pt>
                <c:pt idx="726">
                  <c:v>36.717900000000846</c:v>
                </c:pt>
                <c:pt idx="727">
                  <c:v>36.718000000000849</c:v>
                </c:pt>
                <c:pt idx="728">
                  <c:v>36.718100000000852</c:v>
                </c:pt>
                <c:pt idx="729">
                  <c:v>36.718200000000856</c:v>
                </c:pt>
                <c:pt idx="730">
                  <c:v>36.718300000000859</c:v>
                </c:pt>
                <c:pt idx="731">
                  <c:v>36.718400000000862</c:v>
                </c:pt>
                <c:pt idx="732">
                  <c:v>36.718500000000866</c:v>
                </c:pt>
                <c:pt idx="733">
                  <c:v>36.718600000000869</c:v>
                </c:pt>
                <c:pt idx="734">
                  <c:v>36.718700000000872</c:v>
                </c:pt>
                <c:pt idx="735">
                  <c:v>36.718800000000876</c:v>
                </c:pt>
                <c:pt idx="736">
                  <c:v>36.718900000000879</c:v>
                </c:pt>
                <c:pt idx="737">
                  <c:v>36.719000000000882</c:v>
                </c:pt>
                <c:pt idx="738">
                  <c:v>36.719100000000886</c:v>
                </c:pt>
                <c:pt idx="739">
                  <c:v>36.719200000000889</c:v>
                </c:pt>
                <c:pt idx="740">
                  <c:v>36.719300000000892</c:v>
                </c:pt>
                <c:pt idx="741">
                  <c:v>36.719400000000896</c:v>
                </c:pt>
                <c:pt idx="742">
                  <c:v>36.719500000000899</c:v>
                </c:pt>
                <c:pt idx="743">
                  <c:v>36.719600000000902</c:v>
                </c:pt>
                <c:pt idx="744">
                  <c:v>36.719700000000906</c:v>
                </c:pt>
                <c:pt idx="745">
                  <c:v>36.719800000000909</c:v>
                </c:pt>
                <c:pt idx="746">
                  <c:v>36.719900000000912</c:v>
                </c:pt>
                <c:pt idx="747">
                  <c:v>36.720000000000915</c:v>
                </c:pt>
                <c:pt idx="748">
                  <c:v>36.720100000000919</c:v>
                </c:pt>
                <c:pt idx="749">
                  <c:v>36.720200000000922</c:v>
                </c:pt>
                <c:pt idx="750">
                  <c:v>36.720300000000925</c:v>
                </c:pt>
                <c:pt idx="751">
                  <c:v>36.720400000000929</c:v>
                </c:pt>
                <c:pt idx="752">
                  <c:v>36.720500000000932</c:v>
                </c:pt>
                <c:pt idx="753">
                  <c:v>36.720600000000935</c:v>
                </c:pt>
                <c:pt idx="754">
                  <c:v>36.720700000000939</c:v>
                </c:pt>
                <c:pt idx="755">
                  <c:v>36.720800000000942</c:v>
                </c:pt>
                <c:pt idx="756">
                  <c:v>36.720900000000945</c:v>
                </c:pt>
                <c:pt idx="757">
                  <c:v>36.721000000000949</c:v>
                </c:pt>
                <c:pt idx="758">
                  <c:v>36.721100000000952</c:v>
                </c:pt>
                <c:pt idx="759">
                  <c:v>36.721200000000955</c:v>
                </c:pt>
                <c:pt idx="760">
                  <c:v>36.721300000000959</c:v>
                </c:pt>
                <c:pt idx="761">
                  <c:v>36.721400000000962</c:v>
                </c:pt>
                <c:pt idx="762">
                  <c:v>36.721500000000965</c:v>
                </c:pt>
                <c:pt idx="763">
                  <c:v>36.721600000000969</c:v>
                </c:pt>
                <c:pt idx="764">
                  <c:v>36.721700000000972</c:v>
                </c:pt>
                <c:pt idx="765">
                  <c:v>36.721800000000975</c:v>
                </c:pt>
                <c:pt idx="766">
                  <c:v>36.721900000000979</c:v>
                </c:pt>
                <c:pt idx="767">
                  <c:v>36.722000000000982</c:v>
                </c:pt>
                <c:pt idx="768">
                  <c:v>36.722100000000985</c:v>
                </c:pt>
                <c:pt idx="769">
                  <c:v>36.722200000000988</c:v>
                </c:pt>
                <c:pt idx="770">
                  <c:v>36.722300000000992</c:v>
                </c:pt>
                <c:pt idx="771">
                  <c:v>36.722400000000995</c:v>
                </c:pt>
                <c:pt idx="772">
                  <c:v>36.722500000000998</c:v>
                </c:pt>
                <c:pt idx="773">
                  <c:v>36.722600000001002</c:v>
                </c:pt>
                <c:pt idx="774">
                  <c:v>36.722700000001005</c:v>
                </c:pt>
                <c:pt idx="775">
                  <c:v>36.722800000001008</c:v>
                </c:pt>
                <c:pt idx="776">
                  <c:v>36.722900000001012</c:v>
                </c:pt>
                <c:pt idx="777">
                  <c:v>36.723000000001015</c:v>
                </c:pt>
                <c:pt idx="778">
                  <c:v>36.723100000001018</c:v>
                </c:pt>
                <c:pt idx="779">
                  <c:v>36.723200000001022</c:v>
                </c:pt>
                <c:pt idx="780">
                  <c:v>36.723300000001025</c:v>
                </c:pt>
                <c:pt idx="781">
                  <c:v>36.723400000001028</c:v>
                </c:pt>
                <c:pt idx="782">
                  <c:v>36.723500000001032</c:v>
                </c:pt>
                <c:pt idx="783">
                  <c:v>36.723600000001035</c:v>
                </c:pt>
                <c:pt idx="784">
                  <c:v>36.723700000001038</c:v>
                </c:pt>
                <c:pt idx="785">
                  <c:v>36.723800000001042</c:v>
                </c:pt>
                <c:pt idx="786">
                  <c:v>36.723900000001045</c:v>
                </c:pt>
                <c:pt idx="787">
                  <c:v>36.724000000001048</c:v>
                </c:pt>
                <c:pt idx="788">
                  <c:v>36.724100000001052</c:v>
                </c:pt>
                <c:pt idx="789">
                  <c:v>36.724200000001055</c:v>
                </c:pt>
                <c:pt idx="790">
                  <c:v>36.724300000001058</c:v>
                </c:pt>
                <c:pt idx="791">
                  <c:v>36.724400000001062</c:v>
                </c:pt>
                <c:pt idx="792">
                  <c:v>36.724500000001065</c:v>
                </c:pt>
                <c:pt idx="793">
                  <c:v>36.724600000001068</c:v>
                </c:pt>
                <c:pt idx="794">
                  <c:v>36.724700000001071</c:v>
                </c:pt>
                <c:pt idx="795">
                  <c:v>36.724800000001075</c:v>
                </c:pt>
                <c:pt idx="796">
                  <c:v>36.724900000001078</c:v>
                </c:pt>
                <c:pt idx="797">
                  <c:v>36.725000000001081</c:v>
                </c:pt>
                <c:pt idx="798">
                  <c:v>36.725100000001085</c:v>
                </c:pt>
                <c:pt idx="799">
                  <c:v>36.725200000001088</c:v>
                </c:pt>
                <c:pt idx="800">
                  <c:v>36.725300000001091</c:v>
                </c:pt>
                <c:pt idx="801">
                  <c:v>36.725400000001095</c:v>
                </c:pt>
                <c:pt idx="802">
                  <c:v>36.725500000001098</c:v>
                </c:pt>
                <c:pt idx="803">
                  <c:v>36.725600000001101</c:v>
                </c:pt>
                <c:pt idx="804">
                  <c:v>36.725700000001105</c:v>
                </c:pt>
                <c:pt idx="805">
                  <c:v>36.725800000001108</c:v>
                </c:pt>
                <c:pt idx="806">
                  <c:v>36.725900000001111</c:v>
                </c:pt>
                <c:pt idx="807">
                  <c:v>36.726000000001115</c:v>
                </c:pt>
                <c:pt idx="808">
                  <c:v>36.726100000001118</c:v>
                </c:pt>
                <c:pt idx="809">
                  <c:v>36.726200000001121</c:v>
                </c:pt>
                <c:pt idx="810">
                  <c:v>36.726300000001125</c:v>
                </c:pt>
                <c:pt idx="811">
                  <c:v>36.726400000001128</c:v>
                </c:pt>
                <c:pt idx="812">
                  <c:v>36.726500000001131</c:v>
                </c:pt>
                <c:pt idx="813">
                  <c:v>36.726600000001135</c:v>
                </c:pt>
                <c:pt idx="814">
                  <c:v>36.726700000001138</c:v>
                </c:pt>
                <c:pt idx="815">
                  <c:v>36.726800000001141</c:v>
                </c:pt>
                <c:pt idx="816">
                  <c:v>36.726900000001145</c:v>
                </c:pt>
                <c:pt idx="817">
                  <c:v>36.727000000001148</c:v>
                </c:pt>
                <c:pt idx="818">
                  <c:v>36.727100000001151</c:v>
                </c:pt>
                <c:pt idx="819">
                  <c:v>36.727200000001154</c:v>
                </c:pt>
                <c:pt idx="820">
                  <c:v>36.727300000001158</c:v>
                </c:pt>
                <c:pt idx="821">
                  <c:v>36.727400000001161</c:v>
                </c:pt>
                <c:pt idx="822">
                  <c:v>36.727500000001164</c:v>
                </c:pt>
                <c:pt idx="823">
                  <c:v>36.727600000001168</c:v>
                </c:pt>
                <c:pt idx="824">
                  <c:v>36.727700000001171</c:v>
                </c:pt>
                <c:pt idx="825">
                  <c:v>36.727800000001174</c:v>
                </c:pt>
                <c:pt idx="826">
                  <c:v>36.727900000001178</c:v>
                </c:pt>
                <c:pt idx="827">
                  <c:v>36.728000000001181</c:v>
                </c:pt>
                <c:pt idx="828">
                  <c:v>36.728100000001184</c:v>
                </c:pt>
                <c:pt idx="829">
                  <c:v>36.728200000001188</c:v>
                </c:pt>
                <c:pt idx="830">
                  <c:v>36.728300000001191</c:v>
                </c:pt>
                <c:pt idx="831">
                  <c:v>36.728400000001194</c:v>
                </c:pt>
                <c:pt idx="832">
                  <c:v>36.728500000001198</c:v>
                </c:pt>
                <c:pt idx="833">
                  <c:v>36.728600000001201</c:v>
                </c:pt>
                <c:pt idx="834">
                  <c:v>36.728700000001204</c:v>
                </c:pt>
                <c:pt idx="835">
                  <c:v>36.728800000001208</c:v>
                </c:pt>
                <c:pt idx="836">
                  <c:v>36.728900000001211</c:v>
                </c:pt>
                <c:pt idx="837">
                  <c:v>36.729000000001214</c:v>
                </c:pt>
                <c:pt idx="838">
                  <c:v>36.729100000001218</c:v>
                </c:pt>
                <c:pt idx="839">
                  <c:v>36.729200000001221</c:v>
                </c:pt>
                <c:pt idx="840">
                  <c:v>36.729300000001224</c:v>
                </c:pt>
                <c:pt idx="841">
                  <c:v>36.729400000001228</c:v>
                </c:pt>
                <c:pt idx="842">
                  <c:v>36.729500000001231</c:v>
                </c:pt>
                <c:pt idx="843">
                  <c:v>36.729600000001234</c:v>
                </c:pt>
                <c:pt idx="844">
                  <c:v>36.729700000001237</c:v>
                </c:pt>
                <c:pt idx="845">
                  <c:v>36.729800000001241</c:v>
                </c:pt>
                <c:pt idx="846">
                  <c:v>36.729900000001244</c:v>
                </c:pt>
                <c:pt idx="847">
                  <c:v>36.730000000001247</c:v>
                </c:pt>
                <c:pt idx="848">
                  <c:v>36.730100000001251</c:v>
                </c:pt>
                <c:pt idx="849">
                  <c:v>36.730200000001254</c:v>
                </c:pt>
                <c:pt idx="850">
                  <c:v>36.730300000001257</c:v>
                </c:pt>
                <c:pt idx="851">
                  <c:v>36.730400000001261</c:v>
                </c:pt>
                <c:pt idx="852">
                  <c:v>36.730500000001264</c:v>
                </c:pt>
                <c:pt idx="853">
                  <c:v>36.730600000001267</c:v>
                </c:pt>
                <c:pt idx="854">
                  <c:v>36.730700000001271</c:v>
                </c:pt>
                <c:pt idx="855">
                  <c:v>36.730800000001274</c:v>
                </c:pt>
                <c:pt idx="856">
                  <c:v>36.730900000001277</c:v>
                </c:pt>
                <c:pt idx="857">
                  <c:v>36.731000000001281</c:v>
                </c:pt>
                <c:pt idx="858">
                  <c:v>36.731100000001284</c:v>
                </c:pt>
                <c:pt idx="859">
                  <c:v>36.731200000001287</c:v>
                </c:pt>
                <c:pt idx="860">
                  <c:v>36.731300000001291</c:v>
                </c:pt>
                <c:pt idx="861">
                  <c:v>36.731400000001294</c:v>
                </c:pt>
                <c:pt idx="862">
                  <c:v>36.731500000001297</c:v>
                </c:pt>
                <c:pt idx="863">
                  <c:v>36.731600000001301</c:v>
                </c:pt>
                <c:pt idx="864">
                  <c:v>36.731700000001304</c:v>
                </c:pt>
                <c:pt idx="865">
                  <c:v>36.731800000001307</c:v>
                </c:pt>
                <c:pt idx="866">
                  <c:v>36.731900000001311</c:v>
                </c:pt>
                <c:pt idx="867">
                  <c:v>36.732000000001314</c:v>
                </c:pt>
                <c:pt idx="868">
                  <c:v>36.732100000001317</c:v>
                </c:pt>
                <c:pt idx="869">
                  <c:v>36.73220000000132</c:v>
                </c:pt>
                <c:pt idx="870">
                  <c:v>36.732300000001324</c:v>
                </c:pt>
                <c:pt idx="871">
                  <c:v>36.732400000001327</c:v>
                </c:pt>
                <c:pt idx="872">
                  <c:v>36.73250000000133</c:v>
                </c:pt>
                <c:pt idx="873">
                  <c:v>36.732600000001334</c:v>
                </c:pt>
                <c:pt idx="874">
                  <c:v>36.732700000001337</c:v>
                </c:pt>
                <c:pt idx="875">
                  <c:v>36.73280000000134</c:v>
                </c:pt>
                <c:pt idx="876">
                  <c:v>36.732900000001344</c:v>
                </c:pt>
                <c:pt idx="877">
                  <c:v>36.733000000001347</c:v>
                </c:pt>
                <c:pt idx="878">
                  <c:v>36.73310000000135</c:v>
                </c:pt>
                <c:pt idx="879">
                  <c:v>36.733200000001354</c:v>
                </c:pt>
                <c:pt idx="880">
                  <c:v>36.733300000001357</c:v>
                </c:pt>
                <c:pt idx="881">
                  <c:v>36.73340000000136</c:v>
                </c:pt>
                <c:pt idx="882">
                  <c:v>36.733500000001364</c:v>
                </c:pt>
                <c:pt idx="883">
                  <c:v>36.733600000001367</c:v>
                </c:pt>
                <c:pt idx="884">
                  <c:v>36.73370000000137</c:v>
                </c:pt>
                <c:pt idx="885">
                  <c:v>36.733800000001374</c:v>
                </c:pt>
                <c:pt idx="886">
                  <c:v>36.733900000001377</c:v>
                </c:pt>
                <c:pt idx="887">
                  <c:v>36.73400000000138</c:v>
                </c:pt>
                <c:pt idx="888">
                  <c:v>36.734100000001384</c:v>
                </c:pt>
                <c:pt idx="889">
                  <c:v>36.734200000001387</c:v>
                </c:pt>
                <c:pt idx="890">
                  <c:v>36.73430000000139</c:v>
                </c:pt>
                <c:pt idx="891">
                  <c:v>36.734400000001393</c:v>
                </c:pt>
                <c:pt idx="892">
                  <c:v>36.734500000001397</c:v>
                </c:pt>
                <c:pt idx="893">
                  <c:v>36.7346000000014</c:v>
                </c:pt>
                <c:pt idx="894">
                  <c:v>36.734700000001403</c:v>
                </c:pt>
                <c:pt idx="895">
                  <c:v>36.734800000001407</c:v>
                </c:pt>
                <c:pt idx="896">
                  <c:v>36.73490000000141</c:v>
                </c:pt>
                <c:pt idx="897">
                  <c:v>36.735000000001413</c:v>
                </c:pt>
                <c:pt idx="898">
                  <c:v>36.735100000001417</c:v>
                </c:pt>
                <c:pt idx="899">
                  <c:v>36.73520000000142</c:v>
                </c:pt>
                <c:pt idx="900">
                  <c:v>36.735300000001423</c:v>
                </c:pt>
                <c:pt idx="901">
                  <c:v>36.735400000001427</c:v>
                </c:pt>
                <c:pt idx="902">
                  <c:v>36.73550000000143</c:v>
                </c:pt>
                <c:pt idx="903">
                  <c:v>36.735600000001433</c:v>
                </c:pt>
                <c:pt idx="904">
                  <c:v>36.735700000001437</c:v>
                </c:pt>
                <c:pt idx="905">
                  <c:v>36.73580000000144</c:v>
                </c:pt>
                <c:pt idx="906">
                  <c:v>36.735900000001443</c:v>
                </c:pt>
                <c:pt idx="907">
                  <c:v>36.736000000001447</c:v>
                </c:pt>
                <c:pt idx="908">
                  <c:v>36.73610000000145</c:v>
                </c:pt>
                <c:pt idx="909">
                  <c:v>36.736200000001453</c:v>
                </c:pt>
                <c:pt idx="910">
                  <c:v>36.736300000001457</c:v>
                </c:pt>
                <c:pt idx="911">
                  <c:v>36.73640000000146</c:v>
                </c:pt>
                <c:pt idx="912">
                  <c:v>36.736500000001463</c:v>
                </c:pt>
                <c:pt idx="913">
                  <c:v>36.736600000001467</c:v>
                </c:pt>
                <c:pt idx="914">
                  <c:v>36.73670000000147</c:v>
                </c:pt>
                <c:pt idx="915">
                  <c:v>36.736800000001473</c:v>
                </c:pt>
                <c:pt idx="916">
                  <c:v>36.736900000001476</c:v>
                </c:pt>
                <c:pt idx="917">
                  <c:v>36.73700000000148</c:v>
                </c:pt>
                <c:pt idx="918">
                  <c:v>36.737100000001483</c:v>
                </c:pt>
                <c:pt idx="919">
                  <c:v>36.737200000001486</c:v>
                </c:pt>
                <c:pt idx="920">
                  <c:v>36.73730000000149</c:v>
                </c:pt>
                <c:pt idx="921">
                  <c:v>36.737400000001493</c:v>
                </c:pt>
                <c:pt idx="922">
                  <c:v>36.737500000001496</c:v>
                </c:pt>
                <c:pt idx="923">
                  <c:v>36.7376000000015</c:v>
                </c:pt>
                <c:pt idx="924">
                  <c:v>36.737700000001503</c:v>
                </c:pt>
                <c:pt idx="925">
                  <c:v>36.737800000001506</c:v>
                </c:pt>
                <c:pt idx="926">
                  <c:v>36.73790000000151</c:v>
                </c:pt>
                <c:pt idx="927">
                  <c:v>36.738000000001513</c:v>
                </c:pt>
                <c:pt idx="928">
                  <c:v>36.738100000001516</c:v>
                </c:pt>
                <c:pt idx="929">
                  <c:v>36.73820000000152</c:v>
                </c:pt>
                <c:pt idx="930">
                  <c:v>36.738300000001523</c:v>
                </c:pt>
                <c:pt idx="931">
                  <c:v>36.738400000001526</c:v>
                </c:pt>
                <c:pt idx="932">
                  <c:v>36.73850000000153</c:v>
                </c:pt>
                <c:pt idx="933">
                  <c:v>36.738600000001533</c:v>
                </c:pt>
                <c:pt idx="934">
                  <c:v>36.738700000001536</c:v>
                </c:pt>
                <c:pt idx="935">
                  <c:v>36.73880000000154</c:v>
                </c:pt>
                <c:pt idx="936">
                  <c:v>36.738900000001543</c:v>
                </c:pt>
                <c:pt idx="937">
                  <c:v>36.739000000001546</c:v>
                </c:pt>
                <c:pt idx="938">
                  <c:v>36.73910000000155</c:v>
                </c:pt>
                <c:pt idx="939">
                  <c:v>36.739200000001553</c:v>
                </c:pt>
                <c:pt idx="940">
                  <c:v>36.739300000001556</c:v>
                </c:pt>
                <c:pt idx="941">
                  <c:v>36.739400000001559</c:v>
                </c:pt>
                <c:pt idx="942">
                  <c:v>36.739500000001563</c:v>
                </c:pt>
                <c:pt idx="943">
                  <c:v>36.739600000001566</c:v>
                </c:pt>
                <c:pt idx="944">
                  <c:v>36.739700000001569</c:v>
                </c:pt>
                <c:pt idx="945">
                  <c:v>36.739800000001573</c:v>
                </c:pt>
                <c:pt idx="946">
                  <c:v>36.739900000001576</c:v>
                </c:pt>
                <c:pt idx="947">
                  <c:v>36.740000000001579</c:v>
                </c:pt>
                <c:pt idx="948">
                  <c:v>36.740100000001583</c:v>
                </c:pt>
                <c:pt idx="949">
                  <c:v>36.740200000001586</c:v>
                </c:pt>
                <c:pt idx="950">
                  <c:v>36.740300000001589</c:v>
                </c:pt>
                <c:pt idx="951">
                  <c:v>36.740400000001593</c:v>
                </c:pt>
                <c:pt idx="952">
                  <c:v>36.740500000001596</c:v>
                </c:pt>
                <c:pt idx="953">
                  <c:v>36.740600000001599</c:v>
                </c:pt>
                <c:pt idx="954">
                  <c:v>36.740700000001603</c:v>
                </c:pt>
                <c:pt idx="955">
                  <c:v>36.740800000001606</c:v>
                </c:pt>
                <c:pt idx="956">
                  <c:v>36.740900000001609</c:v>
                </c:pt>
                <c:pt idx="957">
                  <c:v>36.741000000001613</c:v>
                </c:pt>
                <c:pt idx="958">
                  <c:v>36.741100000001616</c:v>
                </c:pt>
                <c:pt idx="959">
                  <c:v>36.741200000001619</c:v>
                </c:pt>
                <c:pt idx="960">
                  <c:v>36.741300000001623</c:v>
                </c:pt>
                <c:pt idx="961">
                  <c:v>36.741400000001626</c:v>
                </c:pt>
                <c:pt idx="962">
                  <c:v>36.741500000001629</c:v>
                </c:pt>
                <c:pt idx="963">
                  <c:v>36.741600000001633</c:v>
                </c:pt>
                <c:pt idx="964">
                  <c:v>36.741700000001636</c:v>
                </c:pt>
                <c:pt idx="965">
                  <c:v>36.741800000001639</c:v>
                </c:pt>
                <c:pt idx="966">
                  <c:v>36.741900000001642</c:v>
                </c:pt>
                <c:pt idx="967">
                  <c:v>36.742000000001646</c:v>
                </c:pt>
                <c:pt idx="968">
                  <c:v>36.742100000001649</c:v>
                </c:pt>
                <c:pt idx="969">
                  <c:v>36.742200000001652</c:v>
                </c:pt>
                <c:pt idx="970">
                  <c:v>36.742300000001656</c:v>
                </c:pt>
                <c:pt idx="971">
                  <c:v>36.742400000001659</c:v>
                </c:pt>
                <c:pt idx="972">
                  <c:v>36.742500000001662</c:v>
                </c:pt>
                <c:pt idx="973">
                  <c:v>36.742600000001666</c:v>
                </c:pt>
                <c:pt idx="974">
                  <c:v>36.742700000001669</c:v>
                </c:pt>
                <c:pt idx="975">
                  <c:v>36.742800000001672</c:v>
                </c:pt>
                <c:pt idx="976">
                  <c:v>36.742900000001676</c:v>
                </c:pt>
                <c:pt idx="977">
                  <c:v>36.743000000001679</c:v>
                </c:pt>
                <c:pt idx="978">
                  <c:v>36.743100000001682</c:v>
                </c:pt>
                <c:pt idx="979">
                  <c:v>36.743200000001686</c:v>
                </c:pt>
                <c:pt idx="980">
                  <c:v>36.743300000001689</c:v>
                </c:pt>
                <c:pt idx="981">
                  <c:v>36.743400000001692</c:v>
                </c:pt>
                <c:pt idx="982">
                  <c:v>36.743500000001696</c:v>
                </c:pt>
                <c:pt idx="983">
                  <c:v>36.743600000001699</c:v>
                </c:pt>
                <c:pt idx="984">
                  <c:v>36.743700000001702</c:v>
                </c:pt>
                <c:pt idx="985">
                  <c:v>36.743800000001706</c:v>
                </c:pt>
                <c:pt idx="986">
                  <c:v>36.743900000001709</c:v>
                </c:pt>
                <c:pt idx="987">
                  <c:v>36.744000000001712</c:v>
                </c:pt>
                <c:pt idx="988">
                  <c:v>36.744100000001716</c:v>
                </c:pt>
                <c:pt idx="989">
                  <c:v>36.744200000001719</c:v>
                </c:pt>
                <c:pt idx="990">
                  <c:v>36.744300000001722</c:v>
                </c:pt>
                <c:pt idx="991">
                  <c:v>36.744400000001725</c:v>
                </c:pt>
                <c:pt idx="992">
                  <c:v>36.744500000001729</c:v>
                </c:pt>
                <c:pt idx="993">
                  <c:v>36.744600000001732</c:v>
                </c:pt>
                <c:pt idx="994">
                  <c:v>36.744700000001735</c:v>
                </c:pt>
                <c:pt idx="995">
                  <c:v>36.744800000001739</c:v>
                </c:pt>
                <c:pt idx="996">
                  <c:v>36.744900000001742</c:v>
                </c:pt>
                <c:pt idx="997">
                  <c:v>36.745000000001745</c:v>
                </c:pt>
                <c:pt idx="998">
                  <c:v>36.745100000001749</c:v>
                </c:pt>
                <c:pt idx="999">
                  <c:v>36.745200000001752</c:v>
                </c:pt>
                <c:pt idx="1000">
                  <c:v>36.745300000001755</c:v>
                </c:pt>
              </c:numCache>
            </c:numRef>
          </c:xVal>
          <c:yVal>
            <c:numRef>
              <c:f>Calculs!$K$4:$K$1004</c:f>
              <c:numCache>
                <c:formatCode>0.00</c:formatCode>
                <c:ptCount val="1001"/>
                <c:pt idx="0">
                  <c:v>0</c:v>
                </c:pt>
                <c:pt idx="1">
                  <c:v>1.014835289857519E-3</c:v>
                </c:pt>
                <c:pt idx="2">
                  <c:v>8.2092717621669274E-3</c:v>
                </c:pt>
                <c:pt idx="3">
                  <c:v>2.826280262367881E-2</c:v>
                </c:pt>
                <c:pt idx="4">
                  <c:v>6.3441336380832408E-2</c:v>
                </c:pt>
                <c:pt idx="5">
                  <c:v>0.11321685656357894</c:v>
                </c:pt>
                <c:pt idx="6">
                  <c:v>0.17722168839409749</c:v>
                </c:pt>
                <c:pt idx="7">
                  <c:v>0.25541074679293435</c:v>
                </c:pt>
                <c:pt idx="8">
                  <c:v>0.34790053114657993</c:v>
                </c:pt>
                <c:pt idx="9">
                  <c:v>0.4548076293392046</c:v>
                </c:pt>
                <c:pt idx="10">
                  <c:v>0.5762487157900873</c:v>
                </c:pt>
                <c:pt idx="11">
                  <c:v>0.71232375635665535</c:v>
                </c:pt>
                <c:pt idx="12">
                  <c:v>0.86309916219158467</c:v>
                </c:pt>
                <c:pt idx="13">
                  <c:v>1.0286245053401553</c:v>
                </c:pt>
                <c:pt idx="14">
                  <c:v>1.208949285564338</c:v>
                </c:pt>
                <c:pt idx="15">
                  <c:v>1.4041229287194446</c:v>
                </c:pt>
                <c:pt idx="16">
                  <c:v>1.6141947851243379</c:v>
                </c:pt>
                <c:pt idx="17">
                  <c:v>1.8392141279253065</c:v>
                </c:pt>
                <c:pt idx="18">
                  <c:v>2.0792301514537108</c:v>
                </c:pt>
                <c:pt idx="19">
                  <c:v>2.3342919695775111</c:v>
                </c:pt>
                <c:pt idx="20">
                  <c:v>2.6044486140467877</c:v>
                </c:pt>
                <c:pt idx="21">
                  <c:v>2.8897422865207414</c:v>
                </c:pt>
                <c:pt idx="22">
                  <c:v>3.1902015903762195</c:v>
                </c:pt>
                <c:pt idx="23">
                  <c:v>3.5058482460334504</c:v>
                </c:pt>
                <c:pt idx="24">
                  <c:v>3.836703826804376</c:v>
                </c:pt>
                <c:pt idx="25">
                  <c:v>4.1827897578456144</c:v>
                </c:pt>
                <c:pt idx="26">
                  <c:v>4.5441125127268629</c:v>
                </c:pt>
                <c:pt idx="27">
                  <c:v>4.9206777754406357</c:v>
                </c:pt>
                <c:pt idx="28">
                  <c:v>5.3125052505906112</c:v>
                </c:pt>
                <c:pt idx="29">
                  <c:v>5.7196145188719516</c:v>
                </c:pt>
                <c:pt idx="30">
                  <c:v>6.1420250454300582</c:v>
                </c:pt>
                <c:pt idx="31">
                  <c:v>6.5797561762952155</c:v>
                </c:pt>
                <c:pt idx="32">
                  <c:v>7.0328271350771372</c:v>
                </c:pt>
                <c:pt idx="33">
                  <c:v>7.5012570198865358</c:v>
                </c:pt>
                <c:pt idx="34">
                  <c:v>7.9850648004560352</c:v>
                </c:pt>
                <c:pt idx="35">
                  <c:v>8.4842693154369879</c:v>
                </c:pt>
                <c:pt idx="36">
                  <c:v>8.998889269852226</c:v>
                </c:pt>
                <c:pt idx="37">
                  <c:v>9.5289432326876877</c:v>
                </c:pt>
                <c:pt idx="38">
                  <c:v>10.074449634608213</c:v>
                </c:pt>
                <c:pt idx="39">
                  <c:v>10.63542676578486</c:v>
                </c:pt>
                <c:pt idx="40">
                  <c:v>11.211892773822738</c:v>
                </c:pt>
                <c:pt idx="41">
                  <c:v>11.803860402368862</c:v>
                </c:pt>
                <c:pt idx="42">
                  <c:v>12.411331715763811</c:v>
                </c:pt>
                <c:pt idx="43">
                  <c:v>13.034303336940619</c:v>
                </c:pt>
                <c:pt idx="44">
                  <c:v>13.672771699736666</c:v>
                </c:pt>
                <c:pt idx="45">
                  <c:v>14.326733047819415</c:v>
                </c:pt>
                <c:pt idx="46">
                  <c:v>14.996183433682525</c:v>
                </c:pt>
                <c:pt idx="47">
                  <c:v>15.681118717707127</c:v>
                </c:pt>
                <c:pt idx="48">
                  <c:v>16.381534567283673</c:v>
                </c:pt>
                <c:pt idx="49">
                  <c:v>17.097426455990202</c:v>
                </c:pt>
                <c:pt idx="50">
                  <c:v>17.828789662823397</c:v>
                </c:pt>
                <c:pt idx="51">
                  <c:v>18.575619271479084</c:v>
                </c:pt>
                <c:pt idx="52">
                  <c:v>19.337910169679283</c:v>
                </c:pt>
                <c:pt idx="53">
                  <c:v>20.115657048543085</c:v>
                </c:pt>
                <c:pt idx="54">
                  <c:v>20.908854401999015</c:v>
                </c:pt>
                <c:pt idx="55">
                  <c:v>21.717496526236687</c:v>
                </c:pt>
                <c:pt idx="56">
                  <c:v>22.541577519195783</c:v>
                </c:pt>
                <c:pt idx="57">
                  <c:v>23.381091280090605</c:v>
                </c:pt>
                <c:pt idx="58">
                  <c:v>24.236031508968555</c:v>
                </c:pt>
                <c:pt idx="59">
                  <c:v>25.106391706301096</c:v>
                </c:pt>
                <c:pt idx="60">
                  <c:v>25.992165172605819</c:v>
                </c:pt>
                <c:pt idx="61">
                  <c:v>26.893345008098414</c:v>
                </c:pt>
                <c:pt idx="62">
                  <c:v>27.809924112373409</c:v>
                </c:pt>
                <c:pt idx="63">
                  <c:v>28.741895184112654</c:v>
                </c:pt>
                <c:pt idx="64">
                  <c:v>29.689250720820588</c:v>
                </c:pt>
                <c:pt idx="65">
                  <c:v>30.651983018585437</c:v>
                </c:pt>
                <c:pt idx="66">
                  <c:v>31.630084171865516</c:v>
                </c:pt>
                <c:pt idx="67">
                  <c:v>32.62354607329992</c:v>
                </c:pt>
                <c:pt idx="68">
                  <c:v>33.632360413542884</c:v>
                </c:pt>
                <c:pt idx="69">
                  <c:v>34.656518681121227</c:v>
                </c:pt>
                <c:pt idx="70">
                  <c:v>35.69601216231424</c:v>
                </c:pt>
                <c:pt idx="71">
                  <c:v>36.75083194105548</c:v>
                </c:pt>
                <c:pt idx="72">
                  <c:v>37.82096889885603</c:v>
                </c:pt>
                <c:pt idx="73">
                  <c:v>38.906413714748616</c:v>
                </c:pt>
                <c:pt idx="74">
                  <c:v>40.00715686525227</c:v>
                </c:pt>
                <c:pt idx="75">
                  <c:v>41.12318862435707</c:v>
                </c:pt>
                <c:pt idx="76">
                  <c:v>42.254499063528542</c:v>
                </c:pt>
                <c:pt idx="77">
                  <c:v>43.401078051731403</c:v>
                </c:pt>
                <c:pt idx="78">
                  <c:v>44.562915255472312</c:v>
                </c:pt>
                <c:pt idx="79">
                  <c:v>45.740000138861248</c:v>
                </c:pt>
                <c:pt idx="80">
                  <c:v>46.932321963691273</c:v>
                </c:pt>
                <c:pt idx="81">
                  <c:v>48.139864422620498</c:v>
                </c:pt>
                <c:pt idx="82">
                  <c:v>49.362600260516437</c:v>
                </c:pt>
                <c:pt idx="83">
                  <c:v>50.600496626797494</c:v>
                </c:pt>
                <c:pt idx="84">
                  <c:v>51.853520440092936</c:v>
                </c:pt>
                <c:pt idx="85">
                  <c:v>53.121638389303747</c:v>
                </c:pt>
                <c:pt idx="86">
                  <c:v>54.40481693468324</c:v>
                </c:pt>
                <c:pt idx="87">
                  <c:v>55.703022308937122</c:v>
                </c:pt>
                <c:pt idx="88">
                  <c:v>57.016220518342564</c:v>
                </c:pt>
                <c:pt idx="89">
                  <c:v>58.344377343885952</c:v>
                </c:pt>
                <c:pt idx="90">
                  <c:v>59.687458342418907</c:v>
                </c:pt>
                <c:pt idx="91">
                  <c:v>61.045426473207243</c:v>
                </c:pt>
                <c:pt idx="92">
                  <c:v>62.41823971967262</c:v>
                </c:pt>
                <c:pt idx="93">
                  <c:v>63.805853459542291</c:v>
                </c:pt>
                <c:pt idx="94">
                  <c:v>65.208222840061339</c:v>
                </c:pt>
                <c:pt idx="95">
                  <c:v>66.625302779676446</c:v>
                </c:pt>
                <c:pt idx="96">
                  <c:v>68.05704796973626</c:v>
                </c:pt>
                <c:pt idx="97">
                  <c:v>69.503412876207904</c:v>
                </c:pt>
                <c:pt idx="98">
                  <c:v>70.964351741409232</c:v>
                </c:pt>
                <c:pt idx="99">
                  <c:v>72.439818585756555</c:v>
                </c:pt>
                <c:pt idx="100">
                  <c:v>73.929767209527313</c:v>
                </c:pt>
                <c:pt idx="101">
                  <c:v>75.434150814277572</c:v>
                </c:pt>
                <c:pt idx="102">
                  <c:v>76.952921623574568</c:v>
                </c:pt>
                <c:pt idx="103">
                  <c:v>78.486031264390817</c:v>
                </c:pt>
                <c:pt idx="104">
                  <c:v>80.033431149247576</c:v>
                </c:pt>
                <c:pt idx="105">
                  <c:v>81.595072478120144</c:v>
                </c:pt>
                <c:pt idx="106">
                  <c:v>83.170906240356075</c:v>
                </c:pt>
                <c:pt idx="107">
                  <c:v>84.760883216605734</c:v>
                </c:pt>
                <c:pt idx="108">
                  <c:v>86.364953980764994</c:v>
                </c:pt>
                <c:pt idx="109">
                  <c:v>87.983068901929698</c:v>
                </c:pt>
                <c:pt idx="110">
                  <c:v>89.615178146361458</c:v>
                </c:pt>
                <c:pt idx="111">
                  <c:v>91.261236064969438</c:v>
                </c:pt>
                <c:pt idx="112">
                  <c:v>92.921205588025856</c:v>
                </c:pt>
                <c:pt idx="113">
                  <c:v>94.595053848995107</c:v>
                </c:pt>
                <c:pt idx="114">
                  <c:v>96.282747800752887</c:v>
                </c:pt>
                <c:pt idx="115">
                  <c:v>97.984254216810271</c:v>
                </c:pt>
                <c:pt idx="116">
                  <c:v>99.699539692548342</c:v>
                </c:pt>
                <c:pt idx="117">
                  <c:v>101.42857064646307</c:v>
                </c:pt>
                <c:pt idx="118">
                  <c:v>103.17131332142036</c:v>
                </c:pt>
                <c:pt idx="119">
                  <c:v>104.92773378592094</c:v>
                </c:pt>
                <c:pt idx="120">
                  <c:v>106.69779793537506</c:v>
                </c:pt>
                <c:pt idx="121">
                  <c:v>108.4814642092374</c:v>
                </c:pt>
                <c:pt idx="122">
                  <c:v>110.27867629734055</c:v>
                </c:pt>
                <c:pt idx="123">
                  <c:v>112.08937041547584</c:v>
                </c:pt>
                <c:pt idx="124">
                  <c:v>113.91348259247557</c:v>
                </c:pt>
                <c:pt idx="125">
                  <c:v>115.75094867289528</c:v>
                </c:pt>
                <c:pt idx="126">
                  <c:v>117.60170431970077</c:v>
                </c:pt>
                <c:pt idx="127">
                  <c:v>119.46568501695968</c:v>
                </c:pt>
                <c:pt idx="128">
                  <c:v>121.34282607253705</c:v>
                </c:pt>
                <c:pt idx="129">
                  <c:v>123.2330626207945</c:v>
                </c:pt>
                <c:pt idx="130">
                  <c:v>125.1363296252927</c:v>
                </c:pt>
                <c:pt idx="131">
                  <c:v>127.05255997182877</c:v>
                </c:pt>
                <c:pt idx="132">
                  <c:v>128.98168255907402</c:v>
                </c:pt>
                <c:pt idx="133">
                  <c:v>130.92362420915705</c:v>
                </c:pt>
                <c:pt idx="134">
                  <c:v>132.87831158084617</c:v>
                </c:pt>
                <c:pt idx="135">
                  <c:v>134.84567117265215</c:v>
                </c:pt>
                <c:pt idx="136">
                  <c:v>136.82562932593001</c:v>
                </c:pt>
                <c:pt idx="137">
                  <c:v>138.81811222797924</c:v>
                </c:pt>
                <c:pt idx="138">
                  <c:v>140.82304591514207</c:v>
                </c:pt>
                <c:pt idx="139">
                  <c:v>142.84035627589932</c:v>
                </c:pt>
                <c:pt idx="140">
                  <c:v>144.86996905396333</c:v>
                </c:pt>
                <c:pt idx="141">
                  <c:v>146.91178698708333</c:v>
                </c:pt>
                <c:pt idx="142">
                  <c:v>148.96566692288272</c:v>
                </c:pt>
                <c:pt idx="143">
                  <c:v>151.03144267539574</c:v>
                </c:pt>
                <c:pt idx="144">
                  <c:v>153.10894790750638</c:v>
                </c:pt>
                <c:pt idx="145">
                  <c:v>155.19801613987988</c:v>
                </c:pt>
                <c:pt idx="146">
                  <c:v>157.2984807598383</c:v>
                </c:pt>
                <c:pt idx="147">
                  <c:v>159.41017503017829</c:v>
                </c:pt>
                <c:pt idx="148">
                  <c:v>161.5329320979302</c:v>
                </c:pt>
                <c:pt idx="149">
                  <c:v>163.66658500305633</c:v>
                </c:pt>
                <c:pt idx="150">
                  <c:v>165.81096668708767</c:v>
                </c:pt>
                <c:pt idx="151">
                  <c:v>167.96591000169732</c:v>
                </c:pt>
                <c:pt idx="152">
                  <c:v>170.13124771720939</c:v>
                </c:pt>
                <c:pt idx="153">
                  <c:v>172.30681253104228</c:v>
                </c:pt>
                <c:pt idx="154">
                  <c:v>174.49243707608477</c:v>
                </c:pt>
                <c:pt idx="155">
                  <c:v>176.68795392900398</c:v>
                </c:pt>
                <c:pt idx="156">
                  <c:v>178.89308714213681</c:v>
                </c:pt>
                <c:pt idx="157">
                  <c:v>181.10734374515161</c:v>
                </c:pt>
                <c:pt idx="158">
                  <c:v>183.33012231697492</c:v>
                </c:pt>
                <c:pt idx="159">
                  <c:v>185.56082161710287</c:v>
                </c:pt>
                <c:pt idx="160">
                  <c:v>187.79884065168349</c:v>
                </c:pt>
                <c:pt idx="161">
                  <c:v>190.04344076972521</c:v>
                </c:pt>
                <c:pt idx="162">
                  <c:v>192.29360783695529</c:v>
                </c:pt>
                <c:pt idx="163">
                  <c:v>194.54820373809588</c:v>
                </c:pt>
                <c:pt idx="164">
                  <c:v>196.80611785876218</c:v>
                </c:pt>
                <c:pt idx="165">
                  <c:v>199.06638591248998</c:v>
                </c:pt>
                <c:pt idx="166">
                  <c:v>201.32830857749934</c:v>
                </c:pt>
                <c:pt idx="167">
                  <c:v>203.59121916885027</c:v>
                </c:pt>
                <c:pt idx="168">
                  <c:v>205.85432411080905</c:v>
                </c:pt>
                <c:pt idx="169">
                  <c:v>208.11659647290509</c:v>
                </c:pt>
                <c:pt idx="170">
                  <c:v>210.37674232348601</c:v>
                </c:pt>
                <c:pt idx="171">
                  <c:v>212.63385665462681</c:v>
                </c:pt>
                <c:pt idx="172">
                  <c:v>214.88771531735478</c:v>
                </c:pt>
                <c:pt idx="173">
                  <c:v>217.13832534242837</c:v>
                </c:pt>
                <c:pt idx="174">
                  <c:v>219.38569373336375</c:v>
                </c:pt>
                <c:pt idx="175">
                  <c:v>221.62982746657516</c:v>
                </c:pt>
                <c:pt idx="176">
                  <c:v>223.8707334915145</c:v>
                </c:pt>
                <c:pt idx="177">
                  <c:v>226.10841873080986</c:v>
                </c:pt>
                <c:pt idx="178">
                  <c:v>228.34289008040329</c:v>
                </c:pt>
                <c:pt idx="179">
                  <c:v>230.57415440968754</c:v>
                </c:pt>
                <c:pt idx="180">
                  <c:v>232.80221856164206</c:v>
                </c:pt>
                <c:pt idx="181">
                  <c:v>235.02708935296801</c:v>
                </c:pt>
                <c:pt idx="182">
                  <c:v>237.24877357422241</c:v>
                </c:pt>
                <c:pt idx="183">
                  <c:v>239.46727798995155</c:v>
                </c:pt>
                <c:pt idx="184">
                  <c:v>241.68260933882334</c:v>
                </c:pt>
                <c:pt idx="185">
                  <c:v>243.89477433375896</c:v>
                </c:pt>
                <c:pt idx="186">
                  <c:v>246.10377966206366</c:v>
                </c:pt>
                <c:pt idx="187">
                  <c:v>248.30963198555665</c:v>
                </c:pt>
                <c:pt idx="188">
                  <c:v>250.51233794070015</c:v>
                </c:pt>
                <c:pt idx="189">
                  <c:v>252.7119041387277</c:v>
                </c:pt>
                <c:pt idx="190">
                  <c:v>254.90833716577166</c:v>
                </c:pt>
                <c:pt idx="191">
                  <c:v>257.10164358298971</c:v>
                </c:pt>
                <c:pt idx="192">
                  <c:v>259.29182992669087</c:v>
                </c:pt>
                <c:pt idx="193">
                  <c:v>261.47890270846034</c:v>
                </c:pt>
                <c:pt idx="194">
                  <c:v>263.66286841528387</c:v>
                </c:pt>
                <c:pt idx="195">
                  <c:v>265.8437335096711</c:v>
                </c:pt>
                <c:pt idx="196">
                  <c:v>268.02150442977836</c:v>
                </c:pt>
                <c:pt idx="197">
                  <c:v>270.19618758953044</c:v>
                </c:pt>
                <c:pt idx="198">
                  <c:v>272.3677893787418</c:v>
                </c:pt>
                <c:pt idx="199">
                  <c:v>274.5363161632369</c:v>
                </c:pt>
                <c:pt idx="200">
                  <c:v>276.7017742849697</c:v>
                </c:pt>
                <c:pt idx="201">
                  <c:v>298.18806844452359</c:v>
                </c:pt>
                <c:pt idx="202">
                  <c:v>319.37155913113872</c:v>
                </c:pt>
                <c:pt idx="203">
                  <c:v>340.25836315811733</c:v>
                </c:pt>
                <c:pt idx="204">
                  <c:v>360.85437383944549</c:v>
                </c:pt>
                <c:pt idx="205">
                  <c:v>381.1652717252208</c:v>
                </c:pt>
                <c:pt idx="206">
                  <c:v>401.19653469204792</c:v>
                </c:pt>
                <c:pt idx="207">
                  <c:v>420.95344743459793</c:v>
                </c:pt>
                <c:pt idx="208">
                  <c:v>440.44111040069697</c:v>
                </c:pt>
                <c:pt idx="209">
                  <c:v>459.66444820883692</c:v>
                </c:pt>
                <c:pt idx="210">
                  <c:v>478.62821758385189</c:v>
                </c:pt>
                <c:pt idx="211">
                  <c:v>497.33701484364508</c:v>
                </c:pt>
                <c:pt idx="212">
                  <c:v>515.79528296724777</c:v>
                </c:pt>
                <c:pt idx="213">
                  <c:v>534.00731827212758</c:v>
                </c:pt>
                <c:pt idx="214">
                  <c:v>551.97727672650228</c:v>
                </c:pt>
                <c:pt idx="215">
                  <c:v>569.70917992045008</c:v>
                </c:pt>
                <c:pt idx="216">
                  <c:v>587.2069207178065</c:v>
                </c:pt>
                <c:pt idx="217">
                  <c:v>604.47426860919734</c:v>
                </c:pt>
                <c:pt idx="218">
                  <c:v>621.51487478504953</c:v>
                </c:pt>
                <c:pt idx="219">
                  <c:v>638.33227694604579</c:v>
                </c:pt>
                <c:pt idx="220">
                  <c:v>654.92990386722522</c:v>
                </c:pt>
                <c:pt idx="221">
                  <c:v>671.31107973076951</c:v>
                </c:pt>
                <c:pt idx="222">
                  <c:v>687.47902824145251</c:v>
                </c:pt>
                <c:pt idx="223">
                  <c:v>703.43687653774646</c:v>
                </c:pt>
                <c:pt idx="224">
                  <c:v>719.1876589106804</c:v>
                </c:pt>
                <c:pt idx="225">
                  <c:v>734.73432034171162</c:v>
                </c:pt>
                <c:pt idx="226">
                  <c:v>750.07971987010762</c:v>
                </c:pt>
                <c:pt idx="227">
                  <c:v>765.22663379962705</c:v>
                </c:pt>
                <c:pt idx="228">
                  <c:v>780.17775875363714</c:v>
                </c:pt>
                <c:pt idx="229">
                  <c:v>794.93571458719885</c:v>
                </c:pt>
                <c:pt idx="230">
                  <c:v>809.50304716409653</c:v>
                </c:pt>
                <c:pt idx="231">
                  <c:v>823.8822310062684</c:v>
                </c:pt>
                <c:pt idx="232">
                  <c:v>838.07567182261812</c:v>
                </c:pt>
                <c:pt idx="233">
                  <c:v>852.08570892374257</c:v>
                </c:pt>
                <c:pt idx="234">
                  <c:v>865.9146175286993</c:v>
                </c:pt>
                <c:pt idx="235">
                  <c:v>879.5646109695557</c:v>
                </c:pt>
                <c:pt idx="236">
                  <c:v>893.03784279910587</c:v>
                </c:pt>
                <c:pt idx="237">
                  <c:v>906.3364088068106</c:v>
                </c:pt>
                <c:pt idx="238">
                  <c:v>919.46234894771032</c:v>
                </c:pt>
                <c:pt idx="239">
                  <c:v>932.41764918877345</c:v>
                </c:pt>
                <c:pt idx="240">
                  <c:v>945.20424327687579</c:v>
                </c:pt>
                <c:pt idx="241">
                  <c:v>957.82401443236006</c:v>
                </c:pt>
                <c:pt idx="242">
                  <c:v>970.27879697189155</c:v>
                </c:pt>
                <c:pt idx="243">
                  <c:v>982.57037786410933</c:v>
                </c:pt>
                <c:pt idx="244">
                  <c:v>994.70049822137241</c:v>
                </c:pt>
                <c:pt idx="245">
                  <c:v>1006.6708547307095</c:v>
                </c:pt>
                <c:pt idx="246">
                  <c:v>1018.483101026906</c:v>
                </c:pt>
                <c:pt idx="247">
                  <c:v>1030.1388490104957</c:v>
                </c:pt>
                <c:pt idx="248">
                  <c:v>1041.6396701132724</c:v>
                </c:pt>
                <c:pt idx="249">
                  <c:v>1052.987096513787</c:v>
                </c:pt>
                <c:pt idx="250">
                  <c:v>1064.1826223051685</c:v>
                </c:pt>
                <c:pt idx="251">
                  <c:v>1075.2277046174697</c:v>
                </c:pt>
                <c:pt idx="252">
                  <c:v>1086.1237646966292</c:v>
                </c:pt>
                <c:pt idx="253">
                  <c:v>1096.8721889420215</c:v>
                </c:pt>
                <c:pt idx="254">
                  <c:v>1107.4743299044674</c:v>
                </c:pt>
                <c:pt idx="255">
                  <c:v>1117.9315072464747</c:v>
                </c:pt>
                <c:pt idx="256">
                  <c:v>1128.2450086663891</c:v>
                </c:pt>
                <c:pt idx="257">
                  <c:v>1138.4160907880448</c:v>
                </c:pt>
                <c:pt idx="258">
                  <c:v>1148.4459800174252</c:v>
                </c:pt>
                <c:pt idx="259">
                  <c:v>1158.3358733677655</c:v>
                </c:pt>
                <c:pt idx="260">
                  <c:v>1168.0869392544566</c:v>
                </c:pt>
                <c:pt idx="261">
                  <c:v>1177.7003182610395</c:v>
                </c:pt>
                <c:pt idx="262">
                  <c:v>1187.1771238775182</c:v>
                </c:pt>
                <c:pt idx="263">
                  <c:v>1196.5184432121555</c:v>
                </c:pt>
                <c:pt idx="264">
                  <c:v>1205.7253376778583</c:v>
                </c:pt>
                <c:pt idx="265">
                  <c:v>1214.7988436542075</c:v>
                </c:pt>
                <c:pt idx="266">
                  <c:v>1223.7399731261344</c:v>
                </c:pt>
                <c:pt idx="267">
                  <c:v>1232.5497143001958</c:v>
                </c:pt>
                <c:pt idx="268">
                  <c:v>1241.2290321993603</c:v>
                </c:pt>
                <c:pt idx="269">
                  <c:v>1249.7788692371664</c:v>
                </c:pt>
                <c:pt idx="270">
                  <c:v>1258.2001457720798</c:v>
                </c:pt>
                <c:pt idx="271">
                  <c:v>1266.4937606428352</c:v>
                </c:pt>
                <c:pt idx="272">
                  <c:v>1274.6605916855115</c:v>
                </c:pt>
                <c:pt idx="273">
                  <c:v>1282.701496233057</c:v>
                </c:pt>
                <c:pt idx="274">
                  <c:v>1290.6173115979454</c:v>
                </c:pt>
                <c:pt idx="275">
                  <c:v>1298.4088555386154</c:v>
                </c:pt>
                <c:pt idx="276">
                  <c:v>1306.0769267103153</c:v>
                </c:pt>
                <c:pt idx="277">
                  <c:v>1313.622305100949</c:v>
                </c:pt>
                <c:pt idx="278">
                  <c:v>1321.0457524524904</c:v>
                </c:pt>
                <c:pt idx="279">
                  <c:v>1328.348012668511</c:v>
                </c:pt>
                <c:pt idx="280">
                  <c:v>1335.5298122083414</c:v>
                </c:pt>
                <c:pt idx="281">
                  <c:v>1342.5918604683645</c:v>
                </c:pt>
                <c:pt idx="282">
                  <c:v>1349.5348501509188</c:v>
                </c:pt>
                <c:pt idx="283">
                  <c:v>1356.3594576212674</c:v>
                </c:pt>
                <c:pt idx="284">
                  <c:v>1363.066343253075</c:v>
                </c:pt>
                <c:pt idx="285">
                  <c:v>1369.6561517628111</c:v>
                </c:pt>
                <c:pt idx="286">
                  <c:v>1376.129512533485</c:v>
                </c:pt>
                <c:pt idx="287">
                  <c:v>1382.4870399281037</c:v>
                </c:pt>
                <c:pt idx="288">
                  <c:v>1388.7293335932236</c:v>
                </c:pt>
                <c:pt idx="289">
                  <c:v>1394.8569787529584</c:v>
                </c:pt>
                <c:pt idx="290">
                  <c:v>1400.8705464937912</c:v>
                </c:pt>
                <c:pt idx="291">
                  <c:v>1406.7705940405247</c:v>
                </c:pt>
                <c:pt idx="292">
                  <c:v>1412.5576650236951</c:v>
                </c:pt>
                <c:pt idx="293">
                  <c:v>1418.2322897387626</c:v>
                </c:pt>
                <c:pt idx="294">
                  <c:v>1423.7949853973826</c:v>
                </c:pt>
                <c:pt idx="295">
                  <c:v>1429.2462563710544</c:v>
                </c:pt>
                <c:pt idx="296">
                  <c:v>1434.5865944274333</c:v>
                </c:pt>
                <c:pt idx="297">
                  <c:v>1439.816478959588</c:v>
                </c:pt>
                <c:pt idx="298">
                  <c:v>1444.9363772084766</c:v>
                </c:pt>
                <c:pt idx="299">
                  <c:v>1449.9467444789107</c:v>
                </c:pt>
                <c:pt idx="300">
                  <c:v>1454.8480243492709</c:v>
                </c:pt>
                <c:pt idx="301">
                  <c:v>1459.6406488752384</c:v>
                </c:pt>
                <c:pt idx="302">
                  <c:v>1464.3250387877956</c:v>
                </c:pt>
                <c:pt idx="303">
                  <c:v>1468.9016036857581</c:v>
                </c:pt>
                <c:pt idx="304">
                  <c:v>1473.3707422230914</c:v>
                </c:pt>
                <c:pt idx="305">
                  <c:v>1477.7328422912717</c:v>
                </c:pt>
                <c:pt idx="306">
                  <c:v>1481.988281196951</c:v>
                </c:pt>
                <c:pt idx="307">
                  <c:v>1486.1374258351873</c:v>
                </c:pt>
                <c:pt idx="308">
                  <c:v>1490.1806328585112</c:v>
                </c:pt>
                <c:pt idx="309">
                  <c:v>1494.1182488421023</c:v>
                </c:pt>
                <c:pt idx="310">
                  <c:v>1497.9506104453583</c:v>
                </c:pt>
                <c:pt idx="311">
                  <c:v>1501.6780445701515</c:v>
                </c:pt>
                <c:pt idx="312">
                  <c:v>1505.3008685160778</c:v>
                </c:pt>
                <c:pt idx="313">
                  <c:v>1508.8193901330187</c:v>
                </c:pt>
                <c:pt idx="314">
                  <c:v>1512.2339079713545</c:v>
                </c:pt>
                <c:pt idx="315">
                  <c:v>1515.5447114301844</c:v>
                </c:pt>
                <c:pt idx="316">
                  <c:v>1518.7520809039358</c:v>
                </c:pt>
                <c:pt idx="317">
                  <c:v>1521.856287927767</c:v>
                </c:pt>
                <c:pt idx="318">
                  <c:v>1524.8575953221971</c:v>
                </c:pt>
                <c:pt idx="319">
                  <c:v>1527.7562573374339</c:v>
                </c:pt>
                <c:pt idx="320">
                  <c:v>1530.5525197978991</c:v>
                </c:pt>
                <c:pt idx="321">
                  <c:v>1533.2466202474986</c:v>
                </c:pt>
                <c:pt idx="322">
                  <c:v>1535.8387880962241</c:v>
                </c:pt>
                <c:pt idx="323">
                  <c:v>1538.3292447687206</c:v>
                </c:pt>
                <c:pt idx="324">
                  <c:v>1540.7182038555113</c:v>
                </c:pt>
                <c:pt idx="325">
                  <c:v>1543.0058712676168</c:v>
                </c:pt>
                <c:pt idx="326">
                  <c:v>1545.1924453953729</c:v>
                </c:pt>
                <c:pt idx="327">
                  <c:v>1547.278117272303</c:v>
                </c:pt>
                <c:pt idx="328">
                  <c:v>1549.2630707449644</c:v>
                </c:pt>
                <c:pt idx="329">
                  <c:v>1551.1474826497463</c:v>
                </c:pt>
                <c:pt idx="330">
                  <c:v>1552.931522997648</c:v>
                </c:pt>
                <c:pt idx="331">
                  <c:v>1554.6153551681195</c:v>
                </c:pt>
                <c:pt idx="332">
                  <c:v>1556.1991361130772</c:v>
                </c:pt>
                <c:pt idx="333">
                  <c:v>1557.6830165722383</c:v>
                </c:pt>
                <c:pt idx="334">
                  <c:v>1559.0671413009147</c:v>
                </c:pt>
                <c:pt idx="335">
                  <c:v>1560.3516493113871</c:v>
                </c:pt>
                <c:pt idx="336">
                  <c:v>1561.5366741289292</c:v>
                </c:pt>
                <c:pt idx="337">
                  <c:v>1562.6223440634592</c:v>
                </c:pt>
                <c:pt idx="338">
                  <c:v>1563.6087824976619</c:v>
                </c:pt>
                <c:pt idx="339">
                  <c:v>1564.4961081922449</c:v>
                </c:pt>
                <c:pt idx="340">
                  <c:v>1565.2844356087567</c:v>
                </c:pt>
                <c:pt idx="341">
                  <c:v>1565.9738752501087</c:v>
                </c:pt>
                <c:pt idx="342">
                  <c:v>1566.564534018609</c:v>
                </c:pt>
                <c:pt idx="343">
                  <c:v>1567.0565155909271</c:v>
                </c:pt>
                <c:pt idx="344">
                  <c:v>1567.4499208089997</c:v>
                </c:pt>
                <c:pt idx="345">
                  <c:v>1567.7448480854459</c:v>
                </c:pt>
                <c:pt idx="346">
                  <c:v>1567.9413938216237</c:v>
                </c:pt>
                <c:pt idx="347">
                  <c:v>1568.0396528360352</c:v>
                </c:pt>
                <c:pt idx="348">
                  <c:v>1568.0397188004185</c:v>
                </c:pt>
                <c:pt idx="349">
                  <c:v>1567.9416846805457</c:v>
                </c:pt>
                <c:pt idx="350">
                  <c:v>1567.745643178519</c:v>
                </c:pt>
                <c:pt idx="351">
                  <c:v>1567.4516871732339</c:v>
                </c:pt>
                <c:pt idx="352">
                  <c:v>1567.0599101556518</c:v>
                </c:pt>
                <c:pt idx="353">
                  <c:v>1566.5704066556229</c:v>
                </c:pt>
                <c:pt idx="354">
                  <c:v>1565.9832726571901</c:v>
                </c:pt>
                <c:pt idx="355">
                  <c:v>1565.2986059995912</c:v>
                </c:pt>
                <c:pt idx="356">
                  <c:v>1564.516506761541</c:v>
                </c:pt>
                <c:pt idx="357">
                  <c:v>1563.6370776267743</c:v>
                </c:pt>
                <c:pt idx="358">
                  <c:v>1562.6604242292788</c:v>
                </c:pt>
                <c:pt idx="359">
                  <c:v>1561.5866554770812</c:v>
                </c:pt>
                <c:pt idx="360">
                  <c:v>1560.4158838538804</c:v>
                </c:pt>
                <c:pt idx="361">
                  <c:v>1559.1482256982199</c:v>
                </c:pt>
                <c:pt idx="362">
                  <c:v>1557.7838014602439</c:v>
                </c:pt>
                <c:pt idx="363">
                  <c:v>1556.3227359363855</c:v>
                </c:pt>
                <c:pt idx="364">
                  <c:v>1554.765158482588</c:v>
                </c:pt>
                <c:pt idx="365">
                  <c:v>1553.1112032068581</c:v>
                </c:pt>
                <c:pt idx="366">
                  <c:v>1551.3610091420937</c:v>
                </c:pt>
                <c:pt idx="367">
                  <c:v>1549.5147204002344</c:v>
                </c:pt>
                <c:pt idx="368">
                  <c:v>1547.5724863088403</c:v>
                </c:pt>
                <c:pt idx="369">
                  <c:v>1545.5344615312347</c:v>
                </c:pt>
                <c:pt idx="370">
                  <c:v>1543.400806171345</c:v>
                </c:pt>
                <c:pt idx="371">
                  <c:v>1541.1716858643522</c:v>
                </c:pt>
                <c:pt idx="372">
                  <c:v>1538.8472718542246</c:v>
                </c:pt>
                <c:pt idx="373">
                  <c:v>1536.4277410591581</c:v>
                </c:pt>
                <c:pt idx="374">
                  <c:v>1533.9132761258907</c:v>
                </c:pt>
                <c:pt idx="375">
                  <c:v>1531.3040654737931</c:v>
                </c:pt>
                <c:pt idx="376">
                  <c:v>1528.6003033295765</c:v>
                </c:pt>
                <c:pt idx="377">
                  <c:v>1525.8021897533922</c:v>
                </c:pt>
                <c:pt idx="378">
                  <c:v>1522.9099306570367</c:v>
                </c:pt>
                <c:pt idx="379">
                  <c:v>1519.9237378149126</c:v>
                </c:pt>
                <c:pt idx="380">
                  <c:v>1516.8438288683433</c:v>
                </c:pt>
                <c:pt idx="381">
                  <c:v>1513.6704273237817</c:v>
                </c:pt>
                <c:pt idx="382">
                  <c:v>1510.4037625454052</c:v>
                </c:pt>
                <c:pt idx="383">
                  <c:v>1507.0440697425456</c:v>
                </c:pt>
                <c:pt idx="384">
                  <c:v>1503.5915899523554</c:v>
                </c:pt>
                <c:pt idx="385">
                  <c:v>1500.0465700180819</c:v>
                </c:pt>
                <c:pt idx="386">
                  <c:v>1496.4092625632766</c:v>
                </c:pt>
                <c:pt idx="387">
                  <c:v>1492.6799259622451</c:v>
                </c:pt>
                <c:pt idx="388">
                  <c:v>1488.858824307008</c:v>
                </c:pt>
                <c:pt idx="389">
                  <c:v>1484.9462273710221</c:v>
                </c:pt>
                <c:pt idx="390">
                  <c:v>1480.9424105698856</c:v>
                </c:pt>
                <c:pt idx="391">
                  <c:v>1476.8476549192344</c:v>
                </c:pt>
                <c:pt idx="392">
                  <c:v>1472.6622469900126</c:v>
                </c:pt>
                <c:pt idx="393">
                  <c:v>1468.3864788612923</c:v>
                </c:pt>
                <c:pt idx="394">
                  <c:v>1464.0206480707939</c:v>
                </c:pt>
                <c:pt idx="395">
                  <c:v>1459.5650575632533</c:v>
                </c:pt>
                <c:pt idx="396">
                  <c:v>1455.0200156367659</c:v>
                </c:pt>
                <c:pt idx="397">
                  <c:v>1450.3858358872299</c:v>
                </c:pt>
                <c:pt idx="398">
                  <c:v>1445.6628371509978</c:v>
                </c:pt>
                <c:pt idx="399">
                  <c:v>1440.8513434458437</c:v>
                </c:pt>
                <c:pt idx="400">
                  <c:v>1435.9516839103405</c:v>
                </c:pt>
                <c:pt idx="401">
                  <c:v>1430.9641927417374</c:v>
                </c:pt>
                <c:pt idx="402">
                  <c:v>1425.889209132421</c:v>
                </c:pt>
                <c:pt idx="403">
                  <c:v>1420.7270772050406</c:v>
                </c:pt>
                <c:pt idx="404">
                  <c:v>1415.47814594637</c:v>
                </c:pt>
                <c:pt idx="405">
                  <c:v>1410.1427691399765</c:v>
                </c:pt>
                <c:pt idx="406">
                  <c:v>1404.7213052977627</c:v>
                </c:pt>
                <c:pt idx="407">
                  <c:v>1399.2141175904446</c:v>
                </c:pt>
                <c:pt idx="408">
                  <c:v>1393.6215737770256</c:v>
                </c:pt>
                <c:pt idx="409">
                  <c:v>1387.9440461333218</c:v>
                </c:pt>
                <c:pt idx="410">
                  <c:v>1382.1819113795955</c:v>
                </c:pt>
                <c:pt idx="411">
                  <c:v>1376.3355506073474</c:v>
                </c:pt>
                <c:pt idx="412">
                  <c:v>1370.4053492053183</c:v>
                </c:pt>
                <c:pt idx="413">
                  <c:v>1364.391696784749</c:v>
                </c:pt>
                <c:pt idx="414">
                  <c:v>1358.2949871039432</c:v>
                </c:pt>
                <c:pt idx="415">
                  <c:v>1352.1156179921818</c:v>
                </c:pt>
                <c:pt idx="416">
                  <c:v>1345.8539912730298</c:v>
                </c:pt>
                <c:pt idx="417">
                  <c:v>1339.5105126870783</c:v>
                </c:pt>
                <c:pt idx="418">
                  <c:v>1333.0855918141649</c:v>
                </c:pt>
                <c:pt idx="419">
                  <c:v>1326.57964199511</c:v>
                </c:pt>
                <c:pt idx="420">
                  <c:v>1319.9930802530107</c:v>
                </c:pt>
                <c:pt idx="421">
                  <c:v>1313.3263272141278</c:v>
                </c:pt>
                <c:pt idx="422">
                  <c:v>1306.5798070284059</c:v>
                </c:pt>
                <c:pt idx="423">
                  <c:v>1299.7539472896617</c:v>
                </c:pt>
                <c:pt idx="424">
                  <c:v>1292.8491789554757</c:v>
                </c:pt>
                <c:pt idx="425">
                  <c:v>1285.8659362668229</c:v>
                </c:pt>
                <c:pt idx="426">
                  <c:v>1278.8046566674777</c:v>
                </c:pt>
                <c:pt idx="427">
                  <c:v>1271.6657807232241</c:v>
                </c:pt>
                <c:pt idx="428">
                  <c:v>1264.4497520409066</c:v>
                </c:pt>
                <c:pt idx="429">
                  <c:v>1257.1570171873525</c:v>
                </c:pt>
                <c:pt idx="430">
                  <c:v>1249.7880256081983</c:v>
                </c:pt>
                <c:pt idx="431">
                  <c:v>1242.3432295466498</c:v>
                </c:pt>
                <c:pt idx="432">
                  <c:v>1234.8230839622083</c:v>
                </c:pt>
                <c:pt idx="433">
                  <c:v>1227.228046449392</c:v>
                </c:pt>
                <c:pt idx="434">
                  <c:v>1219.5585771564806</c:v>
                </c:pt>
                <c:pt idx="435">
                  <c:v>1211.8151387043151</c:v>
                </c:pt>
                <c:pt idx="436">
                  <c:v>1203.9981961051783</c:v>
                </c:pt>
                <c:pt idx="437">
                  <c:v>1196.1082166817848</c:v>
                </c:pt>
                <c:pt idx="438">
                  <c:v>1188.1456699864086</c:v>
                </c:pt>
                <c:pt idx="439">
                  <c:v>1180.1110277201735</c:v>
                </c:pt>
                <c:pt idx="440">
                  <c:v>1172.0047636525339</c:v>
                </c:pt>
                <c:pt idx="441">
                  <c:v>1163.8273535409717</c:v>
                </c:pt>
                <c:pt idx="442">
                  <c:v>1155.5792750509329</c:v>
                </c:pt>
                <c:pt idx="443">
                  <c:v>1147.2610076760318</c:v>
                </c:pt>
                <c:pt idx="444">
                  <c:v>1138.873032658543</c:v>
                </c:pt>
                <c:pt idx="445">
                  <c:v>1130.4158329102092</c:v>
                </c:pt>
                <c:pt idx="446">
                  <c:v>1121.8898929333848</c:v>
                </c:pt>
                <c:pt idx="447">
                  <c:v>1113.2956987425393</c:v>
                </c:pt>
                <c:pt idx="448">
                  <c:v>1104.6337377861441</c:v>
                </c:pt>
                <c:pt idx="449">
                  <c:v>1095.9044988689609</c:v>
                </c:pt>
                <c:pt idx="450">
                  <c:v>1087.1084720747569</c:v>
                </c:pt>
                <c:pt idx="451">
                  <c:v>1078.2461486894654</c:v>
                </c:pt>
                <c:pt idx="452">
                  <c:v>1069.3180211248118</c:v>
                </c:pt>
                <c:pt idx="453">
                  <c:v>1060.3245828424265</c:v>
                </c:pt>
                <c:pt idx="454">
                  <c:v>1051.266328278462</c:v>
                </c:pt>
                <c:pt idx="455">
                  <c:v>1042.1437527687342</c:v>
                </c:pt>
                <c:pt idx="456">
                  <c:v>1032.957352474406</c:v>
                </c:pt>
                <c:pt idx="457">
                  <c:v>1023.7076243082297</c:v>
                </c:pt>
                <c:pt idx="458">
                  <c:v>1014.3950658613678</c:v>
                </c:pt>
                <c:pt idx="459">
                  <c:v>1005.0201753308068</c:v>
                </c:pt>
                <c:pt idx="460">
                  <c:v>995.58345144738064</c:v>
                </c:pt>
                <c:pt idx="461">
                  <c:v>986.0853934044211</c:v>
                </c:pt>
                <c:pt idx="462">
                  <c:v>976.52650078704767</c:v>
                </c:pt>
                <c:pt idx="463">
                  <c:v>966.90727350211409</c:v>
                </c:pt>
                <c:pt idx="464">
                  <c:v>957.2282117088248</c:v>
                </c:pt>
                <c:pt idx="465">
                  <c:v>947.48981575003415</c:v>
                </c:pt>
                <c:pt idx="466">
                  <c:v>937.69258608424354</c:v>
                </c:pt>
                <c:pt idx="467">
                  <c:v>927.83702321830742</c:v>
                </c:pt>
                <c:pt idx="468">
                  <c:v>917.92362764086158</c:v>
                </c:pt>
                <c:pt idx="469">
                  <c:v>907.9528997564845</c:v>
                </c:pt>
                <c:pt idx="470">
                  <c:v>897.92533982060422</c:v>
                </c:pt>
                <c:pt idx="471">
                  <c:v>887.84144787516038</c:v>
                </c:pt>
                <c:pt idx="472">
                  <c:v>877.70172368503222</c:v>
                </c:pt>
                <c:pt idx="473">
                  <c:v>867.50666667524229</c:v>
                </c:pt>
                <c:pt idx="474">
                  <c:v>857.25677586894551</c:v>
                </c:pt>
                <c:pt idx="475">
                  <c:v>846.95254982621179</c:v>
                </c:pt>
                <c:pt idx="476">
                  <c:v>836.59448658361146</c:v>
                </c:pt>
                <c:pt idx="477">
                  <c:v>826.18308359461025</c:v>
                </c:pt>
                <c:pt idx="478">
                  <c:v>815.71883767078236</c:v>
                </c:pt>
                <c:pt idx="479">
                  <c:v>805.20224492384864</c:v>
                </c:pt>
                <c:pt idx="480">
                  <c:v>794.6338007085451</c:v>
                </c:pt>
                <c:pt idx="481">
                  <c:v>784.01399956632963</c:v>
                </c:pt>
                <c:pt idx="482">
                  <c:v>773.34333516993149</c:v>
                </c:pt>
                <c:pt idx="483">
                  <c:v>762.62230026874863</c:v>
                </c:pt>
                <c:pt idx="484">
                  <c:v>751.85138663509883</c:v>
                </c:pt>
                <c:pt idx="485">
                  <c:v>741.0310850113276</c:v>
                </c:pt>
                <c:pt idx="486">
                  <c:v>730.16188505777745</c:v>
                </c:pt>
                <c:pt idx="487">
                  <c:v>719.24427530162257</c:v>
                </c:pt>
                <c:pt idx="488">
                  <c:v>708.27874308657067</c:v>
                </c:pt>
                <c:pt idx="489">
                  <c:v>697.26577452343622</c:v>
                </c:pt>
                <c:pt idx="490">
                  <c:v>686.20585444158587</c:v>
                </c:pt>
                <c:pt idx="491">
                  <c:v>675.09946634125959</c:v>
                </c:pt>
                <c:pt idx="492">
                  <c:v>663.94709234676748</c:v>
                </c:pt>
                <c:pt idx="493">
                  <c:v>652.74921316056452</c:v>
                </c:pt>
                <c:pt idx="494">
                  <c:v>641.50630801820341</c:v>
                </c:pt>
                <c:pt idx="495">
                  <c:v>630.21885464416641</c:v>
                </c:pt>
                <c:pt idx="496">
                  <c:v>618.88732920857524</c:v>
                </c:pt>
                <c:pt idx="497">
                  <c:v>607.51220628478018</c:v>
                </c:pt>
                <c:pt idx="498">
                  <c:v>596.09395880782654</c:v>
                </c:pt>
                <c:pt idx="499">
                  <c:v>584.63305803379797</c:v>
                </c:pt>
                <c:pt idx="500">
                  <c:v>573.12997350003502</c:v>
                </c:pt>
                <c:pt idx="501">
                  <c:v>561.58517298622758</c:v>
                </c:pt>
                <c:pt idx="502">
                  <c:v>549.99912247637928</c:v>
                </c:pt>
                <c:pt idx="503">
                  <c:v>538.37228612164131</c:v>
                </c:pt>
                <c:pt idx="504">
                  <c:v>526.70512620401269</c:v>
                </c:pt>
                <c:pt idx="505">
                  <c:v>514.99810310090527</c:v>
                </c:pt>
                <c:pt idx="506">
                  <c:v>503.25167525056901</c:v>
                </c:pt>
                <c:pt idx="507">
                  <c:v>491.46629911837505</c:v>
                </c:pt>
                <c:pt idx="508">
                  <c:v>479.64242916395199</c:v>
                </c:pt>
                <c:pt idx="509">
                  <c:v>467.78051780917218</c:v>
                </c:pt>
                <c:pt idx="510">
                  <c:v>455.88101540698301</c:v>
                </c:pt>
                <c:pt idx="511">
                  <c:v>443.9443702110795</c:v>
                </c:pt>
                <c:pt idx="512">
                  <c:v>431.97102834641248</c:v>
                </c:pt>
                <c:pt idx="513">
                  <c:v>419.9614337805283</c:v>
                </c:pt>
                <c:pt idx="514">
                  <c:v>407.91602829573418</c:v>
                </c:pt>
                <c:pt idx="515">
                  <c:v>395.83525146208387</c:v>
                </c:pt>
                <c:pt idx="516">
                  <c:v>383.71954061117839</c:v>
                </c:pt>
                <c:pt idx="517">
                  <c:v>371.56933081077528</c:v>
                </c:pt>
                <c:pt idx="518">
                  <c:v>359.38505484020078</c:v>
                </c:pt>
                <c:pt idx="519">
                  <c:v>347.16714316655856</c:v>
                </c:pt>
                <c:pt idx="520">
                  <c:v>334.91602392172854</c:v>
                </c:pt>
                <c:pt idx="521">
                  <c:v>322.63212288014881</c:v>
                </c:pt>
                <c:pt idx="522">
                  <c:v>310.31586343737473</c:v>
                </c:pt>
                <c:pt idx="523">
                  <c:v>297.96766658940697</c:v>
                </c:pt>
                <c:pt idx="524">
                  <c:v>285.58795091278262</c:v>
                </c:pt>
                <c:pt idx="525">
                  <c:v>273.1771325454211</c:v>
                </c:pt>
                <c:pt idx="526">
                  <c:v>260.73562516821806</c:v>
                </c:pt>
                <c:pt idx="527">
                  <c:v>248.26383998737938</c:v>
                </c:pt>
                <c:pt idx="528">
                  <c:v>235.7621857174876</c:v>
                </c:pt>
                <c:pt idx="529">
                  <c:v>223.23106856529313</c:v>
                </c:pt>
                <c:pt idx="530">
                  <c:v>210.67089221422214</c:v>
                </c:pt>
                <c:pt idx="531">
                  <c:v>198.08205780959295</c:v>
                </c:pt>
                <c:pt idx="532">
                  <c:v>185.46496394453311</c:v>
                </c:pt>
                <c:pt idx="533">
                  <c:v>172.82000664658847</c:v>
                </c:pt>
                <c:pt idx="534">
                  <c:v>160.14757936501633</c:v>
                </c:pt>
                <c:pt idx="535">
                  <c:v>147.44807295875384</c:v>
                </c:pt>
                <c:pt idx="536">
                  <c:v>134.72187568505322</c:v>
                </c:pt>
                <c:pt idx="537">
                  <c:v>121.96937318877546</c:v>
                </c:pt>
                <c:pt idx="538">
                  <c:v>109.19094849233339</c:v>
                </c:pt>
                <c:pt idx="539">
                  <c:v>96.386981986275714</c:v>
                </c:pt>
                <c:pt idx="540">
                  <c:v>83.55785142050307</c:v>
                </c:pt>
                <c:pt idx="541">
                  <c:v>70.703931896107321</c:v>
                </c:pt>
                <c:pt idx="542">
                  <c:v>57.825595857825071</c:v>
                </c:pt>
                <c:pt idx="543">
                  <c:v>44.923213087096606</c:v>
                </c:pt>
                <c:pt idx="544">
                  <c:v>31.997150695721189</c:v>
                </c:pt>
                <c:pt idx="545">
                  <c:v>19.047773120099716</c:v>
                </c:pt>
                <c:pt idx="546">
                  <c:v>6.0754421160557044</c:v>
                </c:pt>
                <c:pt idx="547">
                  <c:v>-6.9194832457744635</c:v>
                </c:pt>
                <c:pt idx="548">
                  <c:v>-6.9324893899136759</c:v>
                </c:pt>
                <c:pt idx="549">
                  <c:v>-6.9454955561131708</c:v>
                </c:pt>
                <c:pt idx="550">
                  <c:v>-6.9585017443725965</c:v>
                </c:pt>
                <c:pt idx="551">
                  <c:v>-6.9715079546916021</c:v>
                </c:pt>
                <c:pt idx="552">
                  <c:v>-6.9845141870698351</c:v>
                </c:pt>
                <c:pt idx="553">
                  <c:v>-6.9975204415069445</c:v>
                </c:pt>
                <c:pt idx="554">
                  <c:v>-7.0105267180025779</c:v>
                </c:pt>
                <c:pt idx="555">
                  <c:v>-7.0235330165563843</c:v>
                </c:pt>
                <c:pt idx="556">
                  <c:v>-7.0365393371680121</c:v>
                </c:pt>
                <c:pt idx="557">
                  <c:v>-7.0495456798371094</c:v>
                </c:pt>
                <c:pt idx="558">
                  <c:v>-7.0625520445633247</c:v>
                </c:pt>
                <c:pt idx="559">
                  <c:v>-7.0755584313463071</c:v>
                </c:pt>
                <c:pt idx="560">
                  <c:v>-7.088564840185704</c:v>
                </c:pt>
                <c:pt idx="561">
                  <c:v>-7.1015712710811636</c:v>
                </c:pt>
                <c:pt idx="562">
                  <c:v>-7.1145777240323351</c:v>
                </c:pt>
                <c:pt idx="563">
                  <c:v>-7.1275841990388669</c:v>
                </c:pt>
                <c:pt idx="564">
                  <c:v>-7.1405906961004071</c:v>
                </c:pt>
                <c:pt idx="565">
                  <c:v>-7.1535972152166041</c:v>
                </c:pt>
                <c:pt idx="566">
                  <c:v>-7.1666037563871061</c:v>
                </c:pt>
                <c:pt idx="567">
                  <c:v>-7.1796103196115624</c:v>
                </c:pt>
                <c:pt idx="568">
                  <c:v>-7.1926169048896202</c:v>
                </c:pt>
                <c:pt idx="569">
                  <c:v>-7.2056235122209289</c:v>
                </c:pt>
                <c:pt idx="570">
                  <c:v>-7.2186301416051366</c:v>
                </c:pt>
                <c:pt idx="571">
                  <c:v>-7.2316367930418908</c:v>
                </c:pt>
                <c:pt idx="572">
                  <c:v>-7.2446434665308415</c:v>
                </c:pt>
                <c:pt idx="573">
                  <c:v>-7.257650162071636</c:v>
                </c:pt>
                <c:pt idx="574">
                  <c:v>-7.2706568796639228</c:v>
                </c:pt>
                <c:pt idx="575">
                  <c:v>-7.283663619307351</c:v>
                </c:pt>
                <c:pt idx="576">
                  <c:v>-7.2966703810015687</c:v>
                </c:pt>
                <c:pt idx="577">
                  <c:v>-7.3096771647462244</c:v>
                </c:pt>
                <c:pt idx="578">
                  <c:v>-7.3226839705409663</c:v>
                </c:pt>
                <c:pt idx="579">
                  <c:v>-7.3356907983854427</c:v>
                </c:pt>
                <c:pt idx="580">
                  <c:v>-7.3486976482793027</c:v>
                </c:pt>
                <c:pt idx="581">
                  <c:v>-7.3617045202221947</c:v>
                </c:pt>
                <c:pt idx="582">
                  <c:v>-7.3747114142137669</c:v>
                </c:pt>
                <c:pt idx="583">
                  <c:v>-7.3877183302536675</c:v>
                </c:pt>
                <c:pt idx="584">
                  <c:v>-7.400725268341545</c:v>
                </c:pt>
                <c:pt idx="585">
                  <c:v>-7.4137322284770484</c:v>
                </c:pt>
                <c:pt idx="586">
                  <c:v>-7.4267392106598251</c:v>
                </c:pt>
                <c:pt idx="587">
                  <c:v>-7.4397462148895244</c:v>
                </c:pt>
                <c:pt idx="588">
                  <c:v>-7.4527532411657944</c:v>
                </c:pt>
                <c:pt idx="589">
                  <c:v>-7.4657602894882844</c:v>
                </c:pt>
                <c:pt idx="590">
                  <c:v>-7.4787673598566418</c:v>
                </c:pt>
                <c:pt idx="591">
                  <c:v>-7.4917744522705156</c:v>
                </c:pt>
                <c:pt idx="592">
                  <c:v>-7.5047815667295543</c:v>
                </c:pt>
                <c:pt idx="593">
                  <c:v>-7.5177887032334061</c:v>
                </c:pt>
                <c:pt idx="594">
                  <c:v>-7.5307958617817201</c:v>
                </c:pt>
                <c:pt idx="595">
                  <c:v>-7.5438030423741447</c:v>
                </c:pt>
                <c:pt idx="596">
                  <c:v>-7.5568102450103272</c:v>
                </c:pt>
                <c:pt idx="597">
                  <c:v>-7.5698174696899176</c:v>
                </c:pt>
                <c:pt idx="598">
                  <c:v>-7.5828247164125635</c:v>
                </c:pt>
                <c:pt idx="599">
                  <c:v>-7.5958319851779139</c:v>
                </c:pt>
                <c:pt idx="600">
                  <c:v>-7.6088392759856172</c:v>
                </c:pt>
                <c:pt idx="601">
                  <c:v>-7.6218465888353215</c:v>
                </c:pt>
                <c:pt idx="602">
                  <c:v>-7.6348539237266753</c:v>
                </c:pt>
                <c:pt idx="603">
                  <c:v>-7.6478612806593276</c:v>
                </c:pt>
                <c:pt idx="604">
                  <c:v>-7.6608686596329267</c:v>
                </c:pt>
                <c:pt idx="605">
                  <c:v>-7.673876060647121</c:v>
                </c:pt>
                <c:pt idx="606">
                  <c:v>-7.6868834837015587</c:v>
                </c:pt>
                <c:pt idx="607">
                  <c:v>-7.699890928795889</c:v>
                </c:pt>
                <c:pt idx="608">
                  <c:v>-7.7128983959297601</c:v>
                </c:pt>
                <c:pt idx="609">
                  <c:v>-7.7259058851028204</c:v>
                </c:pt>
                <c:pt idx="610">
                  <c:v>-7.738913396314719</c:v>
                </c:pt>
                <c:pt idx="611">
                  <c:v>-7.7519209295651041</c:v>
                </c:pt>
                <c:pt idx="612">
                  <c:v>-7.7649284848536242</c:v>
                </c:pt>
                <c:pt idx="613">
                  <c:v>-7.7779360621799274</c:v>
                </c:pt>
                <c:pt idx="614">
                  <c:v>-7.7909436615436629</c:v>
                </c:pt>
                <c:pt idx="615">
                  <c:v>-7.803951282944479</c:v>
                </c:pt>
                <c:pt idx="616">
                  <c:v>-7.8169589263820241</c:v>
                </c:pt>
                <c:pt idx="617">
                  <c:v>-7.8299665918559462</c:v>
                </c:pt>
                <c:pt idx="618">
                  <c:v>-7.8429742793658948</c:v>
                </c:pt>
                <c:pt idx="619">
                  <c:v>-7.8559819889115179</c:v>
                </c:pt>
                <c:pt idx="620">
                  <c:v>-7.8689897204924648</c:v>
                </c:pt>
                <c:pt idx="621">
                  <c:v>-7.8819974741083838</c:v>
                </c:pt>
                <c:pt idx="622">
                  <c:v>-7.8950052497589231</c:v>
                </c:pt>
                <c:pt idx="623">
                  <c:v>-7.9080130474437311</c:v>
                </c:pt>
                <c:pt idx="624">
                  <c:v>-7.9210208671624569</c:v>
                </c:pt>
                <c:pt idx="625">
                  <c:v>-7.9340287089147488</c:v>
                </c:pt>
                <c:pt idx="626">
                  <c:v>-7.947036572700255</c:v>
                </c:pt>
                <c:pt idx="627">
                  <c:v>-7.9600444585186247</c:v>
                </c:pt>
                <c:pt idx="628">
                  <c:v>-7.9730523663695063</c:v>
                </c:pt>
                <c:pt idx="629">
                  <c:v>-7.986060296252548</c:v>
                </c:pt>
                <c:pt idx="630">
                  <c:v>-7.9990682481673989</c:v>
                </c:pt>
                <c:pt idx="631">
                  <c:v>-8.0120762221137074</c:v>
                </c:pt>
                <c:pt idx="632">
                  <c:v>-8.0250842180911217</c:v>
                </c:pt>
                <c:pt idx="633">
                  <c:v>-8.0380922360992901</c:v>
                </c:pt>
                <c:pt idx="634">
                  <c:v>-8.0511002761378627</c:v>
                </c:pt>
                <c:pt idx="635">
                  <c:v>-8.0641083382064878</c:v>
                </c:pt>
                <c:pt idx="636">
                  <c:v>-8.0771164223048117</c:v>
                </c:pt>
                <c:pt idx="637">
                  <c:v>-8.0901245284324865</c:v>
                </c:pt>
                <c:pt idx="638">
                  <c:v>-8.1031326565891586</c:v>
                </c:pt>
                <c:pt idx="639">
                  <c:v>-8.1161408067744762</c:v>
                </c:pt>
                <c:pt idx="640">
                  <c:v>-8.1291489789880895</c:v>
                </c:pt>
                <c:pt idx="641">
                  <c:v>-8.1421571732296467</c:v>
                </c:pt>
                <c:pt idx="642">
                  <c:v>-8.1551653894987961</c:v>
                </c:pt>
                <c:pt idx="643">
                  <c:v>-8.168173627795186</c:v>
                </c:pt>
                <c:pt idx="644">
                  <c:v>-8.1811818881184646</c:v>
                </c:pt>
                <c:pt idx="645">
                  <c:v>-8.194190170468282</c:v>
                </c:pt>
                <c:pt idx="646">
                  <c:v>-8.2071984748442848</c:v>
                </c:pt>
                <c:pt idx="647">
                  <c:v>-8.2202068012461229</c:v>
                </c:pt>
                <c:pt idx="648">
                  <c:v>-8.2332151496734447</c:v>
                </c:pt>
                <c:pt idx="649">
                  <c:v>-8.2462235201259002</c:v>
                </c:pt>
                <c:pt idx="650">
                  <c:v>-8.2592319126031359</c:v>
                </c:pt>
                <c:pt idx="651">
                  <c:v>-8.2722403271048019</c:v>
                </c:pt>
                <c:pt idx="652">
                  <c:v>-8.2852487636305465</c:v>
                </c:pt>
                <c:pt idx="653">
                  <c:v>-8.2982572221800179</c:v>
                </c:pt>
                <c:pt idx="654">
                  <c:v>-8.3112657027528645</c:v>
                </c:pt>
                <c:pt idx="655">
                  <c:v>-8.3242742053487362</c:v>
                </c:pt>
                <c:pt idx="656">
                  <c:v>-8.3372827299672814</c:v>
                </c:pt>
                <c:pt idx="657">
                  <c:v>-8.3502912766081465</c:v>
                </c:pt>
                <c:pt idx="658">
                  <c:v>-8.3632998452709835</c:v>
                </c:pt>
                <c:pt idx="659">
                  <c:v>-8.3763084359554387</c:v>
                </c:pt>
                <c:pt idx="660">
                  <c:v>-8.3893170486611623</c:v>
                </c:pt>
                <c:pt idx="661">
                  <c:v>-8.4023256833878008</c:v>
                </c:pt>
                <c:pt idx="662">
                  <c:v>-8.4153343401350043</c:v>
                </c:pt>
                <c:pt idx="663">
                  <c:v>-8.4283430189024227</c:v>
                </c:pt>
                <c:pt idx="664">
                  <c:v>-8.4413517196897025</c:v>
                </c:pt>
                <c:pt idx="665">
                  <c:v>-8.454360442496494</c:v>
                </c:pt>
                <c:pt idx="666">
                  <c:v>-8.4673691873224453</c:v>
                </c:pt>
                <c:pt idx="667">
                  <c:v>-8.4803779541672046</c:v>
                </c:pt>
                <c:pt idx="668">
                  <c:v>-8.4933867430304204</c:v>
                </c:pt>
                <c:pt idx="669">
                  <c:v>-8.5063955539117426</c:v>
                </c:pt>
                <c:pt idx="670">
                  <c:v>-8.5194043868108178</c:v>
                </c:pt>
                <c:pt idx="671">
                  <c:v>-8.532413241727296</c:v>
                </c:pt>
                <c:pt idx="672">
                  <c:v>-8.5454221186608272</c:v>
                </c:pt>
                <c:pt idx="673">
                  <c:v>-8.5584310176110581</c:v>
                </c:pt>
                <c:pt idx="674">
                  <c:v>-8.5714399385776385</c:v>
                </c:pt>
                <c:pt idx="675">
                  <c:v>-8.5844488815602169</c:v>
                </c:pt>
                <c:pt idx="676">
                  <c:v>-8.5974578465584415</c:v>
                </c:pt>
                <c:pt idx="677">
                  <c:v>-8.6104668335719605</c:v>
                </c:pt>
                <c:pt idx="678">
                  <c:v>-8.6234758426004241</c:v>
                </c:pt>
                <c:pt idx="679">
                  <c:v>-8.6364848736434805</c:v>
                </c:pt>
                <c:pt idx="680">
                  <c:v>-8.649493926700778</c:v>
                </c:pt>
                <c:pt idx="681">
                  <c:v>-8.6625030017719666</c:v>
                </c:pt>
                <c:pt idx="682">
                  <c:v>-8.6755120988566929</c:v>
                </c:pt>
                <c:pt idx="683">
                  <c:v>-8.688521217954607</c:v>
                </c:pt>
                <c:pt idx="684">
                  <c:v>-8.701530359065357</c:v>
                </c:pt>
                <c:pt idx="685">
                  <c:v>-8.7145395221885931</c:v>
                </c:pt>
                <c:pt idx="686">
                  <c:v>-8.7275487073239617</c:v>
                </c:pt>
                <c:pt idx="687">
                  <c:v>-8.740557914471113</c:v>
                </c:pt>
                <c:pt idx="688">
                  <c:v>-8.7535671436296951</c:v>
                </c:pt>
                <c:pt idx="689">
                  <c:v>-8.7665763947993582</c:v>
                </c:pt>
                <c:pt idx="690">
                  <c:v>-8.7795856679797488</c:v>
                </c:pt>
                <c:pt idx="691">
                  <c:v>-8.7925949631705169</c:v>
                </c:pt>
                <c:pt idx="692">
                  <c:v>-8.8056042803713126</c:v>
                </c:pt>
                <c:pt idx="693">
                  <c:v>-8.8186136195817824</c:v>
                </c:pt>
                <c:pt idx="694">
                  <c:v>-8.8316229808015763</c:v>
                </c:pt>
                <c:pt idx="695">
                  <c:v>-8.8446323640303426</c:v>
                </c:pt>
                <c:pt idx="696">
                  <c:v>-8.8576417692677296</c:v>
                </c:pt>
                <c:pt idx="697">
                  <c:v>-8.8706511965133856</c:v>
                </c:pt>
                <c:pt idx="698">
                  <c:v>-8.8836606457669607</c:v>
                </c:pt>
                <c:pt idx="699">
                  <c:v>-8.8966701170281031</c:v>
                </c:pt>
                <c:pt idx="700">
                  <c:v>-8.9096796102964628</c:v>
                </c:pt>
                <c:pt idx="701">
                  <c:v>-8.9226891255716865</c:v>
                </c:pt>
                <c:pt idx="702">
                  <c:v>-8.9356986628534241</c:v>
                </c:pt>
                <c:pt idx="703">
                  <c:v>-8.9487082221413239</c:v>
                </c:pt>
                <c:pt idx="704">
                  <c:v>-8.961717803435036</c:v>
                </c:pt>
                <c:pt idx="705">
                  <c:v>-8.9747274067342069</c:v>
                </c:pt>
                <c:pt idx="706">
                  <c:v>-8.9877370320384866</c:v>
                </c:pt>
                <c:pt idx="707">
                  <c:v>-9.0007466793475253</c:v>
                </c:pt>
                <c:pt idx="708">
                  <c:v>-9.0137563486609693</c:v>
                </c:pt>
                <c:pt idx="709">
                  <c:v>-9.0267660399784688</c:v>
                </c:pt>
                <c:pt idx="710">
                  <c:v>-9.0397757532996721</c:v>
                </c:pt>
                <c:pt idx="711">
                  <c:v>-9.0527854886242292</c:v>
                </c:pt>
                <c:pt idx="712">
                  <c:v>-9.0657952459517883</c:v>
                </c:pt>
                <c:pt idx="713">
                  <c:v>-9.0788050252819978</c:v>
                </c:pt>
                <c:pt idx="714">
                  <c:v>-9.091814826614506</c:v>
                </c:pt>
                <c:pt idx="715">
                  <c:v>-9.1048246499489611</c:v>
                </c:pt>
                <c:pt idx="716">
                  <c:v>-9.1178344952850132</c:v>
                </c:pt>
                <c:pt idx="717">
                  <c:v>-9.1308443626223124</c:v>
                </c:pt>
                <c:pt idx="718">
                  <c:v>-9.1438542519605051</c:v>
                </c:pt>
                <c:pt idx="719">
                  <c:v>-9.1568641632992414</c:v>
                </c:pt>
                <c:pt idx="720">
                  <c:v>-9.1698740966381695</c:v>
                </c:pt>
                <c:pt idx="721">
                  <c:v>-9.1828840519769379</c:v>
                </c:pt>
                <c:pt idx="722">
                  <c:v>-9.1958940293151965</c:v>
                </c:pt>
                <c:pt idx="723">
                  <c:v>-9.2089040286525936</c:v>
                </c:pt>
                <c:pt idx="724">
                  <c:v>-9.2219140499887793</c:v>
                </c:pt>
                <c:pt idx="725">
                  <c:v>-9.2349240933234</c:v>
                </c:pt>
                <c:pt idx="726">
                  <c:v>-9.2479341586561059</c:v>
                </c:pt>
                <c:pt idx="727">
                  <c:v>-9.2609442459865452</c:v>
                </c:pt>
                <c:pt idx="728">
                  <c:v>-9.273954355314368</c:v>
                </c:pt>
                <c:pt idx="729">
                  <c:v>-9.2869644866392225</c:v>
                </c:pt>
                <c:pt idx="730">
                  <c:v>-9.299974639960757</c:v>
                </c:pt>
                <c:pt idx="731">
                  <c:v>-9.3129848152786217</c:v>
                </c:pt>
                <c:pt idx="732">
                  <c:v>-9.3259950125924647</c:v>
                </c:pt>
                <c:pt idx="733">
                  <c:v>-9.3390052319019343</c:v>
                </c:pt>
                <c:pt idx="734">
                  <c:v>-9.3520154732066789</c:v>
                </c:pt>
                <c:pt idx="735">
                  <c:v>-9.3650257365063485</c:v>
                </c:pt>
                <c:pt idx="736">
                  <c:v>-9.3780360218005914</c:v>
                </c:pt>
                <c:pt idx="737">
                  <c:v>-9.3910463290890576</c:v>
                </c:pt>
                <c:pt idx="738">
                  <c:v>-9.4040566583713954</c:v>
                </c:pt>
                <c:pt idx="739">
                  <c:v>-9.4170670096472531</c:v>
                </c:pt>
                <c:pt idx="740">
                  <c:v>-9.4300773829162789</c:v>
                </c:pt>
                <c:pt idx="741">
                  <c:v>-9.4430877781781231</c:v>
                </c:pt>
                <c:pt idx="742">
                  <c:v>-9.4560981954324337</c:v>
                </c:pt>
                <c:pt idx="743">
                  <c:v>-9.4691086346788609</c:v>
                </c:pt>
                <c:pt idx="744">
                  <c:v>-9.4821190959170529</c:v>
                </c:pt>
                <c:pt idx="745">
                  <c:v>-9.4951295791466581</c:v>
                </c:pt>
                <c:pt idx="746">
                  <c:v>-9.5081400843673247</c:v>
                </c:pt>
                <c:pt idx="747">
                  <c:v>-9.5211506115787028</c:v>
                </c:pt>
                <c:pt idx="748">
                  <c:v>-9.5341611607804406</c:v>
                </c:pt>
                <c:pt idx="749">
                  <c:v>-9.5471717319721883</c:v>
                </c:pt>
                <c:pt idx="750">
                  <c:v>-9.560182325153594</c:v>
                </c:pt>
                <c:pt idx="751">
                  <c:v>-9.5731929403243061</c:v>
                </c:pt>
                <c:pt idx="752">
                  <c:v>-9.5862035774839747</c:v>
                </c:pt>
                <c:pt idx="753">
                  <c:v>-9.5992142366322479</c:v>
                </c:pt>
                <c:pt idx="754">
                  <c:v>-9.6122249177687742</c:v>
                </c:pt>
                <c:pt idx="755">
                  <c:v>-9.6252356208932035</c:v>
                </c:pt>
                <c:pt idx="756">
                  <c:v>-9.6382463460051842</c:v>
                </c:pt>
                <c:pt idx="757">
                  <c:v>-9.6512570931043644</c:v>
                </c:pt>
                <c:pt idx="758">
                  <c:v>-9.6642678621903944</c:v>
                </c:pt>
                <c:pt idx="759">
                  <c:v>-9.6772786532629222</c:v>
                </c:pt>
                <c:pt idx="760">
                  <c:v>-9.6902894663215982</c:v>
                </c:pt>
                <c:pt idx="761">
                  <c:v>-9.7033003013660686</c:v>
                </c:pt>
                <c:pt idx="762">
                  <c:v>-9.7163111583959854</c:v>
                </c:pt>
                <c:pt idx="763">
                  <c:v>-9.729322037410995</c:v>
                </c:pt>
                <c:pt idx="764">
                  <c:v>-9.7423329384107475</c:v>
                </c:pt>
                <c:pt idx="765">
                  <c:v>-9.7553438613948913</c:v>
                </c:pt>
                <c:pt idx="766">
                  <c:v>-9.7683548063630763</c:v>
                </c:pt>
                <c:pt idx="767">
                  <c:v>-9.7813657733149508</c:v>
                </c:pt>
                <c:pt idx="768">
                  <c:v>-9.794376762250165</c:v>
                </c:pt>
                <c:pt idx="769">
                  <c:v>-9.8073877731683652</c:v>
                </c:pt>
                <c:pt idx="770">
                  <c:v>-9.8203988060692033</c:v>
                </c:pt>
                <c:pt idx="771">
                  <c:v>-9.8334098609523259</c:v>
                </c:pt>
                <c:pt idx="772">
                  <c:v>-9.846420937817383</c:v>
                </c:pt>
                <c:pt idx="773">
                  <c:v>-9.8594320366640247</c:v>
                </c:pt>
                <c:pt idx="774">
                  <c:v>-9.8724431574918974</c:v>
                </c:pt>
                <c:pt idx="775">
                  <c:v>-9.8854543003006512</c:v>
                </c:pt>
                <c:pt idx="776">
                  <c:v>-9.8984654650899362</c:v>
                </c:pt>
                <c:pt idx="777">
                  <c:v>-9.9114766518594006</c:v>
                </c:pt>
                <c:pt idx="778">
                  <c:v>-9.9244878606086928</c:v>
                </c:pt>
                <c:pt idx="779">
                  <c:v>-9.9374990913374628</c:v>
                </c:pt>
                <c:pt idx="780">
                  <c:v>-9.9505103440453588</c:v>
                </c:pt>
                <c:pt idx="781">
                  <c:v>-9.9635216187320292</c:v>
                </c:pt>
                <c:pt idx="782">
                  <c:v>-9.9765329153971241</c:v>
                </c:pt>
                <c:pt idx="783">
                  <c:v>-9.9895442340402916</c:v>
                </c:pt>
                <c:pt idx="784">
                  <c:v>-10.002555574661182</c:v>
                </c:pt>
                <c:pt idx="785">
                  <c:v>-10.015566937259443</c:v>
                </c:pt>
                <c:pt idx="786">
                  <c:v>-10.028578321834724</c:v>
                </c:pt>
                <c:pt idx="787">
                  <c:v>-10.041589728386674</c:v>
                </c:pt>
                <c:pt idx="788">
                  <c:v>-10.054601156914943</c:v>
                </c:pt>
                <c:pt idx="789">
                  <c:v>-10.067612607419179</c:v>
                </c:pt>
                <c:pt idx="790">
                  <c:v>-10.08062407989903</c:v>
                </c:pt>
                <c:pt idx="791">
                  <c:v>-10.093635574354147</c:v>
                </c:pt>
                <c:pt idx="792">
                  <c:v>-10.106647090784179</c:v>
                </c:pt>
                <c:pt idx="793">
                  <c:v>-10.119658629188773</c:v>
                </c:pt>
                <c:pt idx="794">
                  <c:v>-10.13267018956758</c:v>
                </c:pt>
                <c:pt idx="795">
                  <c:v>-10.145681771920248</c:v>
                </c:pt>
                <c:pt idx="796">
                  <c:v>-10.158693376246426</c:v>
                </c:pt>
                <c:pt idx="797">
                  <c:v>-10.171705002545762</c:v>
                </c:pt>
                <c:pt idx="798">
                  <c:v>-10.184716650817908</c:v>
                </c:pt>
                <c:pt idx="799">
                  <c:v>-10.197728321062511</c:v>
                </c:pt>
                <c:pt idx="800">
                  <c:v>-10.210740013279221</c:v>
                </c:pt>
                <c:pt idx="801">
                  <c:v>-10.223751727467686</c:v>
                </c:pt>
                <c:pt idx="802">
                  <c:v>-10.236763463627556</c:v>
                </c:pt>
                <c:pt idx="803">
                  <c:v>-10.249775221758478</c:v>
                </c:pt>
                <c:pt idx="804">
                  <c:v>-10.262787001860103</c:v>
                </c:pt>
                <c:pt idx="805">
                  <c:v>-10.27579880393208</c:v>
                </c:pt>
                <c:pt idx="806">
                  <c:v>-10.288810627974057</c:v>
                </c:pt>
                <c:pt idx="807">
                  <c:v>-10.301822473985684</c:v>
                </c:pt>
                <c:pt idx="808">
                  <c:v>-10.314834341966609</c:v>
                </c:pt>
                <c:pt idx="809">
                  <c:v>-10.327846231916482</c:v>
                </c:pt>
                <c:pt idx="810">
                  <c:v>-10.340858143834952</c:v>
                </c:pt>
                <c:pt idx="811">
                  <c:v>-10.353870077721668</c:v>
                </c:pt>
                <c:pt idx="812">
                  <c:v>-10.366882033576278</c:v>
                </c:pt>
                <c:pt idx="813">
                  <c:v>-10.379894011398433</c:v>
                </c:pt>
                <c:pt idx="814">
                  <c:v>-10.392906011187781</c:v>
                </c:pt>
                <c:pt idx="815">
                  <c:v>-10.405918032943971</c:v>
                </c:pt>
                <c:pt idx="816">
                  <c:v>-10.418930076666653</c:v>
                </c:pt>
                <c:pt idx="817">
                  <c:v>-10.431942142355474</c:v>
                </c:pt>
                <c:pt idx="818">
                  <c:v>-10.444954230010085</c:v>
                </c:pt>
                <c:pt idx="819">
                  <c:v>-10.457966339630135</c:v>
                </c:pt>
                <c:pt idx="820">
                  <c:v>-10.470978471215272</c:v>
                </c:pt>
                <c:pt idx="821">
                  <c:v>-10.483990624765147</c:v>
                </c:pt>
                <c:pt idx="822">
                  <c:v>-10.497002800279407</c:v>
                </c:pt>
                <c:pt idx="823">
                  <c:v>-10.510014997757702</c:v>
                </c:pt>
                <c:pt idx="824">
                  <c:v>-10.523027217199681</c:v>
                </c:pt>
                <c:pt idx="825">
                  <c:v>-10.536039458604993</c:v>
                </c:pt>
                <c:pt idx="826">
                  <c:v>-10.549051721973287</c:v>
                </c:pt>
                <c:pt idx="827">
                  <c:v>-10.562064007304212</c:v>
                </c:pt>
                <c:pt idx="828">
                  <c:v>-10.575076314597418</c:v>
                </c:pt>
                <c:pt idx="829">
                  <c:v>-10.588088643852553</c:v>
                </c:pt>
                <c:pt idx="830">
                  <c:v>-10.601100995069267</c:v>
                </c:pt>
                <c:pt idx="831">
                  <c:v>-10.614113368247208</c:v>
                </c:pt>
                <c:pt idx="832">
                  <c:v>-10.627125763386026</c:v>
                </c:pt>
                <c:pt idx="833">
                  <c:v>-10.640138180485369</c:v>
                </c:pt>
                <c:pt idx="834">
                  <c:v>-10.653150619544888</c:v>
                </c:pt>
                <c:pt idx="835">
                  <c:v>-10.666163080564232</c:v>
                </c:pt>
                <c:pt idx="836">
                  <c:v>-10.679175563543049</c:v>
                </c:pt>
                <c:pt idx="837">
                  <c:v>-10.692188068480988</c:v>
                </c:pt>
                <c:pt idx="838">
                  <c:v>-10.705200595377699</c:v>
                </c:pt>
                <c:pt idx="839">
                  <c:v>-10.718213144232831</c:v>
                </c:pt>
                <c:pt idx="840">
                  <c:v>-10.731225715046032</c:v>
                </c:pt>
                <c:pt idx="841">
                  <c:v>-10.744238307816952</c:v>
                </c:pt>
                <c:pt idx="842">
                  <c:v>-10.757250922545241</c:v>
                </c:pt>
                <c:pt idx="843">
                  <c:v>-10.770263559230546</c:v>
                </c:pt>
                <c:pt idx="844">
                  <c:v>-10.783276217872519</c:v>
                </c:pt>
                <c:pt idx="845">
                  <c:v>-10.796288898470808</c:v>
                </c:pt>
                <c:pt idx="846">
                  <c:v>-10.80930160102506</c:v>
                </c:pt>
                <c:pt idx="847">
                  <c:v>-10.822314325534927</c:v>
                </c:pt>
                <c:pt idx="848">
                  <c:v>-10.835327072000057</c:v>
                </c:pt>
                <c:pt idx="849">
                  <c:v>-10.848339840420099</c:v>
                </c:pt>
                <c:pt idx="850">
                  <c:v>-10.861352630794702</c:v>
                </c:pt>
                <c:pt idx="851">
                  <c:v>-10.874365443123516</c:v>
                </c:pt>
                <c:pt idx="852">
                  <c:v>-10.88737827740619</c:v>
                </c:pt>
                <c:pt idx="853">
                  <c:v>-10.900391133642373</c:v>
                </c:pt>
                <c:pt idx="854">
                  <c:v>-10.913404011831714</c:v>
                </c:pt>
                <c:pt idx="855">
                  <c:v>-10.926416911973863</c:v>
                </c:pt>
                <c:pt idx="856">
                  <c:v>-10.939429834068468</c:v>
                </c:pt>
                <c:pt idx="857">
                  <c:v>-10.952442778115179</c:v>
                </c:pt>
                <c:pt idx="858">
                  <c:v>-10.965455744113644</c:v>
                </c:pt>
                <c:pt idx="859">
                  <c:v>-10.978468732063513</c:v>
                </c:pt>
                <c:pt idx="860">
                  <c:v>-10.991481741964437</c:v>
                </c:pt>
                <c:pt idx="861">
                  <c:v>-11.004494773816061</c:v>
                </c:pt>
                <c:pt idx="862">
                  <c:v>-11.017507827618038</c:v>
                </c:pt>
                <c:pt idx="863">
                  <c:v>-11.030520903370016</c:v>
                </c:pt>
                <c:pt idx="864">
                  <c:v>-11.043534001071643</c:v>
                </c:pt>
                <c:pt idx="865">
                  <c:v>-11.05654712072257</c:v>
                </c:pt>
                <c:pt idx="866">
                  <c:v>-11.069560262322446</c:v>
                </c:pt>
                <c:pt idx="867">
                  <c:v>-11.082573425870919</c:v>
                </c:pt>
                <c:pt idx="868">
                  <c:v>-11.095586611367638</c:v>
                </c:pt>
                <c:pt idx="869">
                  <c:v>-11.108599818812255</c:v>
                </c:pt>
                <c:pt idx="870">
                  <c:v>-11.121613048204416</c:v>
                </c:pt>
                <c:pt idx="871">
                  <c:v>-11.134626299543772</c:v>
                </c:pt>
                <c:pt idx="872">
                  <c:v>-11.147639572829972</c:v>
                </c:pt>
                <c:pt idx="873">
                  <c:v>-11.160652868062664</c:v>
                </c:pt>
                <c:pt idx="874">
                  <c:v>-11.173666185241499</c:v>
                </c:pt>
                <c:pt idx="875">
                  <c:v>-11.186679524366125</c:v>
                </c:pt>
                <c:pt idx="876">
                  <c:v>-11.199692885436193</c:v>
                </c:pt>
                <c:pt idx="877">
                  <c:v>-11.212706268451349</c:v>
                </c:pt>
                <c:pt idx="878">
                  <c:v>-11.225719673411245</c:v>
                </c:pt>
                <c:pt idx="879">
                  <c:v>-11.23873310031553</c:v>
                </c:pt>
                <c:pt idx="880">
                  <c:v>-11.251746549163853</c:v>
                </c:pt>
                <c:pt idx="881">
                  <c:v>-11.264760019955862</c:v>
                </c:pt>
                <c:pt idx="882">
                  <c:v>-11.277773512691207</c:v>
                </c:pt>
                <c:pt idx="883">
                  <c:v>-11.290787027369538</c:v>
                </c:pt>
                <c:pt idx="884">
                  <c:v>-11.303800563990503</c:v>
                </c:pt>
                <c:pt idx="885">
                  <c:v>-11.316814122553753</c:v>
                </c:pt>
                <c:pt idx="886">
                  <c:v>-11.329827703058935</c:v>
                </c:pt>
                <c:pt idx="887">
                  <c:v>-11.342841305505701</c:v>
                </c:pt>
                <c:pt idx="888">
                  <c:v>-11.355854929893699</c:v>
                </c:pt>
                <c:pt idx="889">
                  <c:v>-11.368868576222576</c:v>
                </c:pt>
                <c:pt idx="890">
                  <c:v>-11.381882244491985</c:v>
                </c:pt>
                <c:pt idx="891">
                  <c:v>-11.394895934701573</c:v>
                </c:pt>
                <c:pt idx="892">
                  <c:v>-11.407909646850991</c:v>
                </c:pt>
                <c:pt idx="893">
                  <c:v>-11.420923380939886</c:v>
                </c:pt>
                <c:pt idx="894">
                  <c:v>-11.433937136967909</c:v>
                </c:pt>
                <c:pt idx="895">
                  <c:v>-11.446950914934709</c:v>
                </c:pt>
                <c:pt idx="896">
                  <c:v>-11.459964714839934</c:v>
                </c:pt>
                <c:pt idx="897">
                  <c:v>-11.472978536683234</c:v>
                </c:pt>
                <c:pt idx="898">
                  <c:v>-11.485992380464259</c:v>
                </c:pt>
                <c:pt idx="899">
                  <c:v>-11.499006246182658</c:v>
                </c:pt>
                <c:pt idx="900">
                  <c:v>-11.51202013383808</c:v>
                </c:pt>
                <c:pt idx="901">
                  <c:v>-11.525034043430175</c:v>
                </c:pt>
                <c:pt idx="902">
                  <c:v>-11.538047974958591</c:v>
                </c:pt>
                <c:pt idx="903">
                  <c:v>-11.551061928422978</c:v>
                </c:pt>
                <c:pt idx="904">
                  <c:v>-11.564075903822987</c:v>
                </c:pt>
                <c:pt idx="905">
                  <c:v>-11.577089901158265</c:v>
                </c:pt>
                <c:pt idx="906">
                  <c:v>-11.590103920428461</c:v>
                </c:pt>
                <c:pt idx="907">
                  <c:v>-11.603117961633227</c:v>
                </c:pt>
                <c:pt idx="908">
                  <c:v>-11.61613202477221</c:v>
                </c:pt>
                <c:pt idx="909">
                  <c:v>-11.62914610984506</c:v>
                </c:pt>
                <c:pt idx="910">
                  <c:v>-11.642160216851426</c:v>
                </c:pt>
                <c:pt idx="911">
                  <c:v>-11.655174345790957</c:v>
                </c:pt>
                <c:pt idx="912">
                  <c:v>-11.668188496663305</c:v>
                </c:pt>
                <c:pt idx="913">
                  <c:v>-11.681202669468115</c:v>
                </c:pt>
                <c:pt idx="914">
                  <c:v>-11.694216864205041</c:v>
                </c:pt>
                <c:pt idx="915">
                  <c:v>-11.707231080873729</c:v>
                </c:pt>
                <c:pt idx="916">
                  <c:v>-11.720245319473829</c:v>
                </c:pt>
                <c:pt idx="917">
                  <c:v>-11.733259580004992</c:v>
                </c:pt>
                <c:pt idx="918">
                  <c:v>-11.746273862466865</c:v>
                </c:pt>
                <c:pt idx="919">
                  <c:v>-11.759288166859099</c:v>
                </c:pt>
                <c:pt idx="920">
                  <c:v>-11.772302493181343</c:v>
                </c:pt>
                <c:pt idx="921">
                  <c:v>-11.785316841433245</c:v>
                </c:pt>
                <c:pt idx="922">
                  <c:v>-11.798331211614455</c:v>
                </c:pt>
                <c:pt idx="923">
                  <c:v>-11.811345603724623</c:v>
                </c:pt>
                <c:pt idx="924">
                  <c:v>-11.8243600177634</c:v>
                </c:pt>
                <c:pt idx="925">
                  <c:v>-11.837374453730433</c:v>
                </c:pt>
                <c:pt idx="926">
                  <c:v>-11.850388911625371</c:v>
                </c:pt>
                <c:pt idx="927">
                  <c:v>-11.863403391447866</c:v>
                </c:pt>
                <c:pt idx="928">
                  <c:v>-11.876417893197564</c:v>
                </c:pt>
                <c:pt idx="929">
                  <c:v>-11.889432416874117</c:v>
                </c:pt>
                <c:pt idx="930">
                  <c:v>-11.902446962477173</c:v>
                </c:pt>
                <c:pt idx="931">
                  <c:v>-11.915461530006382</c:v>
                </c:pt>
                <c:pt idx="932">
                  <c:v>-11.928476119461394</c:v>
                </c:pt>
                <c:pt idx="933">
                  <c:v>-11.941490730841856</c:v>
                </c:pt>
                <c:pt idx="934">
                  <c:v>-11.954505364147421</c:v>
                </c:pt>
                <c:pt idx="935">
                  <c:v>-11.967520019377735</c:v>
                </c:pt>
                <c:pt idx="936">
                  <c:v>-11.98053469653245</c:v>
                </c:pt>
                <c:pt idx="937">
                  <c:v>-11.993549395611213</c:v>
                </c:pt>
                <c:pt idx="938">
                  <c:v>-12.006564116613674</c:v>
                </c:pt>
                <c:pt idx="939">
                  <c:v>-12.019578859539484</c:v>
                </c:pt>
                <c:pt idx="940">
                  <c:v>-12.032593624388291</c:v>
                </c:pt>
                <c:pt idx="941">
                  <c:v>-12.045608411159744</c:v>
                </c:pt>
                <c:pt idx="942">
                  <c:v>-12.058623219853494</c:v>
                </c:pt>
                <c:pt idx="943">
                  <c:v>-12.07163805046919</c:v>
                </c:pt>
                <c:pt idx="944">
                  <c:v>-12.08465290300648</c:v>
                </c:pt>
                <c:pt idx="945">
                  <c:v>-12.097667777465016</c:v>
                </c:pt>
                <c:pt idx="946">
                  <c:v>-12.110682673844446</c:v>
                </c:pt>
                <c:pt idx="947">
                  <c:v>-12.123697592144419</c:v>
                </c:pt>
                <c:pt idx="948">
                  <c:v>-12.136712532364584</c:v>
                </c:pt>
                <c:pt idx="949">
                  <c:v>-12.149727494504591</c:v>
                </c:pt>
                <c:pt idx="950">
                  <c:v>-12.162742478564089</c:v>
                </c:pt>
                <c:pt idx="951">
                  <c:v>-12.17575748454273</c:v>
                </c:pt>
                <c:pt idx="952">
                  <c:v>-12.188772512440162</c:v>
                </c:pt>
                <c:pt idx="953">
                  <c:v>-12.201787562256031</c:v>
                </c:pt>
                <c:pt idx="954">
                  <c:v>-12.214802633989992</c:v>
                </c:pt>
                <c:pt idx="955">
                  <c:v>-12.227817727641691</c:v>
                </c:pt>
                <c:pt idx="956">
                  <c:v>-12.240832843210779</c:v>
                </c:pt>
                <c:pt idx="957">
                  <c:v>-12.253847980696904</c:v>
                </c:pt>
                <c:pt idx="958">
                  <c:v>-12.266863140099716</c:v>
                </c:pt>
                <c:pt idx="959">
                  <c:v>-12.279878321418865</c:v>
                </c:pt>
                <c:pt idx="960">
                  <c:v>-12.292893524654</c:v>
                </c:pt>
                <c:pt idx="961">
                  <c:v>-12.30590874980477</c:v>
                </c:pt>
                <c:pt idx="962">
                  <c:v>-12.318923996870826</c:v>
                </c:pt>
                <c:pt idx="963">
                  <c:v>-12.331939265851815</c:v>
                </c:pt>
                <c:pt idx="964">
                  <c:v>-12.344954556747389</c:v>
                </c:pt>
                <c:pt idx="965">
                  <c:v>-12.357969869557197</c:v>
                </c:pt>
                <c:pt idx="966">
                  <c:v>-12.370985204280887</c:v>
                </c:pt>
                <c:pt idx="967">
                  <c:v>-12.384000560918109</c:v>
                </c:pt>
                <c:pt idx="968">
                  <c:v>-12.397015939468513</c:v>
                </c:pt>
                <c:pt idx="969">
                  <c:v>-12.410031339931749</c:v>
                </c:pt>
                <c:pt idx="970">
                  <c:v>-12.423046762307465</c:v>
                </c:pt>
                <c:pt idx="971">
                  <c:v>-12.436062206595311</c:v>
                </c:pt>
                <c:pt idx="972">
                  <c:v>-12.449077672794939</c:v>
                </c:pt>
                <c:pt idx="973">
                  <c:v>-12.462093160905996</c:v>
                </c:pt>
                <c:pt idx="974">
                  <c:v>-12.475108670928131</c:v>
                </c:pt>
                <c:pt idx="975">
                  <c:v>-12.488124202860995</c:v>
                </c:pt>
                <c:pt idx="976">
                  <c:v>-12.501139756704235</c:v>
                </c:pt>
                <c:pt idx="977">
                  <c:v>-12.514155332457504</c:v>
                </c:pt>
                <c:pt idx="978">
                  <c:v>-12.52717093012045</c:v>
                </c:pt>
                <c:pt idx="979">
                  <c:v>-12.540186549692722</c:v>
                </c:pt>
                <c:pt idx="980">
                  <c:v>-12.55320219117397</c:v>
                </c:pt>
                <c:pt idx="981">
                  <c:v>-12.566217854563844</c:v>
                </c:pt>
                <c:pt idx="982">
                  <c:v>-12.579233539861992</c:v>
                </c:pt>
                <c:pt idx="983">
                  <c:v>-12.592249247068064</c:v>
                </c:pt>
                <c:pt idx="984">
                  <c:v>-12.605264976181711</c:v>
                </c:pt>
                <c:pt idx="985">
                  <c:v>-12.618280727202581</c:v>
                </c:pt>
                <c:pt idx="986">
                  <c:v>-12.631296500130324</c:v>
                </c:pt>
                <c:pt idx="987">
                  <c:v>-12.644312294964589</c:v>
                </c:pt>
                <c:pt idx="988">
                  <c:v>-12.657328111705027</c:v>
                </c:pt>
                <c:pt idx="989">
                  <c:v>-12.670343950351286</c:v>
                </c:pt>
                <c:pt idx="990">
                  <c:v>-12.683359810903017</c:v>
                </c:pt>
                <c:pt idx="991">
                  <c:v>-12.696375693359869</c:v>
                </c:pt>
                <c:pt idx="992">
                  <c:v>-12.70939159772149</c:v>
                </c:pt>
                <c:pt idx="993">
                  <c:v>-12.722407523987531</c:v>
                </c:pt>
                <c:pt idx="994">
                  <c:v>-12.735423472157642</c:v>
                </c:pt>
                <c:pt idx="995">
                  <c:v>-12.748439442231472</c:v>
                </c:pt>
                <c:pt idx="996">
                  <c:v>-12.761455434208671</c:v>
                </c:pt>
                <c:pt idx="997">
                  <c:v>-12.774471448088887</c:v>
                </c:pt>
                <c:pt idx="998">
                  <c:v>-12.78748748387177</c:v>
                </c:pt>
                <c:pt idx="999">
                  <c:v>-12.800503541556971</c:v>
                </c:pt>
                <c:pt idx="1000">
                  <c:v>-12.813519621144138</c:v>
                </c:pt>
              </c:numCache>
            </c:numRef>
          </c:yVal>
          <c:smooth val="1"/>
          <c:extLst>
            <c:ext xmlns:c16="http://schemas.microsoft.com/office/drawing/2014/chart" uri="{C3380CC4-5D6E-409C-BE32-E72D297353CC}">
              <c16:uniqueId val="{00000002-4C7F-469F-ADED-1B0B28F452E1}"/>
            </c:ext>
          </c:extLst>
        </c:ser>
        <c:ser>
          <c:idx val="2"/>
          <c:order val="3"/>
          <c:tx>
            <c:strRef>
              <c:f>Trajecto!$B$109</c:f>
              <c:strCache>
                <c:ptCount val="1"/>
                <c:pt idx="0">
                  <c:v>Fusée sous parachute</c:v>
                </c:pt>
              </c:strCache>
            </c:strRef>
          </c:tx>
          <c:spPr>
            <a:ln w="25400">
              <a:solidFill>
                <a:srgbClr val="008000"/>
              </a:solidFill>
              <a:prstDash val="solid"/>
            </a:ln>
          </c:spPr>
          <c:marker>
            <c:symbol val="none"/>
          </c:marker>
          <c:dLbls>
            <c:dLbl>
              <c:idx val="1"/>
              <c:spPr>
                <a:noFill/>
                <a:ln w="25400">
                  <a:noFill/>
                </a:ln>
              </c:spPr>
              <c:txPr>
                <a:bodyPr/>
                <a:lstStyle/>
                <a:p>
                  <a:pPr>
                    <a:defRPr sz="700" b="1" i="0" u="none" strike="noStrike" baseline="0">
                      <a:solidFill>
                        <a:srgbClr val="008000"/>
                      </a:solidFill>
                      <a:latin typeface="Arial"/>
                      <a:ea typeface="Arial"/>
                      <a:cs typeface="Arial"/>
                    </a:defRPr>
                  </a:pPr>
                  <a:endParaRPr lang="fr-FR"/>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4C7F-469F-ADED-1B0B28F452E1}"/>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Trajecto!$B$132:$B$138</c:f>
              <c:numCache>
                <c:formatCode>0.0</c:formatCode>
                <c:ptCount val="7"/>
                <c:pt idx="0">
                  <c:v>17</c:v>
                </c:pt>
                <c:pt idx="1">
                  <c:v>71.748633997375833</c:v>
                </c:pt>
                <c:pt idx="2">
                  <c:v>126.49726799475167</c:v>
                </c:pt>
                <c:pt idx="3">
                  <c:v>125.15548022762445</c:v>
                </c:pt>
                <c:pt idx="4">
                  <c:v>126.49726799475167</c:v>
                </c:pt>
                <c:pt idx="5">
                  <c:v>121.48548022762444</c:v>
                </c:pt>
                <c:pt idx="6">
                  <c:v>126.49726799475167</c:v>
                </c:pt>
              </c:numCache>
            </c:numRef>
          </c:xVal>
          <c:yVal>
            <c:numRef>
              <c:f>Trajecto!$C$132:$C$138</c:f>
              <c:numCache>
                <c:formatCode>0</c:formatCode>
                <c:ptCount val="7"/>
                <c:pt idx="0">
                  <c:v>1567.745643178519</c:v>
                </c:pt>
                <c:pt idx="1">
                  <c:v>783.8728215892595</c:v>
                </c:pt>
                <c:pt idx="2">
                  <c:v>0</c:v>
                </c:pt>
                <c:pt idx="3">
                  <c:v>65.182199191846223</c:v>
                </c:pt>
                <c:pt idx="4">
                  <c:v>0</c:v>
                </c:pt>
                <c:pt idx="5">
                  <c:v>25.803252385606811</c:v>
                </c:pt>
                <c:pt idx="6">
                  <c:v>0</c:v>
                </c:pt>
              </c:numCache>
            </c:numRef>
          </c:yVal>
          <c:smooth val="0"/>
          <c:extLst>
            <c:ext xmlns:c16="http://schemas.microsoft.com/office/drawing/2014/chart" uri="{C3380CC4-5D6E-409C-BE32-E72D297353CC}">
              <c16:uniqueId val="{00000004-4C7F-469F-ADED-1B0B28F452E1}"/>
            </c:ext>
          </c:extLst>
        </c:ser>
        <c:ser>
          <c:idx val="3"/>
          <c:order val="4"/>
          <c:tx>
            <c:strRef>
              <c:f>Trajecto!$B$110</c:f>
              <c:strCache>
                <c:ptCount val="1"/>
                <c:pt idx="0">
                  <c:v>Satellite sous parachute</c:v>
                </c:pt>
              </c:strCache>
            </c:strRef>
          </c:tx>
          <c:spPr>
            <a:ln w="25400">
              <a:solidFill>
                <a:srgbClr val="FF6600"/>
              </a:solidFill>
              <a:prstDash val="solid"/>
            </a:ln>
          </c:spPr>
          <c:marker>
            <c:symbol val="none"/>
          </c:marker>
          <c:dLbls>
            <c:dLbl>
              <c:idx val="1"/>
              <c:spPr>
                <a:noFill/>
                <a:ln w="25400">
                  <a:noFill/>
                </a:ln>
              </c:spPr>
              <c:txPr>
                <a:bodyPr/>
                <a:lstStyle/>
                <a:p>
                  <a:pPr>
                    <a:defRPr sz="700" b="1" i="0" u="none" strike="noStrike" baseline="0">
                      <a:solidFill>
                        <a:srgbClr val="FF6600"/>
                      </a:solidFill>
                      <a:latin typeface="Arial"/>
                      <a:ea typeface="Arial"/>
                      <a:cs typeface="Arial"/>
                    </a:defRPr>
                  </a:pPr>
                  <a:endParaRPr lang="fr-FR"/>
                </a:p>
              </c:txPr>
              <c:dLblPos val="l"/>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4C7F-469F-ADED-1B0B28F452E1}"/>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xVal>
            <c:numRef>
              <c:f>Trajecto!$B$149:$B$155</c:f>
              <c:numCache>
                <c:formatCode>0.0</c:formatCode>
                <c:ptCount val="7"/>
                <c:pt idx="0">
                  <c:v>4.7</c:v>
                </c:pt>
                <c:pt idx="1">
                  <c:v>34.932817638840447</c:v>
                </c:pt>
                <c:pt idx="2">
                  <c:v>65.165635277680892</c:v>
                </c:pt>
                <c:pt idx="3">
                  <c:v>62.936765403583571</c:v>
                </c:pt>
                <c:pt idx="4">
                  <c:v>65.165635277680892</c:v>
                </c:pt>
                <c:pt idx="5">
                  <c:v>60.994505151778164</c:v>
                </c:pt>
                <c:pt idx="6">
                  <c:v>65.165635277680892</c:v>
                </c:pt>
              </c:numCache>
            </c:numRef>
          </c:xVal>
          <c:yVal>
            <c:numRef>
              <c:f>Trajecto!$C$149:$C$155</c:f>
              <c:numCache>
                <c:formatCode>0</c:formatCode>
                <c:ptCount val="7"/>
                <c:pt idx="0">
                  <c:v>765.22663379962705</c:v>
                </c:pt>
                <c:pt idx="1">
                  <c:v>382.61331689981353</c:v>
                </c:pt>
                <c:pt idx="2">
                  <c:v>0</c:v>
                </c:pt>
                <c:pt idx="3">
                  <c:v>85.235178201327415</c:v>
                </c:pt>
                <c:pt idx="4">
                  <c:v>0</c:v>
                </c:pt>
                <c:pt idx="5">
                  <c:v>8.2355929491613296</c:v>
                </c:pt>
                <c:pt idx="6">
                  <c:v>0</c:v>
                </c:pt>
              </c:numCache>
            </c:numRef>
          </c:yVal>
          <c:smooth val="0"/>
          <c:extLst>
            <c:ext xmlns:c16="http://schemas.microsoft.com/office/drawing/2014/chart" uri="{C3380CC4-5D6E-409C-BE32-E72D297353CC}">
              <c16:uniqueId val="{00000006-4C7F-469F-ADED-1B0B28F452E1}"/>
            </c:ext>
          </c:extLst>
        </c:ser>
        <c:ser>
          <c:idx val="5"/>
          <c:order val="5"/>
          <c:tx>
            <c:strRef>
              <c:f>Trajecto!$B$107</c:f>
              <c:strCache>
                <c:ptCount val="1"/>
                <c:pt idx="0">
                  <c:v>Phase ascendante</c:v>
                </c:pt>
              </c:strCache>
            </c:strRef>
          </c:tx>
          <c:spPr>
            <a:ln w="25400">
              <a:solidFill>
                <a:srgbClr val="00008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2.1000000000000014</c:v>
                </c:pt>
                <c:pt idx="202">
                  <c:v>2.2000000000000015</c:v>
                </c:pt>
                <c:pt idx="203">
                  <c:v>2.3000000000000016</c:v>
                </c:pt>
                <c:pt idx="204">
                  <c:v>2.4000000000000017</c:v>
                </c:pt>
                <c:pt idx="205">
                  <c:v>2.5000000000000018</c:v>
                </c:pt>
                <c:pt idx="206">
                  <c:v>2.6000000000000019</c:v>
                </c:pt>
                <c:pt idx="207">
                  <c:v>2.700000000000002</c:v>
                </c:pt>
                <c:pt idx="208">
                  <c:v>2.800000000000002</c:v>
                </c:pt>
                <c:pt idx="209">
                  <c:v>2.9000000000000021</c:v>
                </c:pt>
                <c:pt idx="210">
                  <c:v>3.0000000000000022</c:v>
                </c:pt>
                <c:pt idx="211">
                  <c:v>3.1000000000000023</c:v>
                </c:pt>
                <c:pt idx="212">
                  <c:v>3.2000000000000024</c:v>
                </c:pt>
                <c:pt idx="213">
                  <c:v>3.3000000000000025</c:v>
                </c:pt>
                <c:pt idx="214">
                  <c:v>3.4000000000000026</c:v>
                </c:pt>
                <c:pt idx="215">
                  <c:v>3.5000000000000027</c:v>
                </c:pt>
                <c:pt idx="216">
                  <c:v>3.6000000000000028</c:v>
                </c:pt>
                <c:pt idx="217">
                  <c:v>3.7000000000000028</c:v>
                </c:pt>
                <c:pt idx="218">
                  <c:v>3.8000000000000029</c:v>
                </c:pt>
                <c:pt idx="219">
                  <c:v>3.900000000000003</c:v>
                </c:pt>
                <c:pt idx="220">
                  <c:v>4.0000000000000027</c:v>
                </c:pt>
                <c:pt idx="221">
                  <c:v>4.1000000000000023</c:v>
                </c:pt>
                <c:pt idx="222">
                  <c:v>4.200000000000002</c:v>
                </c:pt>
                <c:pt idx="223">
                  <c:v>4.3000000000000016</c:v>
                </c:pt>
                <c:pt idx="224">
                  <c:v>4.4000000000000012</c:v>
                </c:pt>
                <c:pt idx="225">
                  <c:v>4.5000000000000009</c:v>
                </c:pt>
                <c:pt idx="226">
                  <c:v>4.6000000000000005</c:v>
                </c:pt>
                <c:pt idx="227">
                  <c:v>4.7</c:v>
                </c:pt>
                <c:pt idx="228">
                  <c:v>4.8</c:v>
                </c:pt>
                <c:pt idx="229">
                  <c:v>4.8999999999999995</c:v>
                </c:pt>
                <c:pt idx="230">
                  <c:v>4.9999999999999991</c:v>
                </c:pt>
                <c:pt idx="231">
                  <c:v>5.0999999999999988</c:v>
                </c:pt>
                <c:pt idx="232">
                  <c:v>5.1999999999999984</c:v>
                </c:pt>
                <c:pt idx="233">
                  <c:v>5.299999999999998</c:v>
                </c:pt>
                <c:pt idx="234">
                  <c:v>5.3999999999999977</c:v>
                </c:pt>
                <c:pt idx="235">
                  <c:v>5.4999999999999973</c:v>
                </c:pt>
                <c:pt idx="236">
                  <c:v>5.599999999999997</c:v>
                </c:pt>
                <c:pt idx="237">
                  <c:v>5.6999999999999966</c:v>
                </c:pt>
                <c:pt idx="238">
                  <c:v>5.7999999999999963</c:v>
                </c:pt>
                <c:pt idx="239">
                  <c:v>5.8999999999999959</c:v>
                </c:pt>
                <c:pt idx="240">
                  <c:v>5.9999999999999956</c:v>
                </c:pt>
                <c:pt idx="241">
                  <c:v>6.0999999999999952</c:v>
                </c:pt>
                <c:pt idx="242">
                  <c:v>6.1999999999999948</c:v>
                </c:pt>
                <c:pt idx="243">
                  <c:v>6.2999999999999945</c:v>
                </c:pt>
                <c:pt idx="244">
                  <c:v>6.3999999999999941</c:v>
                </c:pt>
                <c:pt idx="245">
                  <c:v>6.4999999999999938</c:v>
                </c:pt>
                <c:pt idx="246">
                  <c:v>6.5999999999999934</c:v>
                </c:pt>
                <c:pt idx="247">
                  <c:v>6.6999999999999931</c:v>
                </c:pt>
                <c:pt idx="248">
                  <c:v>6.7999999999999927</c:v>
                </c:pt>
                <c:pt idx="249">
                  <c:v>6.8999999999999924</c:v>
                </c:pt>
                <c:pt idx="250">
                  <c:v>6.999999999999992</c:v>
                </c:pt>
                <c:pt idx="251">
                  <c:v>7.0999999999999917</c:v>
                </c:pt>
                <c:pt idx="252">
                  <c:v>7.1999999999999913</c:v>
                </c:pt>
                <c:pt idx="253">
                  <c:v>7.2999999999999909</c:v>
                </c:pt>
                <c:pt idx="254">
                  <c:v>7.3999999999999906</c:v>
                </c:pt>
                <c:pt idx="255">
                  <c:v>7.4999999999999902</c:v>
                </c:pt>
                <c:pt idx="256">
                  <c:v>7.5999999999999899</c:v>
                </c:pt>
                <c:pt idx="257">
                  <c:v>7.6999999999999895</c:v>
                </c:pt>
                <c:pt idx="258">
                  <c:v>7.7999999999999892</c:v>
                </c:pt>
                <c:pt idx="259">
                  <c:v>7.8999999999999888</c:v>
                </c:pt>
                <c:pt idx="260">
                  <c:v>7.9999999999999885</c:v>
                </c:pt>
                <c:pt idx="261">
                  <c:v>8.099999999999989</c:v>
                </c:pt>
                <c:pt idx="262">
                  <c:v>8.1999999999999886</c:v>
                </c:pt>
                <c:pt idx="263">
                  <c:v>8.2999999999999883</c:v>
                </c:pt>
                <c:pt idx="264">
                  <c:v>8.3999999999999879</c:v>
                </c:pt>
                <c:pt idx="265">
                  <c:v>8.4999999999999876</c:v>
                </c:pt>
                <c:pt idx="266">
                  <c:v>8.5999999999999872</c:v>
                </c:pt>
                <c:pt idx="267">
                  <c:v>8.6999999999999869</c:v>
                </c:pt>
                <c:pt idx="268">
                  <c:v>8.7999999999999865</c:v>
                </c:pt>
                <c:pt idx="269">
                  <c:v>8.8999999999999861</c:v>
                </c:pt>
                <c:pt idx="270">
                  <c:v>8.9999999999999858</c:v>
                </c:pt>
                <c:pt idx="271">
                  <c:v>9.0999999999999854</c:v>
                </c:pt>
                <c:pt idx="272">
                  <c:v>9.1999999999999851</c:v>
                </c:pt>
                <c:pt idx="273">
                  <c:v>9.2999999999999847</c:v>
                </c:pt>
                <c:pt idx="274">
                  <c:v>9.3999999999999844</c:v>
                </c:pt>
                <c:pt idx="275">
                  <c:v>9.499999999999984</c:v>
                </c:pt>
                <c:pt idx="276">
                  <c:v>9.5999999999999837</c:v>
                </c:pt>
                <c:pt idx="277">
                  <c:v>9.6999999999999833</c:v>
                </c:pt>
                <c:pt idx="278">
                  <c:v>9.7999999999999829</c:v>
                </c:pt>
                <c:pt idx="279">
                  <c:v>9.8999999999999826</c:v>
                </c:pt>
                <c:pt idx="280">
                  <c:v>9.9999999999999822</c:v>
                </c:pt>
                <c:pt idx="281">
                  <c:v>10.099999999999982</c:v>
                </c:pt>
                <c:pt idx="282">
                  <c:v>10.199999999999982</c:v>
                </c:pt>
                <c:pt idx="283">
                  <c:v>10.299999999999981</c:v>
                </c:pt>
                <c:pt idx="284">
                  <c:v>10.399999999999981</c:v>
                </c:pt>
                <c:pt idx="285">
                  <c:v>10.49999999999998</c:v>
                </c:pt>
                <c:pt idx="286">
                  <c:v>10.59999999999998</c:v>
                </c:pt>
                <c:pt idx="287">
                  <c:v>10.69999999999998</c:v>
                </c:pt>
                <c:pt idx="288">
                  <c:v>10.799999999999979</c:v>
                </c:pt>
                <c:pt idx="289">
                  <c:v>10.899999999999979</c:v>
                </c:pt>
                <c:pt idx="290">
                  <c:v>10.999999999999979</c:v>
                </c:pt>
                <c:pt idx="291">
                  <c:v>11.099999999999978</c:v>
                </c:pt>
                <c:pt idx="292">
                  <c:v>11.199999999999978</c:v>
                </c:pt>
                <c:pt idx="293">
                  <c:v>11.299999999999978</c:v>
                </c:pt>
                <c:pt idx="294">
                  <c:v>11.399999999999977</c:v>
                </c:pt>
                <c:pt idx="295">
                  <c:v>11.499999999999977</c:v>
                </c:pt>
                <c:pt idx="296">
                  <c:v>11.599999999999977</c:v>
                </c:pt>
                <c:pt idx="297">
                  <c:v>11.699999999999976</c:v>
                </c:pt>
                <c:pt idx="298">
                  <c:v>11.799999999999976</c:v>
                </c:pt>
                <c:pt idx="299">
                  <c:v>11.899999999999975</c:v>
                </c:pt>
                <c:pt idx="300">
                  <c:v>11.999999999999975</c:v>
                </c:pt>
                <c:pt idx="301">
                  <c:v>12.099999999999975</c:v>
                </c:pt>
                <c:pt idx="302">
                  <c:v>12.199999999999974</c:v>
                </c:pt>
                <c:pt idx="303">
                  <c:v>12.299999999999974</c:v>
                </c:pt>
                <c:pt idx="304">
                  <c:v>12.399999999999974</c:v>
                </c:pt>
                <c:pt idx="305">
                  <c:v>12.499999999999973</c:v>
                </c:pt>
                <c:pt idx="306">
                  <c:v>12.599999999999973</c:v>
                </c:pt>
                <c:pt idx="307">
                  <c:v>12.699999999999973</c:v>
                </c:pt>
                <c:pt idx="308">
                  <c:v>12.799999999999972</c:v>
                </c:pt>
                <c:pt idx="309">
                  <c:v>12.899999999999972</c:v>
                </c:pt>
                <c:pt idx="310">
                  <c:v>12.999999999999972</c:v>
                </c:pt>
                <c:pt idx="311">
                  <c:v>13.099999999999971</c:v>
                </c:pt>
                <c:pt idx="312">
                  <c:v>13.199999999999971</c:v>
                </c:pt>
                <c:pt idx="313">
                  <c:v>13.299999999999971</c:v>
                </c:pt>
                <c:pt idx="314">
                  <c:v>13.39999999999997</c:v>
                </c:pt>
                <c:pt idx="315">
                  <c:v>13.49999999999997</c:v>
                </c:pt>
                <c:pt idx="316">
                  <c:v>13.599999999999969</c:v>
                </c:pt>
                <c:pt idx="317">
                  <c:v>13.699999999999969</c:v>
                </c:pt>
                <c:pt idx="318">
                  <c:v>13.799999999999969</c:v>
                </c:pt>
                <c:pt idx="319">
                  <c:v>13.899999999999968</c:v>
                </c:pt>
                <c:pt idx="320">
                  <c:v>13.999999999999968</c:v>
                </c:pt>
                <c:pt idx="321">
                  <c:v>14.099999999999968</c:v>
                </c:pt>
                <c:pt idx="322">
                  <c:v>14.199999999999967</c:v>
                </c:pt>
                <c:pt idx="323">
                  <c:v>14.299999999999967</c:v>
                </c:pt>
                <c:pt idx="324">
                  <c:v>14.399999999999967</c:v>
                </c:pt>
                <c:pt idx="325">
                  <c:v>14.499999999999966</c:v>
                </c:pt>
                <c:pt idx="326">
                  <c:v>14.599999999999966</c:v>
                </c:pt>
                <c:pt idx="327">
                  <c:v>14.699999999999966</c:v>
                </c:pt>
                <c:pt idx="328">
                  <c:v>14.799999999999965</c:v>
                </c:pt>
                <c:pt idx="329">
                  <c:v>14.899999999999965</c:v>
                </c:pt>
                <c:pt idx="330">
                  <c:v>14.999999999999964</c:v>
                </c:pt>
                <c:pt idx="331">
                  <c:v>15.099999999999964</c:v>
                </c:pt>
                <c:pt idx="332">
                  <c:v>15.199999999999964</c:v>
                </c:pt>
                <c:pt idx="333">
                  <c:v>15.299999999999963</c:v>
                </c:pt>
                <c:pt idx="334">
                  <c:v>15.399999999999963</c:v>
                </c:pt>
                <c:pt idx="335">
                  <c:v>15.499999999999963</c:v>
                </c:pt>
                <c:pt idx="336">
                  <c:v>15.599999999999962</c:v>
                </c:pt>
                <c:pt idx="337">
                  <c:v>15.699999999999962</c:v>
                </c:pt>
                <c:pt idx="338">
                  <c:v>15.799999999999962</c:v>
                </c:pt>
                <c:pt idx="339">
                  <c:v>15.899999999999961</c:v>
                </c:pt>
                <c:pt idx="340">
                  <c:v>15.999999999999961</c:v>
                </c:pt>
                <c:pt idx="341">
                  <c:v>16.099999999999962</c:v>
                </c:pt>
                <c:pt idx="342">
                  <c:v>16.199999999999964</c:v>
                </c:pt>
                <c:pt idx="343">
                  <c:v>16.299999999999965</c:v>
                </c:pt>
                <c:pt idx="344">
                  <c:v>16.399999999999967</c:v>
                </c:pt>
                <c:pt idx="345">
                  <c:v>16.499999999999968</c:v>
                </c:pt>
                <c:pt idx="346">
                  <c:v>16.599999999999969</c:v>
                </c:pt>
                <c:pt idx="347">
                  <c:v>16.699999999999971</c:v>
                </c:pt>
                <c:pt idx="348">
                  <c:v>16.799999999999972</c:v>
                </c:pt>
                <c:pt idx="349">
                  <c:v>16.899999999999974</c:v>
                </c:pt>
                <c:pt idx="350">
                  <c:v>16.999999999999975</c:v>
                </c:pt>
                <c:pt idx="351">
                  <c:v>17.099999999999977</c:v>
                </c:pt>
                <c:pt idx="352">
                  <c:v>17.199999999999978</c:v>
                </c:pt>
                <c:pt idx="353">
                  <c:v>17.299999999999979</c:v>
                </c:pt>
                <c:pt idx="354">
                  <c:v>17.399999999999981</c:v>
                </c:pt>
                <c:pt idx="355">
                  <c:v>17.499999999999982</c:v>
                </c:pt>
                <c:pt idx="356">
                  <c:v>17.599999999999984</c:v>
                </c:pt>
                <c:pt idx="357">
                  <c:v>17.699999999999985</c:v>
                </c:pt>
                <c:pt idx="358">
                  <c:v>17.799999999999986</c:v>
                </c:pt>
                <c:pt idx="359">
                  <c:v>17.899999999999988</c:v>
                </c:pt>
                <c:pt idx="360">
                  <c:v>17.999999999999989</c:v>
                </c:pt>
                <c:pt idx="361">
                  <c:v>18.099999999999991</c:v>
                </c:pt>
                <c:pt idx="362">
                  <c:v>18.199999999999992</c:v>
                </c:pt>
                <c:pt idx="363">
                  <c:v>18.299999999999994</c:v>
                </c:pt>
                <c:pt idx="364">
                  <c:v>18.399999999999995</c:v>
                </c:pt>
                <c:pt idx="365">
                  <c:v>18.499999999999996</c:v>
                </c:pt>
                <c:pt idx="366">
                  <c:v>18.599999999999998</c:v>
                </c:pt>
                <c:pt idx="367">
                  <c:v>18.7</c:v>
                </c:pt>
                <c:pt idx="368">
                  <c:v>18.8</c:v>
                </c:pt>
                <c:pt idx="369">
                  <c:v>18.900000000000002</c:v>
                </c:pt>
                <c:pt idx="370">
                  <c:v>19.000000000000004</c:v>
                </c:pt>
                <c:pt idx="371">
                  <c:v>19.100000000000005</c:v>
                </c:pt>
                <c:pt idx="372">
                  <c:v>19.200000000000006</c:v>
                </c:pt>
                <c:pt idx="373">
                  <c:v>19.300000000000008</c:v>
                </c:pt>
                <c:pt idx="374">
                  <c:v>19.400000000000009</c:v>
                </c:pt>
                <c:pt idx="375">
                  <c:v>19.500000000000011</c:v>
                </c:pt>
                <c:pt idx="376">
                  <c:v>19.600000000000012</c:v>
                </c:pt>
                <c:pt idx="377">
                  <c:v>19.700000000000014</c:v>
                </c:pt>
                <c:pt idx="378">
                  <c:v>19.800000000000015</c:v>
                </c:pt>
                <c:pt idx="379">
                  <c:v>19.900000000000016</c:v>
                </c:pt>
                <c:pt idx="380">
                  <c:v>20.000000000000018</c:v>
                </c:pt>
                <c:pt idx="381">
                  <c:v>20.100000000000019</c:v>
                </c:pt>
                <c:pt idx="382">
                  <c:v>20.200000000000021</c:v>
                </c:pt>
                <c:pt idx="383">
                  <c:v>20.300000000000022</c:v>
                </c:pt>
                <c:pt idx="384">
                  <c:v>20.400000000000023</c:v>
                </c:pt>
                <c:pt idx="385">
                  <c:v>20.500000000000025</c:v>
                </c:pt>
                <c:pt idx="386">
                  <c:v>20.600000000000026</c:v>
                </c:pt>
                <c:pt idx="387">
                  <c:v>20.700000000000028</c:v>
                </c:pt>
                <c:pt idx="388">
                  <c:v>20.800000000000029</c:v>
                </c:pt>
                <c:pt idx="389">
                  <c:v>20.900000000000031</c:v>
                </c:pt>
                <c:pt idx="390">
                  <c:v>21.000000000000032</c:v>
                </c:pt>
                <c:pt idx="391">
                  <c:v>21.100000000000033</c:v>
                </c:pt>
                <c:pt idx="392">
                  <c:v>21.200000000000035</c:v>
                </c:pt>
                <c:pt idx="393">
                  <c:v>21.300000000000036</c:v>
                </c:pt>
                <c:pt idx="394">
                  <c:v>21.400000000000038</c:v>
                </c:pt>
                <c:pt idx="395">
                  <c:v>21.500000000000039</c:v>
                </c:pt>
                <c:pt idx="396">
                  <c:v>21.600000000000041</c:v>
                </c:pt>
                <c:pt idx="397">
                  <c:v>21.700000000000042</c:v>
                </c:pt>
                <c:pt idx="398">
                  <c:v>21.800000000000043</c:v>
                </c:pt>
                <c:pt idx="399">
                  <c:v>21.900000000000045</c:v>
                </c:pt>
                <c:pt idx="400">
                  <c:v>22.000000000000046</c:v>
                </c:pt>
                <c:pt idx="401">
                  <c:v>22.100000000000048</c:v>
                </c:pt>
                <c:pt idx="402">
                  <c:v>22.200000000000049</c:v>
                </c:pt>
                <c:pt idx="403">
                  <c:v>22.30000000000005</c:v>
                </c:pt>
                <c:pt idx="404">
                  <c:v>22.400000000000052</c:v>
                </c:pt>
                <c:pt idx="405">
                  <c:v>22.500000000000053</c:v>
                </c:pt>
                <c:pt idx="406">
                  <c:v>22.600000000000055</c:v>
                </c:pt>
                <c:pt idx="407">
                  <c:v>22.700000000000056</c:v>
                </c:pt>
                <c:pt idx="408">
                  <c:v>22.800000000000058</c:v>
                </c:pt>
                <c:pt idx="409">
                  <c:v>22.900000000000059</c:v>
                </c:pt>
                <c:pt idx="410">
                  <c:v>23.00000000000006</c:v>
                </c:pt>
                <c:pt idx="411">
                  <c:v>23.100000000000062</c:v>
                </c:pt>
                <c:pt idx="412">
                  <c:v>23.200000000000063</c:v>
                </c:pt>
                <c:pt idx="413">
                  <c:v>23.300000000000065</c:v>
                </c:pt>
                <c:pt idx="414">
                  <c:v>23.400000000000066</c:v>
                </c:pt>
                <c:pt idx="415">
                  <c:v>23.500000000000068</c:v>
                </c:pt>
                <c:pt idx="416">
                  <c:v>23.600000000000069</c:v>
                </c:pt>
                <c:pt idx="417">
                  <c:v>23.70000000000007</c:v>
                </c:pt>
                <c:pt idx="418">
                  <c:v>23.800000000000072</c:v>
                </c:pt>
                <c:pt idx="419">
                  <c:v>23.900000000000073</c:v>
                </c:pt>
                <c:pt idx="420">
                  <c:v>24.000000000000075</c:v>
                </c:pt>
                <c:pt idx="421">
                  <c:v>24.100000000000076</c:v>
                </c:pt>
                <c:pt idx="422">
                  <c:v>24.200000000000077</c:v>
                </c:pt>
                <c:pt idx="423">
                  <c:v>24.300000000000079</c:v>
                </c:pt>
                <c:pt idx="424">
                  <c:v>24.40000000000008</c:v>
                </c:pt>
                <c:pt idx="425">
                  <c:v>24.500000000000082</c:v>
                </c:pt>
                <c:pt idx="426">
                  <c:v>24.600000000000083</c:v>
                </c:pt>
                <c:pt idx="427">
                  <c:v>24.700000000000085</c:v>
                </c:pt>
                <c:pt idx="428">
                  <c:v>24.800000000000086</c:v>
                </c:pt>
                <c:pt idx="429">
                  <c:v>24.900000000000087</c:v>
                </c:pt>
                <c:pt idx="430">
                  <c:v>25.000000000000089</c:v>
                </c:pt>
                <c:pt idx="431">
                  <c:v>25.10000000000009</c:v>
                </c:pt>
                <c:pt idx="432">
                  <c:v>25.200000000000092</c:v>
                </c:pt>
                <c:pt idx="433">
                  <c:v>25.300000000000093</c:v>
                </c:pt>
                <c:pt idx="434">
                  <c:v>25.400000000000095</c:v>
                </c:pt>
                <c:pt idx="435">
                  <c:v>25.500000000000096</c:v>
                </c:pt>
                <c:pt idx="436">
                  <c:v>25.600000000000097</c:v>
                </c:pt>
                <c:pt idx="437">
                  <c:v>25.700000000000099</c:v>
                </c:pt>
                <c:pt idx="438">
                  <c:v>25.8000000000001</c:v>
                </c:pt>
                <c:pt idx="439">
                  <c:v>25.900000000000102</c:v>
                </c:pt>
                <c:pt idx="440">
                  <c:v>26.000000000000103</c:v>
                </c:pt>
                <c:pt idx="441">
                  <c:v>26.100000000000104</c:v>
                </c:pt>
                <c:pt idx="442">
                  <c:v>26.200000000000106</c:v>
                </c:pt>
                <c:pt idx="443">
                  <c:v>26.300000000000107</c:v>
                </c:pt>
                <c:pt idx="444">
                  <c:v>26.400000000000109</c:v>
                </c:pt>
                <c:pt idx="445">
                  <c:v>26.50000000000011</c:v>
                </c:pt>
                <c:pt idx="446">
                  <c:v>26.600000000000112</c:v>
                </c:pt>
                <c:pt idx="447">
                  <c:v>26.700000000000113</c:v>
                </c:pt>
                <c:pt idx="448">
                  <c:v>26.800000000000114</c:v>
                </c:pt>
                <c:pt idx="449">
                  <c:v>26.900000000000116</c:v>
                </c:pt>
                <c:pt idx="450">
                  <c:v>27.000000000000117</c:v>
                </c:pt>
                <c:pt idx="451">
                  <c:v>27.100000000000119</c:v>
                </c:pt>
                <c:pt idx="452">
                  <c:v>27.20000000000012</c:v>
                </c:pt>
                <c:pt idx="453">
                  <c:v>27.300000000000122</c:v>
                </c:pt>
                <c:pt idx="454">
                  <c:v>27.400000000000123</c:v>
                </c:pt>
                <c:pt idx="455">
                  <c:v>27.500000000000124</c:v>
                </c:pt>
                <c:pt idx="456">
                  <c:v>27.600000000000126</c:v>
                </c:pt>
                <c:pt idx="457">
                  <c:v>27.700000000000127</c:v>
                </c:pt>
                <c:pt idx="458">
                  <c:v>27.800000000000129</c:v>
                </c:pt>
                <c:pt idx="459">
                  <c:v>27.90000000000013</c:v>
                </c:pt>
                <c:pt idx="460">
                  <c:v>28.000000000000131</c:v>
                </c:pt>
                <c:pt idx="461">
                  <c:v>28.100000000000133</c:v>
                </c:pt>
                <c:pt idx="462">
                  <c:v>28.200000000000134</c:v>
                </c:pt>
                <c:pt idx="463">
                  <c:v>28.300000000000136</c:v>
                </c:pt>
                <c:pt idx="464">
                  <c:v>28.400000000000137</c:v>
                </c:pt>
                <c:pt idx="465">
                  <c:v>28.500000000000139</c:v>
                </c:pt>
                <c:pt idx="466">
                  <c:v>28.60000000000014</c:v>
                </c:pt>
                <c:pt idx="467">
                  <c:v>28.700000000000141</c:v>
                </c:pt>
                <c:pt idx="468">
                  <c:v>28.800000000000143</c:v>
                </c:pt>
                <c:pt idx="469">
                  <c:v>28.900000000000144</c:v>
                </c:pt>
                <c:pt idx="470">
                  <c:v>29.000000000000146</c:v>
                </c:pt>
                <c:pt idx="471">
                  <c:v>29.100000000000147</c:v>
                </c:pt>
                <c:pt idx="472">
                  <c:v>29.200000000000149</c:v>
                </c:pt>
                <c:pt idx="473">
                  <c:v>29.30000000000015</c:v>
                </c:pt>
                <c:pt idx="474">
                  <c:v>29.400000000000151</c:v>
                </c:pt>
                <c:pt idx="475">
                  <c:v>29.500000000000153</c:v>
                </c:pt>
                <c:pt idx="476">
                  <c:v>29.600000000000154</c:v>
                </c:pt>
                <c:pt idx="477">
                  <c:v>29.700000000000156</c:v>
                </c:pt>
                <c:pt idx="478">
                  <c:v>29.800000000000157</c:v>
                </c:pt>
                <c:pt idx="479">
                  <c:v>29.900000000000158</c:v>
                </c:pt>
                <c:pt idx="480">
                  <c:v>30.00000000000016</c:v>
                </c:pt>
                <c:pt idx="481">
                  <c:v>30.100000000000161</c:v>
                </c:pt>
                <c:pt idx="482">
                  <c:v>30.200000000000163</c:v>
                </c:pt>
                <c:pt idx="483">
                  <c:v>30.300000000000164</c:v>
                </c:pt>
                <c:pt idx="484">
                  <c:v>30.400000000000166</c:v>
                </c:pt>
                <c:pt idx="485">
                  <c:v>30.500000000000167</c:v>
                </c:pt>
                <c:pt idx="486">
                  <c:v>30.600000000000168</c:v>
                </c:pt>
                <c:pt idx="487">
                  <c:v>30.70000000000017</c:v>
                </c:pt>
                <c:pt idx="488">
                  <c:v>30.800000000000171</c:v>
                </c:pt>
                <c:pt idx="489">
                  <c:v>30.900000000000173</c:v>
                </c:pt>
                <c:pt idx="490">
                  <c:v>31.000000000000174</c:v>
                </c:pt>
                <c:pt idx="491">
                  <c:v>31.100000000000176</c:v>
                </c:pt>
                <c:pt idx="492">
                  <c:v>31.200000000000177</c:v>
                </c:pt>
                <c:pt idx="493">
                  <c:v>31.300000000000178</c:v>
                </c:pt>
                <c:pt idx="494">
                  <c:v>31.40000000000018</c:v>
                </c:pt>
                <c:pt idx="495">
                  <c:v>31.500000000000181</c:v>
                </c:pt>
                <c:pt idx="496">
                  <c:v>31.600000000000183</c:v>
                </c:pt>
                <c:pt idx="497">
                  <c:v>31.700000000000184</c:v>
                </c:pt>
                <c:pt idx="498">
                  <c:v>31.800000000000185</c:v>
                </c:pt>
                <c:pt idx="499">
                  <c:v>31.900000000000187</c:v>
                </c:pt>
                <c:pt idx="500">
                  <c:v>32.000000000000185</c:v>
                </c:pt>
                <c:pt idx="501">
                  <c:v>32.100000000000186</c:v>
                </c:pt>
                <c:pt idx="502">
                  <c:v>32.200000000000188</c:v>
                </c:pt>
                <c:pt idx="503">
                  <c:v>32.300000000000189</c:v>
                </c:pt>
                <c:pt idx="504">
                  <c:v>32.40000000000019</c:v>
                </c:pt>
                <c:pt idx="505">
                  <c:v>32.500000000000192</c:v>
                </c:pt>
                <c:pt idx="506">
                  <c:v>32.600000000000193</c:v>
                </c:pt>
                <c:pt idx="507">
                  <c:v>32.700000000000195</c:v>
                </c:pt>
                <c:pt idx="508">
                  <c:v>32.800000000000196</c:v>
                </c:pt>
                <c:pt idx="509">
                  <c:v>32.900000000000198</c:v>
                </c:pt>
                <c:pt idx="510">
                  <c:v>33.000000000000199</c:v>
                </c:pt>
                <c:pt idx="511">
                  <c:v>33.1000000000002</c:v>
                </c:pt>
                <c:pt idx="512">
                  <c:v>33.200000000000202</c:v>
                </c:pt>
                <c:pt idx="513">
                  <c:v>33.300000000000203</c:v>
                </c:pt>
                <c:pt idx="514">
                  <c:v>33.400000000000205</c:v>
                </c:pt>
                <c:pt idx="515">
                  <c:v>33.500000000000206</c:v>
                </c:pt>
                <c:pt idx="516">
                  <c:v>33.600000000000207</c:v>
                </c:pt>
                <c:pt idx="517">
                  <c:v>33.700000000000209</c:v>
                </c:pt>
                <c:pt idx="518">
                  <c:v>33.80000000000021</c:v>
                </c:pt>
                <c:pt idx="519">
                  <c:v>33.900000000000212</c:v>
                </c:pt>
                <c:pt idx="520">
                  <c:v>34.000000000000213</c:v>
                </c:pt>
                <c:pt idx="521">
                  <c:v>34.100000000000215</c:v>
                </c:pt>
                <c:pt idx="522">
                  <c:v>34.200000000000216</c:v>
                </c:pt>
                <c:pt idx="523">
                  <c:v>34.300000000000217</c:v>
                </c:pt>
                <c:pt idx="524">
                  <c:v>34.400000000000219</c:v>
                </c:pt>
                <c:pt idx="525">
                  <c:v>34.50000000000022</c:v>
                </c:pt>
                <c:pt idx="526">
                  <c:v>34.600000000000222</c:v>
                </c:pt>
                <c:pt idx="527">
                  <c:v>34.700000000000223</c:v>
                </c:pt>
                <c:pt idx="528">
                  <c:v>34.800000000000225</c:v>
                </c:pt>
                <c:pt idx="529">
                  <c:v>34.900000000000226</c:v>
                </c:pt>
                <c:pt idx="530">
                  <c:v>35.000000000000227</c:v>
                </c:pt>
                <c:pt idx="531">
                  <c:v>35.100000000000229</c:v>
                </c:pt>
                <c:pt idx="532">
                  <c:v>35.20000000000023</c:v>
                </c:pt>
                <c:pt idx="533">
                  <c:v>35.300000000000232</c:v>
                </c:pt>
                <c:pt idx="534">
                  <c:v>35.400000000000233</c:v>
                </c:pt>
                <c:pt idx="535">
                  <c:v>35.500000000000234</c:v>
                </c:pt>
                <c:pt idx="536">
                  <c:v>35.600000000000236</c:v>
                </c:pt>
                <c:pt idx="537">
                  <c:v>35.700000000000237</c:v>
                </c:pt>
                <c:pt idx="538">
                  <c:v>35.800000000000239</c:v>
                </c:pt>
                <c:pt idx="539">
                  <c:v>35.90000000000024</c:v>
                </c:pt>
                <c:pt idx="540">
                  <c:v>36.000000000000242</c:v>
                </c:pt>
                <c:pt idx="541">
                  <c:v>36.100000000000243</c:v>
                </c:pt>
                <c:pt idx="542">
                  <c:v>36.200000000000244</c:v>
                </c:pt>
                <c:pt idx="543">
                  <c:v>36.300000000000246</c:v>
                </c:pt>
                <c:pt idx="544">
                  <c:v>36.400000000000247</c:v>
                </c:pt>
                <c:pt idx="545">
                  <c:v>36.500000000000249</c:v>
                </c:pt>
                <c:pt idx="546">
                  <c:v>36.60000000000025</c:v>
                </c:pt>
                <c:pt idx="547">
                  <c:v>36.700000000000252</c:v>
                </c:pt>
                <c:pt idx="548">
                  <c:v>36.700100000000255</c:v>
                </c:pt>
                <c:pt idx="549">
                  <c:v>36.700200000000258</c:v>
                </c:pt>
                <c:pt idx="550">
                  <c:v>36.700300000000261</c:v>
                </c:pt>
                <c:pt idx="551">
                  <c:v>36.700400000000265</c:v>
                </c:pt>
                <c:pt idx="552">
                  <c:v>36.700500000000268</c:v>
                </c:pt>
                <c:pt idx="553">
                  <c:v>36.700600000000271</c:v>
                </c:pt>
                <c:pt idx="554">
                  <c:v>36.700700000000275</c:v>
                </c:pt>
                <c:pt idx="555">
                  <c:v>36.700800000000278</c:v>
                </c:pt>
                <c:pt idx="556">
                  <c:v>36.700900000000281</c:v>
                </c:pt>
                <c:pt idx="557">
                  <c:v>36.701000000000285</c:v>
                </c:pt>
                <c:pt idx="558">
                  <c:v>36.701100000000288</c:v>
                </c:pt>
                <c:pt idx="559">
                  <c:v>36.701200000000291</c:v>
                </c:pt>
                <c:pt idx="560">
                  <c:v>36.701300000000295</c:v>
                </c:pt>
                <c:pt idx="561">
                  <c:v>36.701400000000298</c:v>
                </c:pt>
                <c:pt idx="562">
                  <c:v>36.701500000000301</c:v>
                </c:pt>
                <c:pt idx="563">
                  <c:v>36.701600000000305</c:v>
                </c:pt>
                <c:pt idx="564">
                  <c:v>36.701700000000308</c:v>
                </c:pt>
                <c:pt idx="565">
                  <c:v>36.701800000000311</c:v>
                </c:pt>
                <c:pt idx="566">
                  <c:v>36.701900000000315</c:v>
                </c:pt>
                <c:pt idx="567">
                  <c:v>36.702000000000318</c:v>
                </c:pt>
                <c:pt idx="568">
                  <c:v>36.702100000000321</c:v>
                </c:pt>
                <c:pt idx="569">
                  <c:v>36.702200000000325</c:v>
                </c:pt>
                <c:pt idx="570">
                  <c:v>36.702300000000328</c:v>
                </c:pt>
                <c:pt idx="571">
                  <c:v>36.702400000000331</c:v>
                </c:pt>
                <c:pt idx="572">
                  <c:v>36.702500000000335</c:v>
                </c:pt>
                <c:pt idx="573">
                  <c:v>36.702600000000338</c:v>
                </c:pt>
                <c:pt idx="574">
                  <c:v>36.702700000000341</c:v>
                </c:pt>
                <c:pt idx="575">
                  <c:v>36.702800000000344</c:v>
                </c:pt>
                <c:pt idx="576">
                  <c:v>36.702900000000348</c:v>
                </c:pt>
                <c:pt idx="577">
                  <c:v>36.703000000000351</c:v>
                </c:pt>
                <c:pt idx="578">
                  <c:v>36.703100000000354</c:v>
                </c:pt>
                <c:pt idx="579">
                  <c:v>36.703200000000358</c:v>
                </c:pt>
                <c:pt idx="580">
                  <c:v>36.703300000000361</c:v>
                </c:pt>
                <c:pt idx="581">
                  <c:v>36.703400000000364</c:v>
                </c:pt>
                <c:pt idx="582">
                  <c:v>36.703500000000368</c:v>
                </c:pt>
                <c:pt idx="583">
                  <c:v>36.703600000000371</c:v>
                </c:pt>
                <c:pt idx="584">
                  <c:v>36.703700000000374</c:v>
                </c:pt>
                <c:pt idx="585">
                  <c:v>36.703800000000378</c:v>
                </c:pt>
                <c:pt idx="586">
                  <c:v>36.703900000000381</c:v>
                </c:pt>
                <c:pt idx="587">
                  <c:v>36.704000000000384</c:v>
                </c:pt>
                <c:pt idx="588">
                  <c:v>36.704100000000388</c:v>
                </c:pt>
                <c:pt idx="589">
                  <c:v>36.704200000000391</c:v>
                </c:pt>
                <c:pt idx="590">
                  <c:v>36.704300000000394</c:v>
                </c:pt>
                <c:pt idx="591">
                  <c:v>36.704400000000398</c:v>
                </c:pt>
                <c:pt idx="592">
                  <c:v>36.704500000000401</c:v>
                </c:pt>
                <c:pt idx="593">
                  <c:v>36.704600000000404</c:v>
                </c:pt>
                <c:pt idx="594">
                  <c:v>36.704700000000408</c:v>
                </c:pt>
                <c:pt idx="595">
                  <c:v>36.704800000000411</c:v>
                </c:pt>
                <c:pt idx="596">
                  <c:v>36.704900000000414</c:v>
                </c:pt>
                <c:pt idx="597">
                  <c:v>36.705000000000418</c:v>
                </c:pt>
                <c:pt idx="598">
                  <c:v>36.705100000000421</c:v>
                </c:pt>
                <c:pt idx="599">
                  <c:v>36.705200000000424</c:v>
                </c:pt>
                <c:pt idx="600">
                  <c:v>36.705300000000427</c:v>
                </c:pt>
                <c:pt idx="601">
                  <c:v>36.705400000000431</c:v>
                </c:pt>
                <c:pt idx="602">
                  <c:v>36.705500000000434</c:v>
                </c:pt>
                <c:pt idx="603">
                  <c:v>36.705600000000437</c:v>
                </c:pt>
                <c:pt idx="604">
                  <c:v>36.705700000000441</c:v>
                </c:pt>
                <c:pt idx="605">
                  <c:v>36.705800000000444</c:v>
                </c:pt>
                <c:pt idx="606">
                  <c:v>36.705900000000447</c:v>
                </c:pt>
                <c:pt idx="607">
                  <c:v>36.706000000000451</c:v>
                </c:pt>
                <c:pt idx="608">
                  <c:v>36.706100000000454</c:v>
                </c:pt>
                <c:pt idx="609">
                  <c:v>36.706200000000457</c:v>
                </c:pt>
                <c:pt idx="610">
                  <c:v>36.706300000000461</c:v>
                </c:pt>
                <c:pt idx="611">
                  <c:v>36.706400000000464</c:v>
                </c:pt>
                <c:pt idx="612">
                  <c:v>36.706500000000467</c:v>
                </c:pt>
                <c:pt idx="613">
                  <c:v>36.706600000000471</c:v>
                </c:pt>
                <c:pt idx="614">
                  <c:v>36.706700000000474</c:v>
                </c:pt>
                <c:pt idx="615">
                  <c:v>36.706800000000477</c:v>
                </c:pt>
                <c:pt idx="616">
                  <c:v>36.706900000000481</c:v>
                </c:pt>
                <c:pt idx="617">
                  <c:v>36.707000000000484</c:v>
                </c:pt>
                <c:pt idx="618">
                  <c:v>36.707100000000487</c:v>
                </c:pt>
                <c:pt idx="619">
                  <c:v>36.707200000000491</c:v>
                </c:pt>
                <c:pt idx="620">
                  <c:v>36.707300000000494</c:v>
                </c:pt>
                <c:pt idx="621">
                  <c:v>36.707400000000497</c:v>
                </c:pt>
                <c:pt idx="622">
                  <c:v>36.707500000000501</c:v>
                </c:pt>
                <c:pt idx="623">
                  <c:v>36.707600000000504</c:v>
                </c:pt>
                <c:pt idx="624">
                  <c:v>36.707700000000507</c:v>
                </c:pt>
                <c:pt idx="625">
                  <c:v>36.70780000000051</c:v>
                </c:pt>
                <c:pt idx="626">
                  <c:v>36.707900000000514</c:v>
                </c:pt>
                <c:pt idx="627">
                  <c:v>36.708000000000517</c:v>
                </c:pt>
                <c:pt idx="628">
                  <c:v>36.70810000000052</c:v>
                </c:pt>
                <c:pt idx="629">
                  <c:v>36.708200000000524</c:v>
                </c:pt>
                <c:pt idx="630">
                  <c:v>36.708300000000527</c:v>
                </c:pt>
                <c:pt idx="631">
                  <c:v>36.70840000000053</c:v>
                </c:pt>
                <c:pt idx="632">
                  <c:v>36.708500000000534</c:v>
                </c:pt>
                <c:pt idx="633">
                  <c:v>36.708600000000537</c:v>
                </c:pt>
                <c:pt idx="634">
                  <c:v>36.70870000000054</c:v>
                </c:pt>
                <c:pt idx="635">
                  <c:v>36.708800000000544</c:v>
                </c:pt>
                <c:pt idx="636">
                  <c:v>36.708900000000547</c:v>
                </c:pt>
                <c:pt idx="637">
                  <c:v>36.70900000000055</c:v>
                </c:pt>
                <c:pt idx="638">
                  <c:v>36.709100000000554</c:v>
                </c:pt>
                <c:pt idx="639">
                  <c:v>36.709200000000557</c:v>
                </c:pt>
                <c:pt idx="640">
                  <c:v>36.70930000000056</c:v>
                </c:pt>
                <c:pt idx="641">
                  <c:v>36.709400000000564</c:v>
                </c:pt>
                <c:pt idx="642">
                  <c:v>36.709500000000567</c:v>
                </c:pt>
                <c:pt idx="643">
                  <c:v>36.70960000000057</c:v>
                </c:pt>
                <c:pt idx="644">
                  <c:v>36.709700000000574</c:v>
                </c:pt>
                <c:pt idx="645">
                  <c:v>36.709800000000577</c:v>
                </c:pt>
                <c:pt idx="646">
                  <c:v>36.70990000000058</c:v>
                </c:pt>
                <c:pt idx="647">
                  <c:v>36.710000000000583</c:v>
                </c:pt>
                <c:pt idx="648">
                  <c:v>36.710100000000587</c:v>
                </c:pt>
                <c:pt idx="649">
                  <c:v>36.71020000000059</c:v>
                </c:pt>
                <c:pt idx="650">
                  <c:v>36.710300000000593</c:v>
                </c:pt>
                <c:pt idx="651">
                  <c:v>36.710400000000597</c:v>
                </c:pt>
                <c:pt idx="652">
                  <c:v>36.7105000000006</c:v>
                </c:pt>
                <c:pt idx="653">
                  <c:v>36.710600000000603</c:v>
                </c:pt>
                <c:pt idx="654">
                  <c:v>36.710700000000607</c:v>
                </c:pt>
                <c:pt idx="655">
                  <c:v>36.71080000000061</c:v>
                </c:pt>
                <c:pt idx="656">
                  <c:v>36.710900000000613</c:v>
                </c:pt>
                <c:pt idx="657">
                  <c:v>36.711000000000617</c:v>
                </c:pt>
                <c:pt idx="658">
                  <c:v>36.71110000000062</c:v>
                </c:pt>
                <c:pt idx="659">
                  <c:v>36.711200000000623</c:v>
                </c:pt>
                <c:pt idx="660">
                  <c:v>36.711300000000627</c:v>
                </c:pt>
                <c:pt idx="661">
                  <c:v>36.71140000000063</c:v>
                </c:pt>
                <c:pt idx="662">
                  <c:v>36.711500000000633</c:v>
                </c:pt>
                <c:pt idx="663">
                  <c:v>36.711600000000637</c:v>
                </c:pt>
                <c:pt idx="664">
                  <c:v>36.71170000000064</c:v>
                </c:pt>
                <c:pt idx="665">
                  <c:v>36.711800000000643</c:v>
                </c:pt>
                <c:pt idx="666">
                  <c:v>36.711900000000647</c:v>
                </c:pt>
                <c:pt idx="667">
                  <c:v>36.71200000000065</c:v>
                </c:pt>
                <c:pt idx="668">
                  <c:v>36.712100000000653</c:v>
                </c:pt>
                <c:pt idx="669">
                  <c:v>36.712200000000657</c:v>
                </c:pt>
                <c:pt idx="670">
                  <c:v>36.71230000000066</c:v>
                </c:pt>
                <c:pt idx="671">
                  <c:v>36.712400000000663</c:v>
                </c:pt>
                <c:pt idx="672">
                  <c:v>36.712500000000666</c:v>
                </c:pt>
                <c:pt idx="673">
                  <c:v>36.71260000000067</c:v>
                </c:pt>
                <c:pt idx="674">
                  <c:v>36.712700000000673</c:v>
                </c:pt>
                <c:pt idx="675">
                  <c:v>36.712800000000676</c:v>
                </c:pt>
                <c:pt idx="676">
                  <c:v>36.71290000000068</c:v>
                </c:pt>
                <c:pt idx="677">
                  <c:v>36.713000000000683</c:v>
                </c:pt>
                <c:pt idx="678">
                  <c:v>36.713100000000686</c:v>
                </c:pt>
                <c:pt idx="679">
                  <c:v>36.71320000000069</c:v>
                </c:pt>
                <c:pt idx="680">
                  <c:v>36.713300000000693</c:v>
                </c:pt>
                <c:pt idx="681">
                  <c:v>36.713400000000696</c:v>
                </c:pt>
                <c:pt idx="682">
                  <c:v>36.7135000000007</c:v>
                </c:pt>
                <c:pt idx="683">
                  <c:v>36.713600000000703</c:v>
                </c:pt>
                <c:pt idx="684">
                  <c:v>36.713700000000706</c:v>
                </c:pt>
                <c:pt idx="685">
                  <c:v>36.71380000000071</c:v>
                </c:pt>
                <c:pt idx="686">
                  <c:v>36.713900000000713</c:v>
                </c:pt>
                <c:pt idx="687">
                  <c:v>36.714000000000716</c:v>
                </c:pt>
                <c:pt idx="688">
                  <c:v>36.71410000000072</c:v>
                </c:pt>
                <c:pt idx="689">
                  <c:v>36.714200000000723</c:v>
                </c:pt>
                <c:pt idx="690">
                  <c:v>36.714300000000726</c:v>
                </c:pt>
                <c:pt idx="691">
                  <c:v>36.71440000000073</c:v>
                </c:pt>
                <c:pt idx="692">
                  <c:v>36.714500000000733</c:v>
                </c:pt>
                <c:pt idx="693">
                  <c:v>36.714600000000736</c:v>
                </c:pt>
                <c:pt idx="694">
                  <c:v>36.71470000000074</c:v>
                </c:pt>
                <c:pt idx="695">
                  <c:v>36.714800000000743</c:v>
                </c:pt>
                <c:pt idx="696">
                  <c:v>36.714900000000746</c:v>
                </c:pt>
                <c:pt idx="697">
                  <c:v>36.715000000000749</c:v>
                </c:pt>
                <c:pt idx="698">
                  <c:v>36.715100000000753</c:v>
                </c:pt>
                <c:pt idx="699">
                  <c:v>36.715200000000756</c:v>
                </c:pt>
                <c:pt idx="700">
                  <c:v>36.715300000000759</c:v>
                </c:pt>
                <c:pt idx="701">
                  <c:v>36.715400000000763</c:v>
                </c:pt>
                <c:pt idx="702">
                  <c:v>36.715500000000766</c:v>
                </c:pt>
                <c:pt idx="703">
                  <c:v>36.715600000000769</c:v>
                </c:pt>
                <c:pt idx="704">
                  <c:v>36.715700000000773</c:v>
                </c:pt>
                <c:pt idx="705">
                  <c:v>36.715800000000776</c:v>
                </c:pt>
                <c:pt idx="706">
                  <c:v>36.715900000000779</c:v>
                </c:pt>
                <c:pt idx="707">
                  <c:v>36.716000000000783</c:v>
                </c:pt>
                <c:pt idx="708">
                  <c:v>36.716100000000786</c:v>
                </c:pt>
                <c:pt idx="709">
                  <c:v>36.716200000000789</c:v>
                </c:pt>
                <c:pt idx="710">
                  <c:v>36.716300000000793</c:v>
                </c:pt>
                <c:pt idx="711">
                  <c:v>36.716400000000796</c:v>
                </c:pt>
                <c:pt idx="712">
                  <c:v>36.716500000000799</c:v>
                </c:pt>
                <c:pt idx="713">
                  <c:v>36.716600000000803</c:v>
                </c:pt>
                <c:pt idx="714">
                  <c:v>36.716700000000806</c:v>
                </c:pt>
                <c:pt idx="715">
                  <c:v>36.716800000000809</c:v>
                </c:pt>
                <c:pt idx="716">
                  <c:v>36.716900000000813</c:v>
                </c:pt>
                <c:pt idx="717">
                  <c:v>36.717000000000816</c:v>
                </c:pt>
                <c:pt idx="718">
                  <c:v>36.717100000000819</c:v>
                </c:pt>
                <c:pt idx="719">
                  <c:v>36.717200000000823</c:v>
                </c:pt>
                <c:pt idx="720">
                  <c:v>36.717300000000826</c:v>
                </c:pt>
                <c:pt idx="721">
                  <c:v>36.717400000000829</c:v>
                </c:pt>
                <c:pt idx="722">
                  <c:v>36.717500000000832</c:v>
                </c:pt>
                <c:pt idx="723">
                  <c:v>36.717600000000836</c:v>
                </c:pt>
                <c:pt idx="724">
                  <c:v>36.717700000000839</c:v>
                </c:pt>
                <c:pt idx="725">
                  <c:v>36.717800000000842</c:v>
                </c:pt>
                <c:pt idx="726">
                  <c:v>36.717900000000846</c:v>
                </c:pt>
                <c:pt idx="727">
                  <c:v>36.718000000000849</c:v>
                </c:pt>
                <c:pt idx="728">
                  <c:v>36.718100000000852</c:v>
                </c:pt>
                <c:pt idx="729">
                  <c:v>36.718200000000856</c:v>
                </c:pt>
                <c:pt idx="730">
                  <c:v>36.718300000000859</c:v>
                </c:pt>
                <c:pt idx="731">
                  <c:v>36.718400000000862</c:v>
                </c:pt>
                <c:pt idx="732">
                  <c:v>36.718500000000866</c:v>
                </c:pt>
                <c:pt idx="733">
                  <c:v>36.718600000000869</c:v>
                </c:pt>
                <c:pt idx="734">
                  <c:v>36.718700000000872</c:v>
                </c:pt>
                <c:pt idx="735">
                  <c:v>36.718800000000876</c:v>
                </c:pt>
                <c:pt idx="736">
                  <c:v>36.718900000000879</c:v>
                </c:pt>
                <c:pt idx="737">
                  <c:v>36.719000000000882</c:v>
                </c:pt>
                <c:pt idx="738">
                  <c:v>36.719100000000886</c:v>
                </c:pt>
                <c:pt idx="739">
                  <c:v>36.719200000000889</c:v>
                </c:pt>
                <c:pt idx="740">
                  <c:v>36.719300000000892</c:v>
                </c:pt>
                <c:pt idx="741">
                  <c:v>36.719400000000896</c:v>
                </c:pt>
                <c:pt idx="742">
                  <c:v>36.719500000000899</c:v>
                </c:pt>
                <c:pt idx="743">
                  <c:v>36.719600000000902</c:v>
                </c:pt>
                <c:pt idx="744">
                  <c:v>36.719700000000906</c:v>
                </c:pt>
                <c:pt idx="745">
                  <c:v>36.719800000000909</c:v>
                </c:pt>
                <c:pt idx="746">
                  <c:v>36.719900000000912</c:v>
                </c:pt>
                <c:pt idx="747">
                  <c:v>36.720000000000915</c:v>
                </c:pt>
                <c:pt idx="748">
                  <c:v>36.720100000000919</c:v>
                </c:pt>
                <c:pt idx="749">
                  <c:v>36.720200000000922</c:v>
                </c:pt>
                <c:pt idx="750">
                  <c:v>36.720300000000925</c:v>
                </c:pt>
                <c:pt idx="751">
                  <c:v>36.720400000000929</c:v>
                </c:pt>
                <c:pt idx="752">
                  <c:v>36.720500000000932</c:v>
                </c:pt>
                <c:pt idx="753">
                  <c:v>36.720600000000935</c:v>
                </c:pt>
                <c:pt idx="754">
                  <c:v>36.720700000000939</c:v>
                </c:pt>
                <c:pt idx="755">
                  <c:v>36.720800000000942</c:v>
                </c:pt>
                <c:pt idx="756">
                  <c:v>36.720900000000945</c:v>
                </c:pt>
                <c:pt idx="757">
                  <c:v>36.721000000000949</c:v>
                </c:pt>
                <c:pt idx="758">
                  <c:v>36.721100000000952</c:v>
                </c:pt>
                <c:pt idx="759">
                  <c:v>36.721200000000955</c:v>
                </c:pt>
                <c:pt idx="760">
                  <c:v>36.721300000000959</c:v>
                </c:pt>
                <c:pt idx="761">
                  <c:v>36.721400000000962</c:v>
                </c:pt>
                <c:pt idx="762">
                  <c:v>36.721500000000965</c:v>
                </c:pt>
                <c:pt idx="763">
                  <c:v>36.721600000000969</c:v>
                </c:pt>
                <c:pt idx="764">
                  <c:v>36.721700000000972</c:v>
                </c:pt>
                <c:pt idx="765">
                  <c:v>36.721800000000975</c:v>
                </c:pt>
                <c:pt idx="766">
                  <c:v>36.721900000000979</c:v>
                </c:pt>
                <c:pt idx="767">
                  <c:v>36.722000000000982</c:v>
                </c:pt>
                <c:pt idx="768">
                  <c:v>36.722100000000985</c:v>
                </c:pt>
                <c:pt idx="769">
                  <c:v>36.722200000000988</c:v>
                </c:pt>
                <c:pt idx="770">
                  <c:v>36.722300000000992</c:v>
                </c:pt>
                <c:pt idx="771">
                  <c:v>36.722400000000995</c:v>
                </c:pt>
                <c:pt idx="772">
                  <c:v>36.722500000000998</c:v>
                </c:pt>
                <c:pt idx="773">
                  <c:v>36.722600000001002</c:v>
                </c:pt>
                <c:pt idx="774">
                  <c:v>36.722700000001005</c:v>
                </c:pt>
                <c:pt idx="775">
                  <c:v>36.722800000001008</c:v>
                </c:pt>
                <c:pt idx="776">
                  <c:v>36.722900000001012</c:v>
                </c:pt>
                <c:pt idx="777">
                  <c:v>36.723000000001015</c:v>
                </c:pt>
                <c:pt idx="778">
                  <c:v>36.723100000001018</c:v>
                </c:pt>
                <c:pt idx="779">
                  <c:v>36.723200000001022</c:v>
                </c:pt>
                <c:pt idx="780">
                  <c:v>36.723300000001025</c:v>
                </c:pt>
                <c:pt idx="781">
                  <c:v>36.723400000001028</c:v>
                </c:pt>
                <c:pt idx="782">
                  <c:v>36.723500000001032</c:v>
                </c:pt>
                <c:pt idx="783">
                  <c:v>36.723600000001035</c:v>
                </c:pt>
                <c:pt idx="784">
                  <c:v>36.723700000001038</c:v>
                </c:pt>
                <c:pt idx="785">
                  <c:v>36.723800000001042</c:v>
                </c:pt>
                <c:pt idx="786">
                  <c:v>36.723900000001045</c:v>
                </c:pt>
                <c:pt idx="787">
                  <c:v>36.724000000001048</c:v>
                </c:pt>
                <c:pt idx="788">
                  <c:v>36.724100000001052</c:v>
                </c:pt>
                <c:pt idx="789">
                  <c:v>36.724200000001055</c:v>
                </c:pt>
                <c:pt idx="790">
                  <c:v>36.724300000001058</c:v>
                </c:pt>
                <c:pt idx="791">
                  <c:v>36.724400000001062</c:v>
                </c:pt>
                <c:pt idx="792">
                  <c:v>36.724500000001065</c:v>
                </c:pt>
                <c:pt idx="793">
                  <c:v>36.724600000001068</c:v>
                </c:pt>
                <c:pt idx="794">
                  <c:v>36.724700000001071</c:v>
                </c:pt>
                <c:pt idx="795">
                  <c:v>36.724800000001075</c:v>
                </c:pt>
                <c:pt idx="796">
                  <c:v>36.724900000001078</c:v>
                </c:pt>
                <c:pt idx="797">
                  <c:v>36.725000000001081</c:v>
                </c:pt>
                <c:pt idx="798">
                  <c:v>36.725100000001085</c:v>
                </c:pt>
                <c:pt idx="799">
                  <c:v>36.725200000001088</c:v>
                </c:pt>
                <c:pt idx="800">
                  <c:v>36.725300000001091</c:v>
                </c:pt>
                <c:pt idx="801">
                  <c:v>36.725400000001095</c:v>
                </c:pt>
                <c:pt idx="802">
                  <c:v>36.725500000001098</c:v>
                </c:pt>
                <c:pt idx="803">
                  <c:v>36.725600000001101</c:v>
                </c:pt>
                <c:pt idx="804">
                  <c:v>36.725700000001105</c:v>
                </c:pt>
                <c:pt idx="805">
                  <c:v>36.725800000001108</c:v>
                </c:pt>
                <c:pt idx="806">
                  <c:v>36.725900000001111</c:v>
                </c:pt>
                <c:pt idx="807">
                  <c:v>36.726000000001115</c:v>
                </c:pt>
                <c:pt idx="808">
                  <c:v>36.726100000001118</c:v>
                </c:pt>
                <c:pt idx="809">
                  <c:v>36.726200000001121</c:v>
                </c:pt>
                <c:pt idx="810">
                  <c:v>36.726300000001125</c:v>
                </c:pt>
                <c:pt idx="811">
                  <c:v>36.726400000001128</c:v>
                </c:pt>
                <c:pt idx="812">
                  <c:v>36.726500000001131</c:v>
                </c:pt>
                <c:pt idx="813">
                  <c:v>36.726600000001135</c:v>
                </c:pt>
                <c:pt idx="814">
                  <c:v>36.726700000001138</c:v>
                </c:pt>
                <c:pt idx="815">
                  <c:v>36.726800000001141</c:v>
                </c:pt>
                <c:pt idx="816">
                  <c:v>36.726900000001145</c:v>
                </c:pt>
                <c:pt idx="817">
                  <c:v>36.727000000001148</c:v>
                </c:pt>
                <c:pt idx="818">
                  <c:v>36.727100000001151</c:v>
                </c:pt>
                <c:pt idx="819">
                  <c:v>36.727200000001154</c:v>
                </c:pt>
                <c:pt idx="820">
                  <c:v>36.727300000001158</c:v>
                </c:pt>
                <c:pt idx="821">
                  <c:v>36.727400000001161</c:v>
                </c:pt>
                <c:pt idx="822">
                  <c:v>36.727500000001164</c:v>
                </c:pt>
                <c:pt idx="823">
                  <c:v>36.727600000001168</c:v>
                </c:pt>
                <c:pt idx="824">
                  <c:v>36.727700000001171</c:v>
                </c:pt>
                <c:pt idx="825">
                  <c:v>36.727800000001174</c:v>
                </c:pt>
                <c:pt idx="826">
                  <c:v>36.727900000001178</c:v>
                </c:pt>
                <c:pt idx="827">
                  <c:v>36.728000000001181</c:v>
                </c:pt>
                <c:pt idx="828">
                  <c:v>36.728100000001184</c:v>
                </c:pt>
                <c:pt idx="829">
                  <c:v>36.728200000001188</c:v>
                </c:pt>
                <c:pt idx="830">
                  <c:v>36.728300000001191</c:v>
                </c:pt>
                <c:pt idx="831">
                  <c:v>36.728400000001194</c:v>
                </c:pt>
                <c:pt idx="832">
                  <c:v>36.728500000001198</c:v>
                </c:pt>
                <c:pt idx="833">
                  <c:v>36.728600000001201</c:v>
                </c:pt>
                <c:pt idx="834">
                  <c:v>36.728700000001204</c:v>
                </c:pt>
                <c:pt idx="835">
                  <c:v>36.728800000001208</c:v>
                </c:pt>
                <c:pt idx="836">
                  <c:v>36.728900000001211</c:v>
                </c:pt>
                <c:pt idx="837">
                  <c:v>36.729000000001214</c:v>
                </c:pt>
                <c:pt idx="838">
                  <c:v>36.729100000001218</c:v>
                </c:pt>
                <c:pt idx="839">
                  <c:v>36.729200000001221</c:v>
                </c:pt>
                <c:pt idx="840">
                  <c:v>36.729300000001224</c:v>
                </c:pt>
                <c:pt idx="841">
                  <c:v>36.729400000001228</c:v>
                </c:pt>
                <c:pt idx="842">
                  <c:v>36.729500000001231</c:v>
                </c:pt>
                <c:pt idx="843">
                  <c:v>36.729600000001234</c:v>
                </c:pt>
                <c:pt idx="844">
                  <c:v>36.729700000001237</c:v>
                </c:pt>
                <c:pt idx="845">
                  <c:v>36.729800000001241</c:v>
                </c:pt>
                <c:pt idx="846">
                  <c:v>36.729900000001244</c:v>
                </c:pt>
                <c:pt idx="847">
                  <c:v>36.730000000001247</c:v>
                </c:pt>
                <c:pt idx="848">
                  <c:v>36.730100000001251</c:v>
                </c:pt>
                <c:pt idx="849">
                  <c:v>36.730200000001254</c:v>
                </c:pt>
                <c:pt idx="850">
                  <c:v>36.730300000001257</c:v>
                </c:pt>
                <c:pt idx="851">
                  <c:v>36.730400000001261</c:v>
                </c:pt>
                <c:pt idx="852">
                  <c:v>36.730500000001264</c:v>
                </c:pt>
                <c:pt idx="853">
                  <c:v>36.730600000001267</c:v>
                </c:pt>
                <c:pt idx="854">
                  <c:v>36.730700000001271</c:v>
                </c:pt>
                <c:pt idx="855">
                  <c:v>36.730800000001274</c:v>
                </c:pt>
                <c:pt idx="856">
                  <c:v>36.730900000001277</c:v>
                </c:pt>
                <c:pt idx="857">
                  <c:v>36.731000000001281</c:v>
                </c:pt>
                <c:pt idx="858">
                  <c:v>36.731100000001284</c:v>
                </c:pt>
                <c:pt idx="859">
                  <c:v>36.731200000001287</c:v>
                </c:pt>
                <c:pt idx="860">
                  <c:v>36.731300000001291</c:v>
                </c:pt>
                <c:pt idx="861">
                  <c:v>36.731400000001294</c:v>
                </c:pt>
                <c:pt idx="862">
                  <c:v>36.731500000001297</c:v>
                </c:pt>
                <c:pt idx="863">
                  <c:v>36.731600000001301</c:v>
                </c:pt>
                <c:pt idx="864">
                  <c:v>36.731700000001304</c:v>
                </c:pt>
                <c:pt idx="865">
                  <c:v>36.731800000001307</c:v>
                </c:pt>
                <c:pt idx="866">
                  <c:v>36.731900000001311</c:v>
                </c:pt>
                <c:pt idx="867">
                  <c:v>36.732000000001314</c:v>
                </c:pt>
                <c:pt idx="868">
                  <c:v>36.732100000001317</c:v>
                </c:pt>
                <c:pt idx="869">
                  <c:v>36.73220000000132</c:v>
                </c:pt>
                <c:pt idx="870">
                  <c:v>36.732300000001324</c:v>
                </c:pt>
                <c:pt idx="871">
                  <c:v>36.732400000001327</c:v>
                </c:pt>
                <c:pt idx="872">
                  <c:v>36.73250000000133</c:v>
                </c:pt>
                <c:pt idx="873">
                  <c:v>36.732600000001334</c:v>
                </c:pt>
                <c:pt idx="874">
                  <c:v>36.732700000001337</c:v>
                </c:pt>
                <c:pt idx="875">
                  <c:v>36.73280000000134</c:v>
                </c:pt>
                <c:pt idx="876">
                  <c:v>36.732900000001344</c:v>
                </c:pt>
                <c:pt idx="877">
                  <c:v>36.733000000001347</c:v>
                </c:pt>
                <c:pt idx="878">
                  <c:v>36.73310000000135</c:v>
                </c:pt>
                <c:pt idx="879">
                  <c:v>36.733200000001354</c:v>
                </c:pt>
                <c:pt idx="880">
                  <c:v>36.733300000001357</c:v>
                </c:pt>
                <c:pt idx="881">
                  <c:v>36.73340000000136</c:v>
                </c:pt>
                <c:pt idx="882">
                  <c:v>36.733500000001364</c:v>
                </c:pt>
                <c:pt idx="883">
                  <c:v>36.733600000001367</c:v>
                </c:pt>
                <c:pt idx="884">
                  <c:v>36.73370000000137</c:v>
                </c:pt>
                <c:pt idx="885">
                  <c:v>36.733800000001374</c:v>
                </c:pt>
                <c:pt idx="886">
                  <c:v>36.733900000001377</c:v>
                </c:pt>
                <c:pt idx="887">
                  <c:v>36.73400000000138</c:v>
                </c:pt>
                <c:pt idx="888">
                  <c:v>36.734100000001384</c:v>
                </c:pt>
                <c:pt idx="889">
                  <c:v>36.734200000001387</c:v>
                </c:pt>
                <c:pt idx="890">
                  <c:v>36.73430000000139</c:v>
                </c:pt>
                <c:pt idx="891">
                  <c:v>36.734400000001393</c:v>
                </c:pt>
                <c:pt idx="892">
                  <c:v>36.734500000001397</c:v>
                </c:pt>
                <c:pt idx="893">
                  <c:v>36.7346000000014</c:v>
                </c:pt>
                <c:pt idx="894">
                  <c:v>36.734700000001403</c:v>
                </c:pt>
                <c:pt idx="895">
                  <c:v>36.734800000001407</c:v>
                </c:pt>
                <c:pt idx="896">
                  <c:v>36.73490000000141</c:v>
                </c:pt>
                <c:pt idx="897">
                  <c:v>36.735000000001413</c:v>
                </c:pt>
                <c:pt idx="898">
                  <c:v>36.735100000001417</c:v>
                </c:pt>
                <c:pt idx="899">
                  <c:v>36.73520000000142</c:v>
                </c:pt>
                <c:pt idx="900">
                  <c:v>36.735300000001423</c:v>
                </c:pt>
                <c:pt idx="901">
                  <c:v>36.735400000001427</c:v>
                </c:pt>
                <c:pt idx="902">
                  <c:v>36.73550000000143</c:v>
                </c:pt>
                <c:pt idx="903">
                  <c:v>36.735600000001433</c:v>
                </c:pt>
                <c:pt idx="904">
                  <c:v>36.735700000001437</c:v>
                </c:pt>
                <c:pt idx="905">
                  <c:v>36.73580000000144</c:v>
                </c:pt>
                <c:pt idx="906">
                  <c:v>36.735900000001443</c:v>
                </c:pt>
                <c:pt idx="907">
                  <c:v>36.736000000001447</c:v>
                </c:pt>
                <c:pt idx="908">
                  <c:v>36.73610000000145</c:v>
                </c:pt>
                <c:pt idx="909">
                  <c:v>36.736200000001453</c:v>
                </c:pt>
                <c:pt idx="910">
                  <c:v>36.736300000001457</c:v>
                </c:pt>
                <c:pt idx="911">
                  <c:v>36.73640000000146</c:v>
                </c:pt>
                <c:pt idx="912">
                  <c:v>36.736500000001463</c:v>
                </c:pt>
                <c:pt idx="913">
                  <c:v>36.736600000001467</c:v>
                </c:pt>
                <c:pt idx="914">
                  <c:v>36.73670000000147</c:v>
                </c:pt>
                <c:pt idx="915">
                  <c:v>36.736800000001473</c:v>
                </c:pt>
                <c:pt idx="916">
                  <c:v>36.736900000001476</c:v>
                </c:pt>
                <c:pt idx="917">
                  <c:v>36.73700000000148</c:v>
                </c:pt>
                <c:pt idx="918">
                  <c:v>36.737100000001483</c:v>
                </c:pt>
                <c:pt idx="919">
                  <c:v>36.737200000001486</c:v>
                </c:pt>
                <c:pt idx="920">
                  <c:v>36.73730000000149</c:v>
                </c:pt>
                <c:pt idx="921">
                  <c:v>36.737400000001493</c:v>
                </c:pt>
                <c:pt idx="922">
                  <c:v>36.737500000001496</c:v>
                </c:pt>
                <c:pt idx="923">
                  <c:v>36.7376000000015</c:v>
                </c:pt>
                <c:pt idx="924">
                  <c:v>36.737700000001503</c:v>
                </c:pt>
                <c:pt idx="925">
                  <c:v>36.737800000001506</c:v>
                </c:pt>
                <c:pt idx="926">
                  <c:v>36.73790000000151</c:v>
                </c:pt>
                <c:pt idx="927">
                  <c:v>36.738000000001513</c:v>
                </c:pt>
                <c:pt idx="928">
                  <c:v>36.738100000001516</c:v>
                </c:pt>
                <c:pt idx="929">
                  <c:v>36.73820000000152</c:v>
                </c:pt>
                <c:pt idx="930">
                  <c:v>36.738300000001523</c:v>
                </c:pt>
                <c:pt idx="931">
                  <c:v>36.738400000001526</c:v>
                </c:pt>
                <c:pt idx="932">
                  <c:v>36.73850000000153</c:v>
                </c:pt>
                <c:pt idx="933">
                  <c:v>36.738600000001533</c:v>
                </c:pt>
                <c:pt idx="934">
                  <c:v>36.738700000001536</c:v>
                </c:pt>
                <c:pt idx="935">
                  <c:v>36.73880000000154</c:v>
                </c:pt>
                <c:pt idx="936">
                  <c:v>36.738900000001543</c:v>
                </c:pt>
                <c:pt idx="937">
                  <c:v>36.739000000001546</c:v>
                </c:pt>
                <c:pt idx="938">
                  <c:v>36.73910000000155</c:v>
                </c:pt>
                <c:pt idx="939">
                  <c:v>36.739200000001553</c:v>
                </c:pt>
                <c:pt idx="940">
                  <c:v>36.739300000001556</c:v>
                </c:pt>
                <c:pt idx="941">
                  <c:v>36.739400000001559</c:v>
                </c:pt>
                <c:pt idx="942">
                  <c:v>36.739500000001563</c:v>
                </c:pt>
                <c:pt idx="943">
                  <c:v>36.739600000001566</c:v>
                </c:pt>
                <c:pt idx="944">
                  <c:v>36.739700000001569</c:v>
                </c:pt>
                <c:pt idx="945">
                  <c:v>36.739800000001573</c:v>
                </c:pt>
                <c:pt idx="946">
                  <c:v>36.739900000001576</c:v>
                </c:pt>
                <c:pt idx="947">
                  <c:v>36.740000000001579</c:v>
                </c:pt>
                <c:pt idx="948">
                  <c:v>36.740100000001583</c:v>
                </c:pt>
                <c:pt idx="949">
                  <c:v>36.740200000001586</c:v>
                </c:pt>
                <c:pt idx="950">
                  <c:v>36.740300000001589</c:v>
                </c:pt>
                <c:pt idx="951">
                  <c:v>36.740400000001593</c:v>
                </c:pt>
                <c:pt idx="952">
                  <c:v>36.740500000001596</c:v>
                </c:pt>
                <c:pt idx="953">
                  <c:v>36.740600000001599</c:v>
                </c:pt>
                <c:pt idx="954">
                  <c:v>36.740700000001603</c:v>
                </c:pt>
                <c:pt idx="955">
                  <c:v>36.740800000001606</c:v>
                </c:pt>
                <c:pt idx="956">
                  <c:v>36.740900000001609</c:v>
                </c:pt>
                <c:pt idx="957">
                  <c:v>36.741000000001613</c:v>
                </c:pt>
                <c:pt idx="958">
                  <c:v>36.741100000001616</c:v>
                </c:pt>
                <c:pt idx="959">
                  <c:v>36.741200000001619</c:v>
                </c:pt>
                <c:pt idx="960">
                  <c:v>36.741300000001623</c:v>
                </c:pt>
                <c:pt idx="961">
                  <c:v>36.741400000001626</c:v>
                </c:pt>
                <c:pt idx="962">
                  <c:v>36.741500000001629</c:v>
                </c:pt>
                <c:pt idx="963">
                  <c:v>36.741600000001633</c:v>
                </c:pt>
                <c:pt idx="964">
                  <c:v>36.741700000001636</c:v>
                </c:pt>
                <c:pt idx="965">
                  <c:v>36.741800000001639</c:v>
                </c:pt>
                <c:pt idx="966">
                  <c:v>36.741900000001642</c:v>
                </c:pt>
                <c:pt idx="967">
                  <c:v>36.742000000001646</c:v>
                </c:pt>
                <c:pt idx="968">
                  <c:v>36.742100000001649</c:v>
                </c:pt>
                <c:pt idx="969">
                  <c:v>36.742200000001652</c:v>
                </c:pt>
                <c:pt idx="970">
                  <c:v>36.742300000001656</c:v>
                </c:pt>
                <c:pt idx="971">
                  <c:v>36.742400000001659</c:v>
                </c:pt>
                <c:pt idx="972">
                  <c:v>36.742500000001662</c:v>
                </c:pt>
                <c:pt idx="973">
                  <c:v>36.742600000001666</c:v>
                </c:pt>
                <c:pt idx="974">
                  <c:v>36.742700000001669</c:v>
                </c:pt>
                <c:pt idx="975">
                  <c:v>36.742800000001672</c:v>
                </c:pt>
                <c:pt idx="976">
                  <c:v>36.742900000001676</c:v>
                </c:pt>
                <c:pt idx="977">
                  <c:v>36.743000000001679</c:v>
                </c:pt>
                <c:pt idx="978">
                  <c:v>36.743100000001682</c:v>
                </c:pt>
                <c:pt idx="979">
                  <c:v>36.743200000001686</c:v>
                </c:pt>
                <c:pt idx="980">
                  <c:v>36.743300000001689</c:v>
                </c:pt>
                <c:pt idx="981">
                  <c:v>36.743400000001692</c:v>
                </c:pt>
                <c:pt idx="982">
                  <c:v>36.743500000001696</c:v>
                </c:pt>
                <c:pt idx="983">
                  <c:v>36.743600000001699</c:v>
                </c:pt>
                <c:pt idx="984">
                  <c:v>36.743700000001702</c:v>
                </c:pt>
                <c:pt idx="985">
                  <c:v>36.743800000001706</c:v>
                </c:pt>
                <c:pt idx="986">
                  <c:v>36.743900000001709</c:v>
                </c:pt>
                <c:pt idx="987">
                  <c:v>36.744000000001712</c:v>
                </c:pt>
                <c:pt idx="988">
                  <c:v>36.744100000001716</c:v>
                </c:pt>
                <c:pt idx="989">
                  <c:v>36.744200000001719</c:v>
                </c:pt>
                <c:pt idx="990">
                  <c:v>36.744300000001722</c:v>
                </c:pt>
                <c:pt idx="991">
                  <c:v>36.744400000001725</c:v>
                </c:pt>
                <c:pt idx="992">
                  <c:v>36.744500000001729</c:v>
                </c:pt>
                <c:pt idx="993">
                  <c:v>36.744600000001732</c:v>
                </c:pt>
                <c:pt idx="994">
                  <c:v>36.744700000001735</c:v>
                </c:pt>
                <c:pt idx="995">
                  <c:v>36.744800000001739</c:v>
                </c:pt>
                <c:pt idx="996">
                  <c:v>36.744900000001742</c:v>
                </c:pt>
                <c:pt idx="997">
                  <c:v>36.745000000001745</c:v>
                </c:pt>
                <c:pt idx="998">
                  <c:v>36.745100000001749</c:v>
                </c:pt>
                <c:pt idx="999">
                  <c:v>36.745200000001752</c:v>
                </c:pt>
                <c:pt idx="1000">
                  <c:v>36.745300000001755</c:v>
                </c:pt>
              </c:numCache>
            </c:numRef>
          </c:xVal>
          <c:yVal>
            <c:numRef>
              <c:f>Calculs!$AE$4:$AE$1004</c:f>
              <c:numCache>
                <c:formatCode>0</c:formatCode>
                <c:ptCount val="1001"/>
                <c:pt idx="0">
                  <c:v>0</c:v>
                </c:pt>
                <c:pt idx="1">
                  <c:v>1.014835289857519E-3</c:v>
                </c:pt>
                <c:pt idx="2">
                  <c:v>8.2092717621669274E-3</c:v>
                </c:pt>
                <c:pt idx="3">
                  <c:v>2.826280262367881E-2</c:v>
                </c:pt>
                <c:pt idx="4">
                  <c:v>6.3441336380832408E-2</c:v>
                </c:pt>
                <c:pt idx="5">
                  <c:v>0.11321685656357894</c:v>
                </c:pt>
                <c:pt idx="6">
                  <c:v>0.17722168839409749</c:v>
                </c:pt>
                <c:pt idx="7">
                  <c:v>0.25541074679293435</c:v>
                </c:pt>
                <c:pt idx="8">
                  <c:v>0.34790053114657993</c:v>
                </c:pt>
                <c:pt idx="9">
                  <c:v>0.4548076293392046</c:v>
                </c:pt>
                <c:pt idx="10">
                  <c:v>0.5762487157900873</c:v>
                </c:pt>
                <c:pt idx="11">
                  <c:v>0.71232375635665535</c:v>
                </c:pt>
                <c:pt idx="12">
                  <c:v>0.86309916219158467</c:v>
                </c:pt>
                <c:pt idx="13">
                  <c:v>1.0286245053401553</c:v>
                </c:pt>
                <c:pt idx="14">
                  <c:v>1.208949285564338</c:v>
                </c:pt>
                <c:pt idx="15">
                  <c:v>1.4041229287194446</c:v>
                </c:pt>
                <c:pt idx="16">
                  <c:v>1.6141947851243379</c:v>
                </c:pt>
                <c:pt idx="17">
                  <c:v>1.8392141279253065</c:v>
                </c:pt>
                <c:pt idx="18">
                  <c:v>2.0792301514537108</c:v>
                </c:pt>
                <c:pt idx="19">
                  <c:v>2.3342919695775111</c:v>
                </c:pt>
                <c:pt idx="20">
                  <c:v>2.6044486140467877</c:v>
                </c:pt>
                <c:pt idx="21">
                  <c:v>2.8897422865207414</c:v>
                </c:pt>
                <c:pt idx="22">
                  <c:v>3.1902015903762195</c:v>
                </c:pt>
                <c:pt idx="23">
                  <c:v>3.5058482460334504</c:v>
                </c:pt>
                <c:pt idx="24">
                  <c:v>3.836703826804376</c:v>
                </c:pt>
                <c:pt idx="25">
                  <c:v>4.1827897578456144</c:v>
                </c:pt>
                <c:pt idx="26">
                  <c:v>4.5441125127268629</c:v>
                </c:pt>
                <c:pt idx="27">
                  <c:v>4.9206777754406357</c:v>
                </c:pt>
                <c:pt idx="28">
                  <c:v>5.3125052505906112</c:v>
                </c:pt>
                <c:pt idx="29">
                  <c:v>5.7196145188719516</c:v>
                </c:pt>
                <c:pt idx="30">
                  <c:v>6.1420250454300582</c:v>
                </c:pt>
                <c:pt idx="31">
                  <c:v>6.5797561762952155</c:v>
                </c:pt>
                <c:pt idx="32">
                  <c:v>7.0328271350771372</c:v>
                </c:pt>
                <c:pt idx="33">
                  <c:v>7.5012570198865358</c:v>
                </c:pt>
                <c:pt idx="34">
                  <c:v>7.9850648004560352</c:v>
                </c:pt>
                <c:pt idx="35">
                  <c:v>8.4842693154369879</c:v>
                </c:pt>
                <c:pt idx="36">
                  <c:v>8.998889269852226</c:v>
                </c:pt>
                <c:pt idx="37">
                  <c:v>9.5289432326876877</c:v>
                </c:pt>
                <c:pt idx="38">
                  <c:v>10.074449634608213</c:v>
                </c:pt>
                <c:pt idx="39">
                  <c:v>10.63542676578486</c:v>
                </c:pt>
                <c:pt idx="40">
                  <c:v>11.211892773822738</c:v>
                </c:pt>
                <c:pt idx="41">
                  <c:v>11.803860402368862</c:v>
                </c:pt>
                <c:pt idx="42">
                  <c:v>12.411331715763811</c:v>
                </c:pt>
                <c:pt idx="43">
                  <c:v>13.034303336940619</c:v>
                </c:pt>
                <c:pt idx="44">
                  <c:v>13.672771699736666</c:v>
                </c:pt>
                <c:pt idx="45">
                  <c:v>14.326733047819415</c:v>
                </c:pt>
                <c:pt idx="46">
                  <c:v>14.996183433682525</c:v>
                </c:pt>
                <c:pt idx="47">
                  <c:v>15.681118717707127</c:v>
                </c:pt>
                <c:pt idx="48">
                  <c:v>16.381534567283673</c:v>
                </c:pt>
                <c:pt idx="49">
                  <c:v>17.097426455990202</c:v>
                </c:pt>
                <c:pt idx="50">
                  <c:v>17.828789662823397</c:v>
                </c:pt>
                <c:pt idx="51">
                  <c:v>18.575619271479084</c:v>
                </c:pt>
                <c:pt idx="52">
                  <c:v>19.337910169679283</c:v>
                </c:pt>
                <c:pt idx="53">
                  <c:v>20.115657048543085</c:v>
                </c:pt>
                <c:pt idx="54">
                  <c:v>20.908854401999015</c:v>
                </c:pt>
                <c:pt idx="55">
                  <c:v>21.717496526236687</c:v>
                </c:pt>
                <c:pt idx="56">
                  <c:v>22.541577519195783</c:v>
                </c:pt>
                <c:pt idx="57">
                  <c:v>23.381091280090605</c:v>
                </c:pt>
                <c:pt idx="58">
                  <c:v>24.236031508968555</c:v>
                </c:pt>
                <c:pt idx="59">
                  <c:v>25.106391706301096</c:v>
                </c:pt>
                <c:pt idx="60">
                  <c:v>25.992165172605819</c:v>
                </c:pt>
                <c:pt idx="61">
                  <c:v>26.893345008098414</c:v>
                </c:pt>
                <c:pt idx="62">
                  <c:v>27.809924112373409</c:v>
                </c:pt>
                <c:pt idx="63">
                  <c:v>28.741895184112654</c:v>
                </c:pt>
                <c:pt idx="64">
                  <c:v>29.689250720820588</c:v>
                </c:pt>
                <c:pt idx="65">
                  <c:v>30.651983018585437</c:v>
                </c:pt>
                <c:pt idx="66">
                  <c:v>31.630084171865516</c:v>
                </c:pt>
                <c:pt idx="67">
                  <c:v>32.62354607329992</c:v>
                </c:pt>
                <c:pt idx="68">
                  <c:v>33.632360413542884</c:v>
                </c:pt>
                <c:pt idx="69">
                  <c:v>34.656518681121227</c:v>
                </c:pt>
                <c:pt idx="70">
                  <c:v>35.69601216231424</c:v>
                </c:pt>
                <c:pt idx="71">
                  <c:v>36.75083194105548</c:v>
                </c:pt>
                <c:pt idx="72">
                  <c:v>37.82096889885603</c:v>
                </c:pt>
                <c:pt idx="73">
                  <c:v>38.906413714748616</c:v>
                </c:pt>
                <c:pt idx="74">
                  <c:v>40.00715686525227</c:v>
                </c:pt>
                <c:pt idx="75">
                  <c:v>41.12318862435707</c:v>
                </c:pt>
                <c:pt idx="76">
                  <c:v>42.254499063528542</c:v>
                </c:pt>
                <c:pt idx="77">
                  <c:v>43.401078051731403</c:v>
                </c:pt>
                <c:pt idx="78">
                  <c:v>44.562915255472312</c:v>
                </c:pt>
                <c:pt idx="79">
                  <c:v>45.740000138861248</c:v>
                </c:pt>
                <c:pt idx="80">
                  <c:v>46.932321963691273</c:v>
                </c:pt>
                <c:pt idx="81">
                  <c:v>48.139864422620498</c:v>
                </c:pt>
                <c:pt idx="82">
                  <c:v>49.362600260516437</c:v>
                </c:pt>
                <c:pt idx="83">
                  <c:v>50.600496626797494</c:v>
                </c:pt>
                <c:pt idx="84">
                  <c:v>51.853520440092936</c:v>
                </c:pt>
                <c:pt idx="85">
                  <c:v>53.121638389303747</c:v>
                </c:pt>
                <c:pt idx="86">
                  <c:v>54.40481693468324</c:v>
                </c:pt>
                <c:pt idx="87">
                  <c:v>55.703022308937122</c:v>
                </c:pt>
                <c:pt idx="88">
                  <c:v>57.016220518342564</c:v>
                </c:pt>
                <c:pt idx="89">
                  <c:v>58.344377343885952</c:v>
                </c:pt>
                <c:pt idx="90">
                  <c:v>59.687458342418907</c:v>
                </c:pt>
                <c:pt idx="91">
                  <c:v>61.045426473207243</c:v>
                </c:pt>
                <c:pt idx="92">
                  <c:v>62.41823971967262</c:v>
                </c:pt>
                <c:pt idx="93">
                  <c:v>63.805853459542291</c:v>
                </c:pt>
                <c:pt idx="94">
                  <c:v>65.208222840061339</c:v>
                </c:pt>
                <c:pt idx="95">
                  <c:v>66.625302779676446</c:v>
                </c:pt>
                <c:pt idx="96">
                  <c:v>68.05704796973626</c:v>
                </c:pt>
                <c:pt idx="97">
                  <c:v>69.503412876207904</c:v>
                </c:pt>
                <c:pt idx="98">
                  <c:v>70.964351741409232</c:v>
                </c:pt>
                <c:pt idx="99">
                  <c:v>72.439818585756555</c:v>
                </c:pt>
                <c:pt idx="100">
                  <c:v>73.929767209527313</c:v>
                </c:pt>
                <c:pt idx="101">
                  <c:v>75.434150814277572</c:v>
                </c:pt>
                <c:pt idx="102">
                  <c:v>76.952921623574568</c:v>
                </c:pt>
                <c:pt idx="103">
                  <c:v>78.486031264390817</c:v>
                </c:pt>
                <c:pt idx="104">
                  <c:v>80.033431149247576</c:v>
                </c:pt>
                <c:pt idx="105">
                  <c:v>81.595072478120144</c:v>
                </c:pt>
                <c:pt idx="106">
                  <c:v>83.170906240356075</c:v>
                </c:pt>
                <c:pt idx="107">
                  <c:v>84.760883216605734</c:v>
                </c:pt>
                <c:pt idx="108">
                  <c:v>86.364953980764994</c:v>
                </c:pt>
                <c:pt idx="109">
                  <c:v>87.983068901929698</c:v>
                </c:pt>
                <c:pt idx="110">
                  <c:v>89.615178146361458</c:v>
                </c:pt>
                <c:pt idx="111">
                  <c:v>91.261236064969438</c:v>
                </c:pt>
                <c:pt idx="112">
                  <c:v>92.921205588025856</c:v>
                </c:pt>
                <c:pt idx="113">
                  <c:v>94.595053848995107</c:v>
                </c:pt>
                <c:pt idx="114">
                  <c:v>96.282747800752887</c:v>
                </c:pt>
                <c:pt idx="115">
                  <c:v>97.984254216810271</c:v>
                </c:pt>
                <c:pt idx="116">
                  <c:v>99.699539692548342</c:v>
                </c:pt>
                <c:pt idx="117">
                  <c:v>101.42857064646307</c:v>
                </c:pt>
                <c:pt idx="118">
                  <c:v>103.17131332142036</c:v>
                </c:pt>
                <c:pt idx="119">
                  <c:v>104.92773378592094</c:v>
                </c:pt>
                <c:pt idx="120">
                  <c:v>106.69779793537506</c:v>
                </c:pt>
                <c:pt idx="121">
                  <c:v>108.4814642092374</c:v>
                </c:pt>
                <c:pt idx="122">
                  <c:v>110.27867629734055</c:v>
                </c:pt>
                <c:pt idx="123">
                  <c:v>112.08937041547584</c:v>
                </c:pt>
                <c:pt idx="124">
                  <c:v>113.91348259247557</c:v>
                </c:pt>
                <c:pt idx="125">
                  <c:v>115.75094867289528</c:v>
                </c:pt>
                <c:pt idx="126">
                  <c:v>117.60170431970077</c:v>
                </c:pt>
                <c:pt idx="127">
                  <c:v>119.46568501695968</c:v>
                </c:pt>
                <c:pt idx="128">
                  <c:v>121.34282607253705</c:v>
                </c:pt>
                <c:pt idx="129">
                  <c:v>123.2330626207945</c:v>
                </c:pt>
                <c:pt idx="130">
                  <c:v>125.1363296252927</c:v>
                </c:pt>
                <c:pt idx="131">
                  <c:v>127.05255997182877</c:v>
                </c:pt>
                <c:pt idx="132">
                  <c:v>128.98168255907402</c:v>
                </c:pt>
                <c:pt idx="133">
                  <c:v>130.92362420915705</c:v>
                </c:pt>
                <c:pt idx="134">
                  <c:v>132.87831158084617</c:v>
                </c:pt>
                <c:pt idx="135">
                  <c:v>134.84567117265215</c:v>
                </c:pt>
                <c:pt idx="136">
                  <c:v>136.82562932593001</c:v>
                </c:pt>
                <c:pt idx="137">
                  <c:v>138.81811222797924</c:v>
                </c:pt>
                <c:pt idx="138">
                  <c:v>140.82304591514207</c:v>
                </c:pt>
                <c:pt idx="139">
                  <c:v>142.84035627589932</c:v>
                </c:pt>
                <c:pt idx="140">
                  <c:v>144.86996905396333</c:v>
                </c:pt>
                <c:pt idx="141">
                  <c:v>146.91178698708333</c:v>
                </c:pt>
                <c:pt idx="142">
                  <c:v>148.96566692288272</c:v>
                </c:pt>
                <c:pt idx="143">
                  <c:v>151.03144267539574</c:v>
                </c:pt>
                <c:pt idx="144">
                  <c:v>153.10894790750638</c:v>
                </c:pt>
                <c:pt idx="145">
                  <c:v>155.19801613987988</c:v>
                </c:pt>
                <c:pt idx="146">
                  <c:v>157.2984807598383</c:v>
                </c:pt>
                <c:pt idx="147">
                  <c:v>159.41017503017829</c:v>
                </c:pt>
                <c:pt idx="148">
                  <c:v>161.5329320979302</c:v>
                </c:pt>
                <c:pt idx="149">
                  <c:v>163.66658500305633</c:v>
                </c:pt>
                <c:pt idx="150">
                  <c:v>165.81096668708767</c:v>
                </c:pt>
                <c:pt idx="151">
                  <c:v>167.96591000169732</c:v>
                </c:pt>
                <c:pt idx="152">
                  <c:v>170.13124771720939</c:v>
                </c:pt>
                <c:pt idx="153">
                  <c:v>172.30681253104228</c:v>
                </c:pt>
                <c:pt idx="154">
                  <c:v>174.49243707608477</c:v>
                </c:pt>
                <c:pt idx="155">
                  <c:v>176.68795392900398</c:v>
                </c:pt>
                <c:pt idx="156">
                  <c:v>178.89308714213681</c:v>
                </c:pt>
                <c:pt idx="157">
                  <c:v>181.10734374515161</c:v>
                </c:pt>
                <c:pt idx="158">
                  <c:v>183.33012231697492</c:v>
                </c:pt>
                <c:pt idx="159">
                  <c:v>185.56082161710287</c:v>
                </c:pt>
                <c:pt idx="160">
                  <c:v>187.79884065168349</c:v>
                </c:pt>
                <c:pt idx="161">
                  <c:v>190.04344076972521</c:v>
                </c:pt>
                <c:pt idx="162">
                  <c:v>192.29360783695529</c:v>
                </c:pt>
                <c:pt idx="163">
                  <c:v>194.54820373809588</c:v>
                </c:pt>
                <c:pt idx="164">
                  <c:v>196.80611785876218</c:v>
                </c:pt>
                <c:pt idx="165">
                  <c:v>199.06638591248998</c:v>
                </c:pt>
                <c:pt idx="166">
                  <c:v>201.32830857749934</c:v>
                </c:pt>
                <c:pt idx="167">
                  <c:v>203.59121916885027</c:v>
                </c:pt>
                <c:pt idx="168">
                  <c:v>205.85432411080905</c:v>
                </c:pt>
                <c:pt idx="169">
                  <c:v>208.11659647290509</c:v>
                </c:pt>
                <c:pt idx="170">
                  <c:v>210.37674232348601</c:v>
                </c:pt>
                <c:pt idx="171">
                  <c:v>212.63385665462681</c:v>
                </c:pt>
                <c:pt idx="172">
                  <c:v>214.88771531735478</c:v>
                </c:pt>
                <c:pt idx="173">
                  <c:v>217.13832534242837</c:v>
                </c:pt>
                <c:pt idx="174">
                  <c:v>219.38569373336375</c:v>
                </c:pt>
                <c:pt idx="175">
                  <c:v>221.62982746657516</c:v>
                </c:pt>
                <c:pt idx="176">
                  <c:v>223.8707334915145</c:v>
                </c:pt>
                <c:pt idx="177">
                  <c:v>226.10841873080986</c:v>
                </c:pt>
                <c:pt idx="178">
                  <c:v>228.34289008040329</c:v>
                </c:pt>
                <c:pt idx="179">
                  <c:v>230.57415440968754</c:v>
                </c:pt>
                <c:pt idx="180">
                  <c:v>232.80221856164206</c:v>
                </c:pt>
                <c:pt idx="181">
                  <c:v>235.02708935296801</c:v>
                </c:pt>
                <c:pt idx="182">
                  <c:v>237.24877357422241</c:v>
                </c:pt>
                <c:pt idx="183">
                  <c:v>239.46727798995155</c:v>
                </c:pt>
                <c:pt idx="184">
                  <c:v>241.68260933882334</c:v>
                </c:pt>
                <c:pt idx="185">
                  <c:v>243.89477433375896</c:v>
                </c:pt>
                <c:pt idx="186">
                  <c:v>246.10377966206366</c:v>
                </c:pt>
                <c:pt idx="187">
                  <c:v>248.30963198555665</c:v>
                </c:pt>
                <c:pt idx="188">
                  <c:v>250.51233794070015</c:v>
                </c:pt>
                <c:pt idx="189">
                  <c:v>252.7119041387277</c:v>
                </c:pt>
                <c:pt idx="190">
                  <c:v>254.90833716577166</c:v>
                </c:pt>
                <c:pt idx="191">
                  <c:v>257.10164358298971</c:v>
                </c:pt>
                <c:pt idx="192">
                  <c:v>259.29182992669087</c:v>
                </c:pt>
                <c:pt idx="193">
                  <c:v>261.47890270846034</c:v>
                </c:pt>
                <c:pt idx="194">
                  <c:v>263.66286841528387</c:v>
                </c:pt>
                <c:pt idx="195">
                  <c:v>265.8437335096711</c:v>
                </c:pt>
                <c:pt idx="196">
                  <c:v>268.02150442977836</c:v>
                </c:pt>
                <c:pt idx="197">
                  <c:v>270.19618758953044</c:v>
                </c:pt>
                <c:pt idx="198">
                  <c:v>272.3677893787418</c:v>
                </c:pt>
                <c:pt idx="199">
                  <c:v>274.5363161632369</c:v>
                </c:pt>
                <c:pt idx="200">
                  <c:v>276.7017742849697</c:v>
                </c:pt>
                <c:pt idx="201">
                  <c:v>298.18806844452359</c:v>
                </c:pt>
                <c:pt idx="202">
                  <c:v>319.37155913113872</c:v>
                </c:pt>
                <c:pt idx="203">
                  <c:v>340.25836315811733</c:v>
                </c:pt>
                <c:pt idx="204">
                  <c:v>360.85437383944549</c:v>
                </c:pt>
                <c:pt idx="205">
                  <c:v>381.1652717252208</c:v>
                </c:pt>
                <c:pt idx="206">
                  <c:v>401.19653469204792</c:v>
                </c:pt>
                <c:pt idx="207">
                  <c:v>420.95344743459793</c:v>
                </c:pt>
                <c:pt idx="208">
                  <c:v>440.44111040069697</c:v>
                </c:pt>
                <c:pt idx="209">
                  <c:v>459.66444820883692</c:v>
                </c:pt>
                <c:pt idx="210">
                  <c:v>478.62821758385189</c:v>
                </c:pt>
                <c:pt idx="211">
                  <c:v>497.33701484364508</c:v>
                </c:pt>
                <c:pt idx="212">
                  <c:v>515.79528296724777</c:v>
                </c:pt>
                <c:pt idx="213">
                  <c:v>534.00731827212758</c:v>
                </c:pt>
                <c:pt idx="214">
                  <c:v>551.97727672650228</c:v>
                </c:pt>
                <c:pt idx="215">
                  <c:v>569.70917992045008</c:v>
                </c:pt>
                <c:pt idx="216">
                  <c:v>587.2069207178065</c:v>
                </c:pt>
                <c:pt idx="217">
                  <c:v>604.47426860919734</c:v>
                </c:pt>
                <c:pt idx="218">
                  <c:v>621.51487478504953</c:v>
                </c:pt>
                <c:pt idx="219">
                  <c:v>638.33227694604579</c:v>
                </c:pt>
                <c:pt idx="220">
                  <c:v>654.92990386722522</c:v>
                </c:pt>
                <c:pt idx="221">
                  <c:v>671.31107973076951</c:v>
                </c:pt>
                <c:pt idx="222">
                  <c:v>687.47902824145251</c:v>
                </c:pt>
                <c:pt idx="223">
                  <c:v>703.43687653774646</c:v>
                </c:pt>
                <c:pt idx="224">
                  <c:v>719.1876589106804</c:v>
                </c:pt>
                <c:pt idx="225">
                  <c:v>734.73432034171162</c:v>
                </c:pt>
                <c:pt idx="226">
                  <c:v>750.07971987010762</c:v>
                </c:pt>
                <c:pt idx="227">
                  <c:v>765.22663379962705</c:v>
                </c:pt>
                <c:pt idx="228">
                  <c:v>780.17775875363714</c:v>
                </c:pt>
                <c:pt idx="229">
                  <c:v>794.93571458719885</c:v>
                </c:pt>
                <c:pt idx="230">
                  <c:v>809.50304716409653</c:v>
                </c:pt>
                <c:pt idx="231">
                  <c:v>823.8822310062684</c:v>
                </c:pt>
                <c:pt idx="232">
                  <c:v>838.07567182261812</c:v>
                </c:pt>
                <c:pt idx="233">
                  <c:v>852.08570892374257</c:v>
                </c:pt>
                <c:pt idx="234">
                  <c:v>865.9146175286993</c:v>
                </c:pt>
                <c:pt idx="235">
                  <c:v>879.5646109695557</c:v>
                </c:pt>
                <c:pt idx="236">
                  <c:v>893.03784279910587</c:v>
                </c:pt>
                <c:pt idx="237">
                  <c:v>906.3364088068106</c:v>
                </c:pt>
                <c:pt idx="238">
                  <c:v>919.46234894771032</c:v>
                </c:pt>
                <c:pt idx="239">
                  <c:v>932.41764918877345</c:v>
                </c:pt>
                <c:pt idx="240">
                  <c:v>945.20424327687579</c:v>
                </c:pt>
                <c:pt idx="241">
                  <c:v>957.82401443236006</c:v>
                </c:pt>
                <c:pt idx="242">
                  <c:v>970.27879697189155</c:v>
                </c:pt>
                <c:pt idx="243">
                  <c:v>982.57037786410933</c:v>
                </c:pt>
                <c:pt idx="244">
                  <c:v>994.70049822137241</c:v>
                </c:pt>
                <c:pt idx="245">
                  <c:v>1006.6708547307095</c:v>
                </c:pt>
                <c:pt idx="246">
                  <c:v>1018.483101026906</c:v>
                </c:pt>
                <c:pt idx="247">
                  <c:v>1030.1388490104957</c:v>
                </c:pt>
                <c:pt idx="248">
                  <c:v>1041.6396701132724</c:v>
                </c:pt>
                <c:pt idx="249">
                  <c:v>1052.987096513787</c:v>
                </c:pt>
                <c:pt idx="250">
                  <c:v>1064.1826223051685</c:v>
                </c:pt>
                <c:pt idx="251">
                  <c:v>1075.2277046174697</c:v>
                </c:pt>
                <c:pt idx="252">
                  <c:v>1086.1237646966292</c:v>
                </c:pt>
                <c:pt idx="253">
                  <c:v>1096.8721889420215</c:v>
                </c:pt>
                <c:pt idx="254">
                  <c:v>1107.4743299044674</c:v>
                </c:pt>
                <c:pt idx="255">
                  <c:v>1117.9315072464747</c:v>
                </c:pt>
                <c:pt idx="256">
                  <c:v>1128.2450086663891</c:v>
                </c:pt>
                <c:pt idx="257">
                  <c:v>1138.4160907880448</c:v>
                </c:pt>
                <c:pt idx="258">
                  <c:v>1148.4459800174252</c:v>
                </c:pt>
                <c:pt idx="259">
                  <c:v>1158.3358733677655</c:v>
                </c:pt>
                <c:pt idx="260">
                  <c:v>1168.0869392544566</c:v>
                </c:pt>
                <c:pt idx="261">
                  <c:v>1177.7003182610395</c:v>
                </c:pt>
                <c:pt idx="262">
                  <c:v>1187.1771238775182</c:v>
                </c:pt>
                <c:pt idx="263">
                  <c:v>1196.5184432121555</c:v>
                </c:pt>
                <c:pt idx="264">
                  <c:v>1205.7253376778583</c:v>
                </c:pt>
                <c:pt idx="265">
                  <c:v>1214.7988436542075</c:v>
                </c:pt>
                <c:pt idx="266">
                  <c:v>1223.7399731261344</c:v>
                </c:pt>
                <c:pt idx="267">
                  <c:v>1232.5497143001958</c:v>
                </c:pt>
                <c:pt idx="268">
                  <c:v>1241.2290321993603</c:v>
                </c:pt>
                <c:pt idx="269">
                  <c:v>1249.7788692371664</c:v>
                </c:pt>
                <c:pt idx="270">
                  <c:v>1258.2001457720798</c:v>
                </c:pt>
                <c:pt idx="271">
                  <c:v>1266.4937606428352</c:v>
                </c:pt>
                <c:pt idx="272">
                  <c:v>1274.6605916855115</c:v>
                </c:pt>
                <c:pt idx="273">
                  <c:v>1282.701496233057</c:v>
                </c:pt>
                <c:pt idx="274">
                  <c:v>1290.6173115979454</c:v>
                </c:pt>
                <c:pt idx="275">
                  <c:v>1298.4088555386154</c:v>
                </c:pt>
                <c:pt idx="276">
                  <c:v>1306.0769267103153</c:v>
                </c:pt>
                <c:pt idx="277">
                  <c:v>1313.622305100949</c:v>
                </c:pt>
                <c:pt idx="278">
                  <c:v>1321.0457524524904</c:v>
                </c:pt>
                <c:pt idx="279">
                  <c:v>1328.348012668511</c:v>
                </c:pt>
                <c:pt idx="280">
                  <c:v>1335.5298122083414</c:v>
                </c:pt>
                <c:pt idx="281">
                  <c:v>1342.5918604683645</c:v>
                </c:pt>
                <c:pt idx="282">
                  <c:v>1349.5348501509188</c:v>
                </c:pt>
                <c:pt idx="283">
                  <c:v>1356.3594576212674</c:v>
                </c:pt>
                <c:pt idx="284">
                  <c:v>1363.066343253075</c:v>
                </c:pt>
                <c:pt idx="285">
                  <c:v>1369.6561517628111</c:v>
                </c:pt>
                <c:pt idx="286">
                  <c:v>1376.129512533485</c:v>
                </c:pt>
                <c:pt idx="287">
                  <c:v>1382.4870399281037</c:v>
                </c:pt>
                <c:pt idx="288">
                  <c:v>1388.7293335932236</c:v>
                </c:pt>
                <c:pt idx="289">
                  <c:v>1394.8569787529584</c:v>
                </c:pt>
                <c:pt idx="290">
                  <c:v>1400.8705464937912</c:v>
                </c:pt>
                <c:pt idx="291">
                  <c:v>1406.7705940405247</c:v>
                </c:pt>
                <c:pt idx="292">
                  <c:v>1412.5576650236951</c:v>
                </c:pt>
                <c:pt idx="293">
                  <c:v>1418.2322897387626</c:v>
                </c:pt>
                <c:pt idx="294">
                  <c:v>1423.7949853973826</c:v>
                </c:pt>
                <c:pt idx="295">
                  <c:v>1429.2462563710544</c:v>
                </c:pt>
                <c:pt idx="296">
                  <c:v>1434.5865944274333</c:v>
                </c:pt>
                <c:pt idx="297">
                  <c:v>1439.816478959588</c:v>
                </c:pt>
                <c:pt idx="298">
                  <c:v>1444.9363772084766</c:v>
                </c:pt>
                <c:pt idx="299">
                  <c:v>1449.9467444789107</c:v>
                </c:pt>
                <c:pt idx="300">
                  <c:v>1454.8480243492709</c:v>
                </c:pt>
                <c:pt idx="301">
                  <c:v>1459.6406488752384</c:v>
                </c:pt>
                <c:pt idx="302">
                  <c:v>1464.3250387877956</c:v>
                </c:pt>
                <c:pt idx="303">
                  <c:v>1468.9016036857581</c:v>
                </c:pt>
                <c:pt idx="304">
                  <c:v>1473.3707422230914</c:v>
                </c:pt>
                <c:pt idx="305">
                  <c:v>1477.7328422912717</c:v>
                </c:pt>
                <c:pt idx="306">
                  <c:v>1481.988281196951</c:v>
                </c:pt>
                <c:pt idx="307">
                  <c:v>1486.1374258351873</c:v>
                </c:pt>
                <c:pt idx="308">
                  <c:v>1490.1806328585112</c:v>
                </c:pt>
                <c:pt idx="309">
                  <c:v>1494.1182488421023</c:v>
                </c:pt>
                <c:pt idx="310">
                  <c:v>1497.9506104453583</c:v>
                </c:pt>
                <c:pt idx="311">
                  <c:v>1501.6780445701515</c:v>
                </c:pt>
                <c:pt idx="312">
                  <c:v>1505.3008685160778</c:v>
                </c:pt>
                <c:pt idx="313">
                  <c:v>1508.8193901330187</c:v>
                </c:pt>
                <c:pt idx="314">
                  <c:v>1512.2339079713545</c:v>
                </c:pt>
                <c:pt idx="315">
                  <c:v>1515.5447114301844</c:v>
                </c:pt>
                <c:pt idx="316">
                  <c:v>1518.7520809039358</c:v>
                </c:pt>
                <c:pt idx="317">
                  <c:v>1521.856287927767</c:v>
                </c:pt>
                <c:pt idx="318">
                  <c:v>1524.8575953221971</c:v>
                </c:pt>
                <c:pt idx="319">
                  <c:v>1527.7562573374339</c:v>
                </c:pt>
                <c:pt idx="320">
                  <c:v>1530.5525197978991</c:v>
                </c:pt>
                <c:pt idx="321">
                  <c:v>1533.2466202474986</c:v>
                </c:pt>
                <c:pt idx="322">
                  <c:v>1535.8387880962241</c:v>
                </c:pt>
                <c:pt idx="323">
                  <c:v>1538.3292447687206</c:v>
                </c:pt>
                <c:pt idx="324">
                  <c:v>1540.7182038555113</c:v>
                </c:pt>
                <c:pt idx="325">
                  <c:v>1543.0058712676168</c:v>
                </c:pt>
                <c:pt idx="326">
                  <c:v>1545.1924453953729</c:v>
                </c:pt>
                <c:pt idx="327">
                  <c:v>1547.278117272303</c:v>
                </c:pt>
                <c:pt idx="328">
                  <c:v>1549.2630707449644</c:v>
                </c:pt>
                <c:pt idx="329">
                  <c:v>1551.1474826497463</c:v>
                </c:pt>
                <c:pt idx="330">
                  <c:v>1552.931522997648</c:v>
                </c:pt>
                <c:pt idx="331">
                  <c:v>1554.6153551681195</c:v>
                </c:pt>
                <c:pt idx="332">
                  <c:v>1556.1991361130772</c:v>
                </c:pt>
                <c:pt idx="333">
                  <c:v>1557.6830165722383</c:v>
                </c:pt>
                <c:pt idx="334">
                  <c:v>1559.0671413009147</c:v>
                </c:pt>
                <c:pt idx="335">
                  <c:v>1560.3516493113871</c:v>
                </c:pt>
                <c:pt idx="336">
                  <c:v>1561.5366741289292</c:v>
                </c:pt>
                <c:pt idx="337">
                  <c:v>1562.6223440634592</c:v>
                </c:pt>
                <c:pt idx="338">
                  <c:v>1563.6087824976619</c:v>
                </c:pt>
                <c:pt idx="339">
                  <c:v>1564.4961081922449</c:v>
                </c:pt>
                <c:pt idx="340">
                  <c:v>1565.2844356087567</c:v>
                </c:pt>
                <c:pt idx="341">
                  <c:v>1565.9738752501087</c:v>
                </c:pt>
                <c:pt idx="342">
                  <c:v>1566.564534018609</c:v>
                </c:pt>
                <c:pt idx="343">
                  <c:v>1567.0565155909271</c:v>
                </c:pt>
                <c:pt idx="344">
                  <c:v>1567.4499208089997</c:v>
                </c:pt>
                <c:pt idx="345">
                  <c:v>1567.7448480854459</c:v>
                </c:pt>
                <c:pt idx="346">
                  <c:v>1567.9413938216237</c:v>
                </c:pt>
                <c:pt idx="347">
                  <c:v>1568.0396528360352</c:v>
                </c:pt>
                <c:pt idx="348">
                  <c:v>1568.0397188004185</c:v>
                </c:pt>
                <c:pt idx="349">
                  <c:v>1567.9416846805457</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numCache>
            </c:numRef>
          </c:yVal>
          <c:smooth val="0"/>
          <c:extLst>
            <c:ext xmlns:c16="http://schemas.microsoft.com/office/drawing/2014/chart" uri="{C3380CC4-5D6E-409C-BE32-E72D297353CC}">
              <c16:uniqueId val="{00000007-4C7F-469F-ADED-1B0B28F452E1}"/>
            </c:ext>
          </c:extLst>
        </c:ser>
        <c:ser>
          <c:idx val="6"/>
          <c:order val="6"/>
          <c:tx>
            <c:strRef>
              <c:f>Trajecto!$B$107</c:f>
              <c:strCache>
                <c:ptCount val="1"/>
                <c:pt idx="0">
                  <c:v>Phase ascendante</c:v>
                </c:pt>
              </c:strCache>
            </c:strRef>
          </c:tx>
          <c:spPr>
            <a:ln w="28575">
              <a:noFill/>
            </a:ln>
          </c:spPr>
          <c:marker>
            <c:symbol val="none"/>
          </c:marker>
          <c:dLbls>
            <c:spPr>
              <a:noFill/>
              <a:ln w="25400">
                <a:noFill/>
              </a:ln>
            </c:spPr>
            <c:txPr>
              <a:bodyPr/>
              <a:lstStyle/>
              <a:p>
                <a:pPr>
                  <a:defRPr sz="700" b="1" i="0" u="none" strike="noStrike" baseline="0">
                    <a:solidFill>
                      <a:srgbClr val="000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Trajecto!$B$158</c:f>
              <c:numCache>
                <c:formatCode>General</c:formatCode>
                <c:ptCount val="1"/>
                <c:pt idx="0">
                  <c:v>4.25</c:v>
                </c:pt>
              </c:numCache>
            </c:numRef>
          </c:xVal>
          <c:yVal>
            <c:numRef>
              <c:f>Trajecto!$C$158</c:f>
              <c:numCache>
                <c:formatCode>0</c:formatCode>
                <c:ptCount val="1"/>
                <c:pt idx="0">
                  <c:v>783.8728215892595</c:v>
                </c:pt>
              </c:numCache>
            </c:numRef>
          </c:yVal>
          <c:smooth val="0"/>
          <c:extLst>
            <c:ext xmlns:c16="http://schemas.microsoft.com/office/drawing/2014/chart" uri="{C3380CC4-5D6E-409C-BE32-E72D297353CC}">
              <c16:uniqueId val="{00000008-4C7F-469F-ADED-1B0B28F452E1}"/>
            </c:ext>
          </c:extLst>
        </c:ser>
        <c:ser>
          <c:idx val="7"/>
          <c:order val="7"/>
          <c:tx>
            <c:strRef>
              <c:f>Trajecto!$B$108</c:f>
              <c:strCache>
                <c:ptCount val="1"/>
                <c:pt idx="0">
                  <c:v>Descente balistique</c:v>
                </c:pt>
              </c:strCache>
            </c:strRef>
          </c:tx>
          <c:spPr>
            <a:ln w="28575">
              <a:noFill/>
            </a:ln>
          </c:spPr>
          <c:marker>
            <c:symbol val="none"/>
          </c:marker>
          <c:dLbls>
            <c:spPr>
              <a:noFill/>
              <a:ln w="25400">
                <a:noFill/>
              </a:ln>
            </c:spPr>
            <c:txPr>
              <a:bodyPr/>
              <a:lstStyle/>
              <a:p>
                <a:pPr>
                  <a:defRPr sz="700" b="1" i="0" u="none" strike="noStrike" baseline="0">
                    <a:solidFill>
                      <a:srgbClr val="808080"/>
                    </a:solidFill>
                    <a:latin typeface="Arial"/>
                    <a:ea typeface="Arial"/>
                    <a:cs typeface="Arial"/>
                  </a:defRPr>
                </a:pPr>
                <a:endParaRPr lang="fr-FR"/>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Trajecto!$B$159</c:f>
              <c:numCache>
                <c:formatCode>General</c:formatCode>
                <c:ptCount val="1"/>
                <c:pt idx="0">
                  <c:v>26.700000000000109</c:v>
                </c:pt>
              </c:numCache>
            </c:numRef>
          </c:xVal>
          <c:yVal>
            <c:numRef>
              <c:f>Trajecto!$C$159</c:f>
              <c:numCache>
                <c:formatCode>0</c:formatCode>
                <c:ptCount val="1"/>
                <c:pt idx="0">
                  <c:v>784.0198264180176</c:v>
                </c:pt>
              </c:numCache>
            </c:numRef>
          </c:yVal>
          <c:smooth val="0"/>
          <c:extLst>
            <c:ext xmlns:c16="http://schemas.microsoft.com/office/drawing/2014/chart" uri="{C3380CC4-5D6E-409C-BE32-E72D297353CC}">
              <c16:uniqueId val="{00000009-4C7F-469F-ADED-1B0B28F452E1}"/>
            </c:ext>
          </c:extLst>
        </c:ser>
        <c:dLbls>
          <c:showLegendKey val="0"/>
          <c:showVal val="0"/>
          <c:showCatName val="0"/>
          <c:showSerName val="0"/>
          <c:showPercent val="0"/>
          <c:showBubbleSize val="0"/>
        </c:dLbls>
        <c:axId val="149275008"/>
        <c:axId val="149276928"/>
      </c:scatterChart>
      <c:valAx>
        <c:axId val="149275008"/>
        <c:scaling>
          <c:orientation val="minMax"/>
          <c:min val="0"/>
        </c:scaling>
        <c:delete val="0"/>
        <c:axPos val="b"/>
        <c:majorGridlines>
          <c:spPr>
            <a:ln w="3175">
              <a:solidFill>
                <a:srgbClr val="000000"/>
              </a:solidFill>
              <a:prstDash val="sysDash"/>
            </a:ln>
          </c:spPr>
        </c:majorGridlines>
        <c:title>
          <c:tx>
            <c:strRef>
              <c:f>Trajecto!$B$113</c:f>
              <c:strCache>
                <c:ptCount val="1"/>
                <c:pt idx="0">
                  <c:v>Temps [s]</c:v>
                </c:pt>
              </c:strCache>
            </c:strRef>
          </c:tx>
          <c:layout>
            <c:manualLayout>
              <c:xMode val="edge"/>
              <c:yMode val="edge"/>
              <c:x val="0.60555551848391842"/>
              <c:y val="0.8513930569999506"/>
            </c:manualLayout>
          </c:layout>
          <c:overlay val="0"/>
          <c:spPr>
            <a:solidFill>
              <a:srgbClr val="FFFFFF"/>
            </a:solidFill>
            <a:ln w="25400">
              <a:noFill/>
            </a:ln>
          </c:spPr>
          <c:txPr>
            <a:bodyPr/>
            <a:lstStyle/>
            <a:p>
              <a:pPr>
                <a:defRPr sz="800" b="1" i="0" u="none" strike="noStrike" baseline="0">
                  <a:solidFill>
                    <a:srgbClr val="0000FF"/>
                  </a:solidFill>
                  <a:latin typeface="Arial"/>
                  <a:ea typeface="Arial"/>
                  <a:cs typeface="Arial"/>
                </a:defRPr>
              </a:pPr>
              <a:endParaRPr lang="fr-FR"/>
            </a:p>
          </c:tx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9276928"/>
        <c:crosses val="autoZero"/>
        <c:crossBetween val="midCat"/>
      </c:valAx>
      <c:valAx>
        <c:axId val="149276928"/>
        <c:scaling>
          <c:orientation val="minMax"/>
          <c:min val="0"/>
        </c:scaling>
        <c:delete val="0"/>
        <c:axPos val="l"/>
        <c:majorGridlines>
          <c:spPr>
            <a:ln w="3175">
              <a:solidFill>
                <a:srgbClr val="000000"/>
              </a:solidFill>
              <a:prstDash val="sysDash"/>
            </a:ln>
          </c:spPr>
        </c:majorGridlines>
        <c:title>
          <c:tx>
            <c:rich>
              <a:bodyPr/>
              <a:lstStyle/>
              <a:p>
                <a:pPr>
                  <a:defRPr sz="800" b="1" i="0" u="none" strike="noStrike" baseline="0">
                    <a:solidFill>
                      <a:srgbClr val="0000FF"/>
                    </a:solidFill>
                    <a:latin typeface="Arial"/>
                    <a:ea typeface="Arial"/>
                    <a:cs typeface="Arial"/>
                  </a:defRPr>
                </a:pPr>
                <a:r>
                  <a:rPr lang="fr-FR"/>
                  <a:t>Altitude z [m]</a:t>
                </a:r>
              </a:p>
            </c:rich>
          </c:tx>
          <c:layout>
            <c:manualLayout>
              <c:xMode val="edge"/>
              <c:yMode val="edge"/>
              <c:x val="9.0000333644735087E-2"/>
              <c:y val="6.8111391736410315E-2"/>
            </c:manualLayout>
          </c:layout>
          <c:overlay val="0"/>
          <c:spPr>
            <a:noFill/>
            <a:ln w="25400">
              <a:noFill/>
            </a:ln>
          </c:spPr>
        </c:title>
        <c:numFmt formatCode="General" sourceLinked="0"/>
        <c:majorTickMark val="out"/>
        <c:minorTickMark val="none"/>
        <c:tickLblPos val="nextTo"/>
        <c:spPr>
          <a:ln w="3175">
            <a:solidFill>
              <a:srgbClr val="000000"/>
            </a:solidFill>
            <a:prstDash val="solid"/>
          </a:ln>
        </c:spPr>
        <c:txPr>
          <a:bodyPr rot="0" vert="horz"/>
          <a:lstStyle/>
          <a:p>
            <a:pPr>
              <a:defRPr sz="600" b="0" i="0" u="none" strike="noStrike" baseline="0">
                <a:solidFill>
                  <a:srgbClr val="000000"/>
                </a:solidFill>
                <a:latin typeface="Arial"/>
                <a:ea typeface="Arial"/>
                <a:cs typeface="Arial"/>
              </a:defRPr>
            </a:pPr>
            <a:endParaRPr lang="fr-FR"/>
          </a:p>
        </c:txPr>
        <c:crossAx val="149275008"/>
        <c:crosses val="autoZero"/>
        <c:crossBetween val="midCat"/>
      </c:valAx>
      <c:spPr>
        <a:gradFill rotWithShape="0">
          <a:gsLst>
            <a:gs pos="0">
              <a:srgbClr val="99CCFF"/>
            </a:gs>
            <a:gs pos="100000">
              <a:srgbClr val="FFFFFF"/>
            </a:gs>
          </a:gsLst>
          <a:lin ang="5400000" scaled="1"/>
        </a:gradFill>
        <a:ln w="12700">
          <a:solidFill>
            <a:srgbClr val="808080"/>
          </a:solidFill>
          <a:prstDash val="solid"/>
        </a:ln>
      </c:spPr>
    </c:plotArea>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fr-FR"/>
              <a:t>Forces</a:t>
            </a:r>
          </a:p>
        </c:rich>
      </c:tx>
      <c:overlay val="1"/>
    </c:title>
    <c:autoTitleDeleted val="0"/>
    <c:plotArea>
      <c:layout>
        <c:manualLayout>
          <c:layoutTarget val="inner"/>
          <c:xMode val="edge"/>
          <c:yMode val="edge"/>
          <c:x val="0.11674528301886802"/>
          <c:y val="9.4771544282144501E-2"/>
          <c:w val="0.86438679245283023"/>
          <c:h val="0.74183243282920064"/>
        </c:manualLayout>
      </c:layout>
      <c:scatterChart>
        <c:scatterStyle val="lineMarker"/>
        <c:varyColors val="0"/>
        <c:ser>
          <c:idx val="1"/>
          <c:order val="0"/>
          <c:tx>
            <c:strRef>
              <c:f>Courbes!$B$134</c:f>
              <c:strCache>
                <c:ptCount val="1"/>
                <c:pt idx="0">
                  <c:v>Poussée</c:v>
                </c:pt>
              </c:strCache>
            </c:strRef>
          </c:tx>
          <c:spPr>
            <a:ln w="25400">
              <a:solidFill>
                <a:srgbClr val="008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2.1000000000000014</c:v>
                </c:pt>
                <c:pt idx="202">
                  <c:v>2.2000000000000015</c:v>
                </c:pt>
                <c:pt idx="203">
                  <c:v>2.3000000000000016</c:v>
                </c:pt>
                <c:pt idx="204">
                  <c:v>2.4000000000000017</c:v>
                </c:pt>
                <c:pt idx="205">
                  <c:v>2.5000000000000018</c:v>
                </c:pt>
                <c:pt idx="206">
                  <c:v>2.6000000000000019</c:v>
                </c:pt>
                <c:pt idx="207">
                  <c:v>2.700000000000002</c:v>
                </c:pt>
                <c:pt idx="208">
                  <c:v>2.800000000000002</c:v>
                </c:pt>
                <c:pt idx="209">
                  <c:v>2.9000000000000021</c:v>
                </c:pt>
                <c:pt idx="210">
                  <c:v>3.0000000000000022</c:v>
                </c:pt>
                <c:pt idx="211">
                  <c:v>3.1000000000000023</c:v>
                </c:pt>
                <c:pt idx="212">
                  <c:v>3.2000000000000024</c:v>
                </c:pt>
                <c:pt idx="213">
                  <c:v>3.3000000000000025</c:v>
                </c:pt>
                <c:pt idx="214">
                  <c:v>3.4000000000000026</c:v>
                </c:pt>
                <c:pt idx="215">
                  <c:v>3.5000000000000027</c:v>
                </c:pt>
                <c:pt idx="216">
                  <c:v>3.6000000000000028</c:v>
                </c:pt>
                <c:pt idx="217">
                  <c:v>3.7000000000000028</c:v>
                </c:pt>
                <c:pt idx="218">
                  <c:v>3.8000000000000029</c:v>
                </c:pt>
                <c:pt idx="219">
                  <c:v>3.900000000000003</c:v>
                </c:pt>
                <c:pt idx="220">
                  <c:v>4.0000000000000027</c:v>
                </c:pt>
                <c:pt idx="221">
                  <c:v>4.1000000000000023</c:v>
                </c:pt>
                <c:pt idx="222">
                  <c:v>4.200000000000002</c:v>
                </c:pt>
                <c:pt idx="223">
                  <c:v>4.3000000000000016</c:v>
                </c:pt>
                <c:pt idx="224">
                  <c:v>4.4000000000000012</c:v>
                </c:pt>
                <c:pt idx="225">
                  <c:v>4.5000000000000009</c:v>
                </c:pt>
                <c:pt idx="226">
                  <c:v>4.6000000000000005</c:v>
                </c:pt>
                <c:pt idx="227">
                  <c:v>4.7</c:v>
                </c:pt>
                <c:pt idx="228">
                  <c:v>4.8</c:v>
                </c:pt>
                <c:pt idx="229">
                  <c:v>4.8999999999999995</c:v>
                </c:pt>
                <c:pt idx="230">
                  <c:v>4.9999999999999991</c:v>
                </c:pt>
                <c:pt idx="231">
                  <c:v>5.0999999999999988</c:v>
                </c:pt>
                <c:pt idx="232">
                  <c:v>5.1999999999999984</c:v>
                </c:pt>
                <c:pt idx="233">
                  <c:v>5.299999999999998</c:v>
                </c:pt>
                <c:pt idx="234">
                  <c:v>5.3999999999999977</c:v>
                </c:pt>
                <c:pt idx="235">
                  <c:v>5.4999999999999973</c:v>
                </c:pt>
                <c:pt idx="236">
                  <c:v>5.599999999999997</c:v>
                </c:pt>
                <c:pt idx="237">
                  <c:v>5.6999999999999966</c:v>
                </c:pt>
                <c:pt idx="238">
                  <c:v>5.7999999999999963</c:v>
                </c:pt>
                <c:pt idx="239">
                  <c:v>5.8999999999999959</c:v>
                </c:pt>
                <c:pt idx="240">
                  <c:v>5.9999999999999956</c:v>
                </c:pt>
                <c:pt idx="241">
                  <c:v>6.0999999999999952</c:v>
                </c:pt>
                <c:pt idx="242">
                  <c:v>6.1999999999999948</c:v>
                </c:pt>
                <c:pt idx="243">
                  <c:v>6.2999999999999945</c:v>
                </c:pt>
                <c:pt idx="244">
                  <c:v>6.3999999999999941</c:v>
                </c:pt>
                <c:pt idx="245">
                  <c:v>6.4999999999999938</c:v>
                </c:pt>
                <c:pt idx="246">
                  <c:v>6.5999999999999934</c:v>
                </c:pt>
                <c:pt idx="247">
                  <c:v>6.6999999999999931</c:v>
                </c:pt>
                <c:pt idx="248">
                  <c:v>6.7999999999999927</c:v>
                </c:pt>
                <c:pt idx="249">
                  <c:v>6.8999999999999924</c:v>
                </c:pt>
                <c:pt idx="250">
                  <c:v>6.999999999999992</c:v>
                </c:pt>
                <c:pt idx="251">
                  <c:v>7.0999999999999917</c:v>
                </c:pt>
                <c:pt idx="252">
                  <c:v>7.1999999999999913</c:v>
                </c:pt>
                <c:pt idx="253">
                  <c:v>7.2999999999999909</c:v>
                </c:pt>
                <c:pt idx="254">
                  <c:v>7.3999999999999906</c:v>
                </c:pt>
                <c:pt idx="255">
                  <c:v>7.4999999999999902</c:v>
                </c:pt>
                <c:pt idx="256">
                  <c:v>7.5999999999999899</c:v>
                </c:pt>
                <c:pt idx="257">
                  <c:v>7.6999999999999895</c:v>
                </c:pt>
                <c:pt idx="258">
                  <c:v>7.7999999999999892</c:v>
                </c:pt>
                <c:pt idx="259">
                  <c:v>7.8999999999999888</c:v>
                </c:pt>
                <c:pt idx="260">
                  <c:v>7.9999999999999885</c:v>
                </c:pt>
                <c:pt idx="261">
                  <c:v>8.099999999999989</c:v>
                </c:pt>
                <c:pt idx="262">
                  <c:v>8.1999999999999886</c:v>
                </c:pt>
                <c:pt idx="263">
                  <c:v>8.2999999999999883</c:v>
                </c:pt>
                <c:pt idx="264">
                  <c:v>8.3999999999999879</c:v>
                </c:pt>
                <c:pt idx="265">
                  <c:v>8.4999999999999876</c:v>
                </c:pt>
                <c:pt idx="266">
                  <c:v>8.5999999999999872</c:v>
                </c:pt>
                <c:pt idx="267">
                  <c:v>8.6999999999999869</c:v>
                </c:pt>
                <c:pt idx="268">
                  <c:v>8.7999999999999865</c:v>
                </c:pt>
                <c:pt idx="269">
                  <c:v>8.8999999999999861</c:v>
                </c:pt>
                <c:pt idx="270">
                  <c:v>8.9999999999999858</c:v>
                </c:pt>
                <c:pt idx="271">
                  <c:v>9.0999999999999854</c:v>
                </c:pt>
                <c:pt idx="272">
                  <c:v>9.1999999999999851</c:v>
                </c:pt>
                <c:pt idx="273">
                  <c:v>9.2999999999999847</c:v>
                </c:pt>
                <c:pt idx="274">
                  <c:v>9.3999999999999844</c:v>
                </c:pt>
                <c:pt idx="275">
                  <c:v>9.499999999999984</c:v>
                </c:pt>
                <c:pt idx="276">
                  <c:v>9.5999999999999837</c:v>
                </c:pt>
                <c:pt idx="277">
                  <c:v>9.6999999999999833</c:v>
                </c:pt>
                <c:pt idx="278">
                  <c:v>9.7999999999999829</c:v>
                </c:pt>
                <c:pt idx="279">
                  <c:v>9.8999999999999826</c:v>
                </c:pt>
                <c:pt idx="280">
                  <c:v>9.9999999999999822</c:v>
                </c:pt>
                <c:pt idx="281">
                  <c:v>10.099999999999982</c:v>
                </c:pt>
                <c:pt idx="282">
                  <c:v>10.199999999999982</c:v>
                </c:pt>
                <c:pt idx="283">
                  <c:v>10.299999999999981</c:v>
                </c:pt>
                <c:pt idx="284">
                  <c:v>10.399999999999981</c:v>
                </c:pt>
                <c:pt idx="285">
                  <c:v>10.49999999999998</c:v>
                </c:pt>
                <c:pt idx="286">
                  <c:v>10.59999999999998</c:v>
                </c:pt>
                <c:pt idx="287">
                  <c:v>10.69999999999998</c:v>
                </c:pt>
                <c:pt idx="288">
                  <c:v>10.799999999999979</c:v>
                </c:pt>
                <c:pt idx="289">
                  <c:v>10.899999999999979</c:v>
                </c:pt>
                <c:pt idx="290">
                  <c:v>10.999999999999979</c:v>
                </c:pt>
                <c:pt idx="291">
                  <c:v>11.099999999999978</c:v>
                </c:pt>
                <c:pt idx="292">
                  <c:v>11.199999999999978</c:v>
                </c:pt>
                <c:pt idx="293">
                  <c:v>11.299999999999978</c:v>
                </c:pt>
                <c:pt idx="294">
                  <c:v>11.399999999999977</c:v>
                </c:pt>
                <c:pt idx="295">
                  <c:v>11.499999999999977</c:v>
                </c:pt>
                <c:pt idx="296">
                  <c:v>11.599999999999977</c:v>
                </c:pt>
                <c:pt idx="297">
                  <c:v>11.699999999999976</c:v>
                </c:pt>
                <c:pt idx="298">
                  <c:v>11.799999999999976</c:v>
                </c:pt>
                <c:pt idx="299">
                  <c:v>11.899999999999975</c:v>
                </c:pt>
                <c:pt idx="300">
                  <c:v>11.999999999999975</c:v>
                </c:pt>
                <c:pt idx="301">
                  <c:v>12.099999999999975</c:v>
                </c:pt>
                <c:pt idx="302">
                  <c:v>12.199999999999974</c:v>
                </c:pt>
                <c:pt idx="303">
                  <c:v>12.299999999999974</c:v>
                </c:pt>
                <c:pt idx="304">
                  <c:v>12.399999999999974</c:v>
                </c:pt>
                <c:pt idx="305">
                  <c:v>12.499999999999973</c:v>
                </c:pt>
                <c:pt idx="306">
                  <c:v>12.599999999999973</c:v>
                </c:pt>
                <c:pt idx="307">
                  <c:v>12.699999999999973</c:v>
                </c:pt>
                <c:pt idx="308">
                  <c:v>12.799999999999972</c:v>
                </c:pt>
                <c:pt idx="309">
                  <c:v>12.899999999999972</c:v>
                </c:pt>
                <c:pt idx="310">
                  <c:v>12.999999999999972</c:v>
                </c:pt>
                <c:pt idx="311">
                  <c:v>13.099999999999971</c:v>
                </c:pt>
                <c:pt idx="312">
                  <c:v>13.199999999999971</c:v>
                </c:pt>
                <c:pt idx="313">
                  <c:v>13.299999999999971</c:v>
                </c:pt>
                <c:pt idx="314">
                  <c:v>13.39999999999997</c:v>
                </c:pt>
                <c:pt idx="315">
                  <c:v>13.49999999999997</c:v>
                </c:pt>
                <c:pt idx="316">
                  <c:v>13.599999999999969</c:v>
                </c:pt>
                <c:pt idx="317">
                  <c:v>13.699999999999969</c:v>
                </c:pt>
                <c:pt idx="318">
                  <c:v>13.799999999999969</c:v>
                </c:pt>
                <c:pt idx="319">
                  <c:v>13.899999999999968</c:v>
                </c:pt>
                <c:pt idx="320">
                  <c:v>13.999999999999968</c:v>
                </c:pt>
                <c:pt idx="321">
                  <c:v>14.099999999999968</c:v>
                </c:pt>
                <c:pt idx="322">
                  <c:v>14.199999999999967</c:v>
                </c:pt>
                <c:pt idx="323">
                  <c:v>14.299999999999967</c:v>
                </c:pt>
                <c:pt idx="324">
                  <c:v>14.399999999999967</c:v>
                </c:pt>
                <c:pt idx="325">
                  <c:v>14.499999999999966</c:v>
                </c:pt>
                <c:pt idx="326">
                  <c:v>14.599999999999966</c:v>
                </c:pt>
                <c:pt idx="327">
                  <c:v>14.699999999999966</c:v>
                </c:pt>
                <c:pt idx="328">
                  <c:v>14.799999999999965</c:v>
                </c:pt>
                <c:pt idx="329">
                  <c:v>14.899999999999965</c:v>
                </c:pt>
                <c:pt idx="330">
                  <c:v>14.999999999999964</c:v>
                </c:pt>
                <c:pt idx="331">
                  <c:v>15.099999999999964</c:v>
                </c:pt>
                <c:pt idx="332">
                  <c:v>15.199999999999964</c:v>
                </c:pt>
                <c:pt idx="333">
                  <c:v>15.299999999999963</c:v>
                </c:pt>
                <c:pt idx="334">
                  <c:v>15.399999999999963</c:v>
                </c:pt>
                <c:pt idx="335">
                  <c:v>15.499999999999963</c:v>
                </c:pt>
                <c:pt idx="336">
                  <c:v>15.599999999999962</c:v>
                </c:pt>
                <c:pt idx="337">
                  <c:v>15.699999999999962</c:v>
                </c:pt>
                <c:pt idx="338">
                  <c:v>15.799999999999962</c:v>
                </c:pt>
                <c:pt idx="339">
                  <c:v>15.899999999999961</c:v>
                </c:pt>
                <c:pt idx="340">
                  <c:v>15.999999999999961</c:v>
                </c:pt>
                <c:pt idx="341">
                  <c:v>16.099999999999962</c:v>
                </c:pt>
                <c:pt idx="342">
                  <c:v>16.199999999999964</c:v>
                </c:pt>
                <c:pt idx="343">
                  <c:v>16.299999999999965</c:v>
                </c:pt>
                <c:pt idx="344">
                  <c:v>16.399999999999967</c:v>
                </c:pt>
                <c:pt idx="345">
                  <c:v>16.499999999999968</c:v>
                </c:pt>
                <c:pt idx="346">
                  <c:v>16.599999999999969</c:v>
                </c:pt>
                <c:pt idx="347">
                  <c:v>16.699999999999971</c:v>
                </c:pt>
                <c:pt idx="348">
                  <c:v>16.799999999999972</c:v>
                </c:pt>
                <c:pt idx="349">
                  <c:v>16.899999999999974</c:v>
                </c:pt>
                <c:pt idx="350">
                  <c:v>16.999999999999975</c:v>
                </c:pt>
                <c:pt idx="351">
                  <c:v>17.099999999999977</c:v>
                </c:pt>
                <c:pt idx="352">
                  <c:v>17.199999999999978</c:v>
                </c:pt>
                <c:pt idx="353">
                  <c:v>17.299999999999979</c:v>
                </c:pt>
                <c:pt idx="354">
                  <c:v>17.399999999999981</c:v>
                </c:pt>
                <c:pt idx="355">
                  <c:v>17.499999999999982</c:v>
                </c:pt>
                <c:pt idx="356">
                  <c:v>17.599999999999984</c:v>
                </c:pt>
                <c:pt idx="357">
                  <c:v>17.699999999999985</c:v>
                </c:pt>
                <c:pt idx="358">
                  <c:v>17.799999999999986</c:v>
                </c:pt>
                <c:pt idx="359">
                  <c:v>17.899999999999988</c:v>
                </c:pt>
                <c:pt idx="360">
                  <c:v>17.999999999999989</c:v>
                </c:pt>
                <c:pt idx="361">
                  <c:v>18.099999999999991</c:v>
                </c:pt>
                <c:pt idx="362">
                  <c:v>18.199999999999992</c:v>
                </c:pt>
                <c:pt idx="363">
                  <c:v>18.299999999999994</c:v>
                </c:pt>
                <c:pt idx="364">
                  <c:v>18.399999999999995</c:v>
                </c:pt>
                <c:pt idx="365">
                  <c:v>18.499999999999996</c:v>
                </c:pt>
                <c:pt idx="366">
                  <c:v>18.599999999999998</c:v>
                </c:pt>
                <c:pt idx="367">
                  <c:v>18.7</c:v>
                </c:pt>
                <c:pt idx="368">
                  <c:v>18.8</c:v>
                </c:pt>
                <c:pt idx="369">
                  <c:v>18.900000000000002</c:v>
                </c:pt>
                <c:pt idx="370">
                  <c:v>19.000000000000004</c:v>
                </c:pt>
                <c:pt idx="371">
                  <c:v>19.100000000000005</c:v>
                </c:pt>
                <c:pt idx="372">
                  <c:v>19.200000000000006</c:v>
                </c:pt>
                <c:pt idx="373">
                  <c:v>19.300000000000008</c:v>
                </c:pt>
                <c:pt idx="374">
                  <c:v>19.400000000000009</c:v>
                </c:pt>
                <c:pt idx="375">
                  <c:v>19.500000000000011</c:v>
                </c:pt>
                <c:pt idx="376">
                  <c:v>19.600000000000012</c:v>
                </c:pt>
                <c:pt idx="377">
                  <c:v>19.700000000000014</c:v>
                </c:pt>
                <c:pt idx="378">
                  <c:v>19.800000000000015</c:v>
                </c:pt>
                <c:pt idx="379">
                  <c:v>19.900000000000016</c:v>
                </c:pt>
                <c:pt idx="380">
                  <c:v>20.000000000000018</c:v>
                </c:pt>
                <c:pt idx="381">
                  <c:v>20.100000000000019</c:v>
                </c:pt>
                <c:pt idx="382">
                  <c:v>20.200000000000021</c:v>
                </c:pt>
                <c:pt idx="383">
                  <c:v>20.300000000000022</c:v>
                </c:pt>
                <c:pt idx="384">
                  <c:v>20.400000000000023</c:v>
                </c:pt>
                <c:pt idx="385">
                  <c:v>20.500000000000025</c:v>
                </c:pt>
                <c:pt idx="386">
                  <c:v>20.600000000000026</c:v>
                </c:pt>
                <c:pt idx="387">
                  <c:v>20.700000000000028</c:v>
                </c:pt>
                <c:pt idx="388">
                  <c:v>20.800000000000029</c:v>
                </c:pt>
                <c:pt idx="389">
                  <c:v>20.900000000000031</c:v>
                </c:pt>
                <c:pt idx="390">
                  <c:v>21.000000000000032</c:v>
                </c:pt>
                <c:pt idx="391">
                  <c:v>21.100000000000033</c:v>
                </c:pt>
                <c:pt idx="392">
                  <c:v>21.200000000000035</c:v>
                </c:pt>
                <c:pt idx="393">
                  <c:v>21.300000000000036</c:v>
                </c:pt>
                <c:pt idx="394">
                  <c:v>21.400000000000038</c:v>
                </c:pt>
                <c:pt idx="395">
                  <c:v>21.500000000000039</c:v>
                </c:pt>
                <c:pt idx="396">
                  <c:v>21.600000000000041</c:v>
                </c:pt>
                <c:pt idx="397">
                  <c:v>21.700000000000042</c:v>
                </c:pt>
                <c:pt idx="398">
                  <c:v>21.800000000000043</c:v>
                </c:pt>
                <c:pt idx="399">
                  <c:v>21.900000000000045</c:v>
                </c:pt>
                <c:pt idx="400">
                  <c:v>22.000000000000046</c:v>
                </c:pt>
                <c:pt idx="401">
                  <c:v>22.100000000000048</c:v>
                </c:pt>
                <c:pt idx="402">
                  <c:v>22.200000000000049</c:v>
                </c:pt>
                <c:pt idx="403">
                  <c:v>22.30000000000005</c:v>
                </c:pt>
                <c:pt idx="404">
                  <c:v>22.400000000000052</c:v>
                </c:pt>
                <c:pt idx="405">
                  <c:v>22.500000000000053</c:v>
                </c:pt>
                <c:pt idx="406">
                  <c:v>22.600000000000055</c:v>
                </c:pt>
                <c:pt idx="407">
                  <c:v>22.700000000000056</c:v>
                </c:pt>
                <c:pt idx="408">
                  <c:v>22.800000000000058</c:v>
                </c:pt>
                <c:pt idx="409">
                  <c:v>22.900000000000059</c:v>
                </c:pt>
                <c:pt idx="410">
                  <c:v>23.00000000000006</c:v>
                </c:pt>
                <c:pt idx="411">
                  <c:v>23.100000000000062</c:v>
                </c:pt>
                <c:pt idx="412">
                  <c:v>23.200000000000063</c:v>
                </c:pt>
                <c:pt idx="413">
                  <c:v>23.300000000000065</c:v>
                </c:pt>
                <c:pt idx="414">
                  <c:v>23.400000000000066</c:v>
                </c:pt>
                <c:pt idx="415">
                  <c:v>23.500000000000068</c:v>
                </c:pt>
                <c:pt idx="416">
                  <c:v>23.600000000000069</c:v>
                </c:pt>
                <c:pt idx="417">
                  <c:v>23.70000000000007</c:v>
                </c:pt>
                <c:pt idx="418">
                  <c:v>23.800000000000072</c:v>
                </c:pt>
                <c:pt idx="419">
                  <c:v>23.900000000000073</c:v>
                </c:pt>
                <c:pt idx="420">
                  <c:v>24.000000000000075</c:v>
                </c:pt>
                <c:pt idx="421">
                  <c:v>24.100000000000076</c:v>
                </c:pt>
                <c:pt idx="422">
                  <c:v>24.200000000000077</c:v>
                </c:pt>
                <c:pt idx="423">
                  <c:v>24.300000000000079</c:v>
                </c:pt>
                <c:pt idx="424">
                  <c:v>24.40000000000008</c:v>
                </c:pt>
                <c:pt idx="425">
                  <c:v>24.500000000000082</c:v>
                </c:pt>
                <c:pt idx="426">
                  <c:v>24.600000000000083</c:v>
                </c:pt>
                <c:pt idx="427">
                  <c:v>24.700000000000085</c:v>
                </c:pt>
                <c:pt idx="428">
                  <c:v>24.800000000000086</c:v>
                </c:pt>
                <c:pt idx="429">
                  <c:v>24.900000000000087</c:v>
                </c:pt>
                <c:pt idx="430">
                  <c:v>25.000000000000089</c:v>
                </c:pt>
                <c:pt idx="431">
                  <c:v>25.10000000000009</c:v>
                </c:pt>
                <c:pt idx="432">
                  <c:v>25.200000000000092</c:v>
                </c:pt>
                <c:pt idx="433">
                  <c:v>25.300000000000093</c:v>
                </c:pt>
                <c:pt idx="434">
                  <c:v>25.400000000000095</c:v>
                </c:pt>
                <c:pt idx="435">
                  <c:v>25.500000000000096</c:v>
                </c:pt>
                <c:pt idx="436">
                  <c:v>25.600000000000097</c:v>
                </c:pt>
                <c:pt idx="437">
                  <c:v>25.700000000000099</c:v>
                </c:pt>
                <c:pt idx="438">
                  <c:v>25.8000000000001</c:v>
                </c:pt>
                <c:pt idx="439">
                  <c:v>25.900000000000102</c:v>
                </c:pt>
                <c:pt idx="440">
                  <c:v>26.000000000000103</c:v>
                </c:pt>
                <c:pt idx="441">
                  <c:v>26.100000000000104</c:v>
                </c:pt>
                <c:pt idx="442">
                  <c:v>26.200000000000106</c:v>
                </c:pt>
                <c:pt idx="443">
                  <c:v>26.300000000000107</c:v>
                </c:pt>
                <c:pt idx="444">
                  <c:v>26.400000000000109</c:v>
                </c:pt>
                <c:pt idx="445">
                  <c:v>26.50000000000011</c:v>
                </c:pt>
                <c:pt idx="446">
                  <c:v>26.600000000000112</c:v>
                </c:pt>
                <c:pt idx="447">
                  <c:v>26.700000000000113</c:v>
                </c:pt>
                <c:pt idx="448">
                  <c:v>26.800000000000114</c:v>
                </c:pt>
                <c:pt idx="449">
                  <c:v>26.900000000000116</c:v>
                </c:pt>
                <c:pt idx="450">
                  <c:v>27.000000000000117</c:v>
                </c:pt>
                <c:pt idx="451">
                  <c:v>27.100000000000119</c:v>
                </c:pt>
                <c:pt idx="452">
                  <c:v>27.20000000000012</c:v>
                </c:pt>
                <c:pt idx="453">
                  <c:v>27.300000000000122</c:v>
                </c:pt>
                <c:pt idx="454">
                  <c:v>27.400000000000123</c:v>
                </c:pt>
                <c:pt idx="455">
                  <c:v>27.500000000000124</c:v>
                </c:pt>
                <c:pt idx="456">
                  <c:v>27.600000000000126</c:v>
                </c:pt>
                <c:pt idx="457">
                  <c:v>27.700000000000127</c:v>
                </c:pt>
                <c:pt idx="458">
                  <c:v>27.800000000000129</c:v>
                </c:pt>
                <c:pt idx="459">
                  <c:v>27.90000000000013</c:v>
                </c:pt>
                <c:pt idx="460">
                  <c:v>28.000000000000131</c:v>
                </c:pt>
                <c:pt idx="461">
                  <c:v>28.100000000000133</c:v>
                </c:pt>
                <c:pt idx="462">
                  <c:v>28.200000000000134</c:v>
                </c:pt>
                <c:pt idx="463">
                  <c:v>28.300000000000136</c:v>
                </c:pt>
                <c:pt idx="464">
                  <c:v>28.400000000000137</c:v>
                </c:pt>
                <c:pt idx="465">
                  <c:v>28.500000000000139</c:v>
                </c:pt>
                <c:pt idx="466">
                  <c:v>28.60000000000014</c:v>
                </c:pt>
                <c:pt idx="467">
                  <c:v>28.700000000000141</c:v>
                </c:pt>
                <c:pt idx="468">
                  <c:v>28.800000000000143</c:v>
                </c:pt>
                <c:pt idx="469">
                  <c:v>28.900000000000144</c:v>
                </c:pt>
                <c:pt idx="470">
                  <c:v>29.000000000000146</c:v>
                </c:pt>
                <c:pt idx="471">
                  <c:v>29.100000000000147</c:v>
                </c:pt>
                <c:pt idx="472">
                  <c:v>29.200000000000149</c:v>
                </c:pt>
                <c:pt idx="473">
                  <c:v>29.30000000000015</c:v>
                </c:pt>
                <c:pt idx="474">
                  <c:v>29.400000000000151</c:v>
                </c:pt>
                <c:pt idx="475">
                  <c:v>29.500000000000153</c:v>
                </c:pt>
                <c:pt idx="476">
                  <c:v>29.600000000000154</c:v>
                </c:pt>
                <c:pt idx="477">
                  <c:v>29.700000000000156</c:v>
                </c:pt>
                <c:pt idx="478">
                  <c:v>29.800000000000157</c:v>
                </c:pt>
                <c:pt idx="479">
                  <c:v>29.900000000000158</c:v>
                </c:pt>
                <c:pt idx="480">
                  <c:v>30.00000000000016</c:v>
                </c:pt>
                <c:pt idx="481">
                  <c:v>30.100000000000161</c:v>
                </c:pt>
                <c:pt idx="482">
                  <c:v>30.200000000000163</c:v>
                </c:pt>
                <c:pt idx="483">
                  <c:v>30.300000000000164</c:v>
                </c:pt>
                <c:pt idx="484">
                  <c:v>30.400000000000166</c:v>
                </c:pt>
                <c:pt idx="485">
                  <c:v>30.500000000000167</c:v>
                </c:pt>
                <c:pt idx="486">
                  <c:v>30.600000000000168</c:v>
                </c:pt>
                <c:pt idx="487">
                  <c:v>30.70000000000017</c:v>
                </c:pt>
                <c:pt idx="488">
                  <c:v>30.800000000000171</c:v>
                </c:pt>
                <c:pt idx="489">
                  <c:v>30.900000000000173</c:v>
                </c:pt>
                <c:pt idx="490">
                  <c:v>31.000000000000174</c:v>
                </c:pt>
                <c:pt idx="491">
                  <c:v>31.100000000000176</c:v>
                </c:pt>
                <c:pt idx="492">
                  <c:v>31.200000000000177</c:v>
                </c:pt>
                <c:pt idx="493">
                  <c:v>31.300000000000178</c:v>
                </c:pt>
                <c:pt idx="494">
                  <c:v>31.40000000000018</c:v>
                </c:pt>
                <c:pt idx="495">
                  <c:v>31.500000000000181</c:v>
                </c:pt>
                <c:pt idx="496">
                  <c:v>31.600000000000183</c:v>
                </c:pt>
                <c:pt idx="497">
                  <c:v>31.700000000000184</c:v>
                </c:pt>
                <c:pt idx="498">
                  <c:v>31.800000000000185</c:v>
                </c:pt>
                <c:pt idx="499">
                  <c:v>31.900000000000187</c:v>
                </c:pt>
                <c:pt idx="500">
                  <c:v>32.000000000000185</c:v>
                </c:pt>
                <c:pt idx="501">
                  <c:v>32.100000000000186</c:v>
                </c:pt>
                <c:pt idx="502">
                  <c:v>32.200000000000188</c:v>
                </c:pt>
                <c:pt idx="503">
                  <c:v>32.300000000000189</c:v>
                </c:pt>
                <c:pt idx="504">
                  <c:v>32.40000000000019</c:v>
                </c:pt>
                <c:pt idx="505">
                  <c:v>32.500000000000192</c:v>
                </c:pt>
                <c:pt idx="506">
                  <c:v>32.600000000000193</c:v>
                </c:pt>
                <c:pt idx="507">
                  <c:v>32.700000000000195</c:v>
                </c:pt>
                <c:pt idx="508">
                  <c:v>32.800000000000196</c:v>
                </c:pt>
                <c:pt idx="509">
                  <c:v>32.900000000000198</c:v>
                </c:pt>
                <c:pt idx="510">
                  <c:v>33.000000000000199</c:v>
                </c:pt>
                <c:pt idx="511">
                  <c:v>33.1000000000002</c:v>
                </c:pt>
                <c:pt idx="512">
                  <c:v>33.200000000000202</c:v>
                </c:pt>
                <c:pt idx="513">
                  <c:v>33.300000000000203</c:v>
                </c:pt>
                <c:pt idx="514">
                  <c:v>33.400000000000205</c:v>
                </c:pt>
                <c:pt idx="515">
                  <c:v>33.500000000000206</c:v>
                </c:pt>
                <c:pt idx="516">
                  <c:v>33.600000000000207</c:v>
                </c:pt>
                <c:pt idx="517">
                  <c:v>33.700000000000209</c:v>
                </c:pt>
                <c:pt idx="518">
                  <c:v>33.80000000000021</c:v>
                </c:pt>
                <c:pt idx="519">
                  <c:v>33.900000000000212</c:v>
                </c:pt>
                <c:pt idx="520">
                  <c:v>34.000000000000213</c:v>
                </c:pt>
                <c:pt idx="521">
                  <c:v>34.100000000000215</c:v>
                </c:pt>
                <c:pt idx="522">
                  <c:v>34.200000000000216</c:v>
                </c:pt>
                <c:pt idx="523">
                  <c:v>34.300000000000217</c:v>
                </c:pt>
                <c:pt idx="524">
                  <c:v>34.400000000000219</c:v>
                </c:pt>
                <c:pt idx="525">
                  <c:v>34.50000000000022</c:v>
                </c:pt>
                <c:pt idx="526">
                  <c:v>34.600000000000222</c:v>
                </c:pt>
                <c:pt idx="527">
                  <c:v>34.700000000000223</c:v>
                </c:pt>
                <c:pt idx="528">
                  <c:v>34.800000000000225</c:v>
                </c:pt>
                <c:pt idx="529">
                  <c:v>34.900000000000226</c:v>
                </c:pt>
                <c:pt idx="530">
                  <c:v>35.000000000000227</c:v>
                </c:pt>
                <c:pt idx="531">
                  <c:v>35.100000000000229</c:v>
                </c:pt>
                <c:pt idx="532">
                  <c:v>35.20000000000023</c:v>
                </c:pt>
                <c:pt idx="533">
                  <c:v>35.300000000000232</c:v>
                </c:pt>
                <c:pt idx="534">
                  <c:v>35.400000000000233</c:v>
                </c:pt>
                <c:pt idx="535">
                  <c:v>35.500000000000234</c:v>
                </c:pt>
                <c:pt idx="536">
                  <c:v>35.600000000000236</c:v>
                </c:pt>
                <c:pt idx="537">
                  <c:v>35.700000000000237</c:v>
                </c:pt>
                <c:pt idx="538">
                  <c:v>35.800000000000239</c:v>
                </c:pt>
                <c:pt idx="539">
                  <c:v>35.90000000000024</c:v>
                </c:pt>
                <c:pt idx="540">
                  <c:v>36.000000000000242</c:v>
                </c:pt>
                <c:pt idx="541">
                  <c:v>36.100000000000243</c:v>
                </c:pt>
                <c:pt idx="542">
                  <c:v>36.200000000000244</c:v>
                </c:pt>
                <c:pt idx="543">
                  <c:v>36.300000000000246</c:v>
                </c:pt>
                <c:pt idx="544">
                  <c:v>36.400000000000247</c:v>
                </c:pt>
                <c:pt idx="545">
                  <c:v>36.500000000000249</c:v>
                </c:pt>
                <c:pt idx="546">
                  <c:v>36.60000000000025</c:v>
                </c:pt>
                <c:pt idx="547">
                  <c:v>36.700000000000252</c:v>
                </c:pt>
                <c:pt idx="548">
                  <c:v>36.700100000000255</c:v>
                </c:pt>
                <c:pt idx="549">
                  <c:v>36.700200000000258</c:v>
                </c:pt>
                <c:pt idx="550">
                  <c:v>36.700300000000261</c:v>
                </c:pt>
                <c:pt idx="551">
                  <c:v>36.700400000000265</c:v>
                </c:pt>
                <c:pt idx="552">
                  <c:v>36.700500000000268</c:v>
                </c:pt>
                <c:pt idx="553">
                  <c:v>36.700600000000271</c:v>
                </c:pt>
                <c:pt idx="554">
                  <c:v>36.700700000000275</c:v>
                </c:pt>
                <c:pt idx="555">
                  <c:v>36.700800000000278</c:v>
                </c:pt>
                <c:pt idx="556">
                  <c:v>36.700900000000281</c:v>
                </c:pt>
                <c:pt idx="557">
                  <c:v>36.701000000000285</c:v>
                </c:pt>
                <c:pt idx="558">
                  <c:v>36.701100000000288</c:v>
                </c:pt>
                <c:pt idx="559">
                  <c:v>36.701200000000291</c:v>
                </c:pt>
                <c:pt idx="560">
                  <c:v>36.701300000000295</c:v>
                </c:pt>
                <c:pt idx="561">
                  <c:v>36.701400000000298</c:v>
                </c:pt>
                <c:pt idx="562">
                  <c:v>36.701500000000301</c:v>
                </c:pt>
                <c:pt idx="563">
                  <c:v>36.701600000000305</c:v>
                </c:pt>
                <c:pt idx="564">
                  <c:v>36.701700000000308</c:v>
                </c:pt>
                <c:pt idx="565">
                  <c:v>36.701800000000311</c:v>
                </c:pt>
                <c:pt idx="566">
                  <c:v>36.701900000000315</c:v>
                </c:pt>
                <c:pt idx="567">
                  <c:v>36.702000000000318</c:v>
                </c:pt>
                <c:pt idx="568">
                  <c:v>36.702100000000321</c:v>
                </c:pt>
                <c:pt idx="569">
                  <c:v>36.702200000000325</c:v>
                </c:pt>
                <c:pt idx="570">
                  <c:v>36.702300000000328</c:v>
                </c:pt>
                <c:pt idx="571">
                  <c:v>36.702400000000331</c:v>
                </c:pt>
                <c:pt idx="572">
                  <c:v>36.702500000000335</c:v>
                </c:pt>
                <c:pt idx="573">
                  <c:v>36.702600000000338</c:v>
                </c:pt>
                <c:pt idx="574">
                  <c:v>36.702700000000341</c:v>
                </c:pt>
                <c:pt idx="575">
                  <c:v>36.702800000000344</c:v>
                </c:pt>
                <c:pt idx="576">
                  <c:v>36.702900000000348</c:v>
                </c:pt>
                <c:pt idx="577">
                  <c:v>36.703000000000351</c:v>
                </c:pt>
                <c:pt idx="578">
                  <c:v>36.703100000000354</c:v>
                </c:pt>
                <c:pt idx="579">
                  <c:v>36.703200000000358</c:v>
                </c:pt>
                <c:pt idx="580">
                  <c:v>36.703300000000361</c:v>
                </c:pt>
                <c:pt idx="581">
                  <c:v>36.703400000000364</c:v>
                </c:pt>
                <c:pt idx="582">
                  <c:v>36.703500000000368</c:v>
                </c:pt>
                <c:pt idx="583">
                  <c:v>36.703600000000371</c:v>
                </c:pt>
                <c:pt idx="584">
                  <c:v>36.703700000000374</c:v>
                </c:pt>
                <c:pt idx="585">
                  <c:v>36.703800000000378</c:v>
                </c:pt>
                <c:pt idx="586">
                  <c:v>36.703900000000381</c:v>
                </c:pt>
                <c:pt idx="587">
                  <c:v>36.704000000000384</c:v>
                </c:pt>
                <c:pt idx="588">
                  <c:v>36.704100000000388</c:v>
                </c:pt>
                <c:pt idx="589">
                  <c:v>36.704200000000391</c:v>
                </c:pt>
                <c:pt idx="590">
                  <c:v>36.704300000000394</c:v>
                </c:pt>
                <c:pt idx="591">
                  <c:v>36.704400000000398</c:v>
                </c:pt>
                <c:pt idx="592">
                  <c:v>36.704500000000401</c:v>
                </c:pt>
                <c:pt idx="593">
                  <c:v>36.704600000000404</c:v>
                </c:pt>
                <c:pt idx="594">
                  <c:v>36.704700000000408</c:v>
                </c:pt>
                <c:pt idx="595">
                  <c:v>36.704800000000411</c:v>
                </c:pt>
                <c:pt idx="596">
                  <c:v>36.704900000000414</c:v>
                </c:pt>
                <c:pt idx="597">
                  <c:v>36.705000000000418</c:v>
                </c:pt>
                <c:pt idx="598">
                  <c:v>36.705100000000421</c:v>
                </c:pt>
                <c:pt idx="599">
                  <c:v>36.705200000000424</c:v>
                </c:pt>
                <c:pt idx="600">
                  <c:v>36.705300000000427</c:v>
                </c:pt>
                <c:pt idx="601">
                  <c:v>36.705400000000431</c:v>
                </c:pt>
                <c:pt idx="602">
                  <c:v>36.705500000000434</c:v>
                </c:pt>
                <c:pt idx="603">
                  <c:v>36.705600000000437</c:v>
                </c:pt>
                <c:pt idx="604">
                  <c:v>36.705700000000441</c:v>
                </c:pt>
                <c:pt idx="605">
                  <c:v>36.705800000000444</c:v>
                </c:pt>
                <c:pt idx="606">
                  <c:v>36.705900000000447</c:v>
                </c:pt>
                <c:pt idx="607">
                  <c:v>36.706000000000451</c:v>
                </c:pt>
                <c:pt idx="608">
                  <c:v>36.706100000000454</c:v>
                </c:pt>
                <c:pt idx="609">
                  <c:v>36.706200000000457</c:v>
                </c:pt>
                <c:pt idx="610">
                  <c:v>36.706300000000461</c:v>
                </c:pt>
                <c:pt idx="611">
                  <c:v>36.706400000000464</c:v>
                </c:pt>
                <c:pt idx="612">
                  <c:v>36.706500000000467</c:v>
                </c:pt>
                <c:pt idx="613">
                  <c:v>36.706600000000471</c:v>
                </c:pt>
                <c:pt idx="614">
                  <c:v>36.706700000000474</c:v>
                </c:pt>
                <c:pt idx="615">
                  <c:v>36.706800000000477</c:v>
                </c:pt>
                <c:pt idx="616">
                  <c:v>36.706900000000481</c:v>
                </c:pt>
                <c:pt idx="617">
                  <c:v>36.707000000000484</c:v>
                </c:pt>
                <c:pt idx="618">
                  <c:v>36.707100000000487</c:v>
                </c:pt>
                <c:pt idx="619">
                  <c:v>36.707200000000491</c:v>
                </c:pt>
                <c:pt idx="620">
                  <c:v>36.707300000000494</c:v>
                </c:pt>
                <c:pt idx="621">
                  <c:v>36.707400000000497</c:v>
                </c:pt>
                <c:pt idx="622">
                  <c:v>36.707500000000501</c:v>
                </c:pt>
                <c:pt idx="623">
                  <c:v>36.707600000000504</c:v>
                </c:pt>
                <c:pt idx="624">
                  <c:v>36.707700000000507</c:v>
                </c:pt>
                <c:pt idx="625">
                  <c:v>36.70780000000051</c:v>
                </c:pt>
                <c:pt idx="626">
                  <c:v>36.707900000000514</c:v>
                </c:pt>
                <c:pt idx="627">
                  <c:v>36.708000000000517</c:v>
                </c:pt>
                <c:pt idx="628">
                  <c:v>36.70810000000052</c:v>
                </c:pt>
                <c:pt idx="629">
                  <c:v>36.708200000000524</c:v>
                </c:pt>
                <c:pt idx="630">
                  <c:v>36.708300000000527</c:v>
                </c:pt>
                <c:pt idx="631">
                  <c:v>36.70840000000053</c:v>
                </c:pt>
                <c:pt idx="632">
                  <c:v>36.708500000000534</c:v>
                </c:pt>
                <c:pt idx="633">
                  <c:v>36.708600000000537</c:v>
                </c:pt>
                <c:pt idx="634">
                  <c:v>36.70870000000054</c:v>
                </c:pt>
                <c:pt idx="635">
                  <c:v>36.708800000000544</c:v>
                </c:pt>
                <c:pt idx="636">
                  <c:v>36.708900000000547</c:v>
                </c:pt>
                <c:pt idx="637">
                  <c:v>36.70900000000055</c:v>
                </c:pt>
                <c:pt idx="638">
                  <c:v>36.709100000000554</c:v>
                </c:pt>
                <c:pt idx="639">
                  <c:v>36.709200000000557</c:v>
                </c:pt>
                <c:pt idx="640">
                  <c:v>36.70930000000056</c:v>
                </c:pt>
                <c:pt idx="641">
                  <c:v>36.709400000000564</c:v>
                </c:pt>
                <c:pt idx="642">
                  <c:v>36.709500000000567</c:v>
                </c:pt>
                <c:pt idx="643">
                  <c:v>36.70960000000057</c:v>
                </c:pt>
                <c:pt idx="644">
                  <c:v>36.709700000000574</c:v>
                </c:pt>
                <c:pt idx="645">
                  <c:v>36.709800000000577</c:v>
                </c:pt>
                <c:pt idx="646">
                  <c:v>36.70990000000058</c:v>
                </c:pt>
                <c:pt idx="647">
                  <c:v>36.710000000000583</c:v>
                </c:pt>
                <c:pt idx="648">
                  <c:v>36.710100000000587</c:v>
                </c:pt>
                <c:pt idx="649">
                  <c:v>36.71020000000059</c:v>
                </c:pt>
                <c:pt idx="650">
                  <c:v>36.710300000000593</c:v>
                </c:pt>
                <c:pt idx="651">
                  <c:v>36.710400000000597</c:v>
                </c:pt>
                <c:pt idx="652">
                  <c:v>36.7105000000006</c:v>
                </c:pt>
                <c:pt idx="653">
                  <c:v>36.710600000000603</c:v>
                </c:pt>
                <c:pt idx="654">
                  <c:v>36.710700000000607</c:v>
                </c:pt>
                <c:pt idx="655">
                  <c:v>36.71080000000061</c:v>
                </c:pt>
                <c:pt idx="656">
                  <c:v>36.710900000000613</c:v>
                </c:pt>
                <c:pt idx="657">
                  <c:v>36.711000000000617</c:v>
                </c:pt>
                <c:pt idx="658">
                  <c:v>36.71110000000062</c:v>
                </c:pt>
                <c:pt idx="659">
                  <c:v>36.711200000000623</c:v>
                </c:pt>
                <c:pt idx="660">
                  <c:v>36.711300000000627</c:v>
                </c:pt>
                <c:pt idx="661">
                  <c:v>36.71140000000063</c:v>
                </c:pt>
                <c:pt idx="662">
                  <c:v>36.711500000000633</c:v>
                </c:pt>
                <c:pt idx="663">
                  <c:v>36.711600000000637</c:v>
                </c:pt>
                <c:pt idx="664">
                  <c:v>36.71170000000064</c:v>
                </c:pt>
                <c:pt idx="665">
                  <c:v>36.711800000000643</c:v>
                </c:pt>
                <c:pt idx="666">
                  <c:v>36.711900000000647</c:v>
                </c:pt>
                <c:pt idx="667">
                  <c:v>36.71200000000065</c:v>
                </c:pt>
                <c:pt idx="668">
                  <c:v>36.712100000000653</c:v>
                </c:pt>
                <c:pt idx="669">
                  <c:v>36.712200000000657</c:v>
                </c:pt>
                <c:pt idx="670">
                  <c:v>36.71230000000066</c:v>
                </c:pt>
                <c:pt idx="671">
                  <c:v>36.712400000000663</c:v>
                </c:pt>
                <c:pt idx="672">
                  <c:v>36.712500000000666</c:v>
                </c:pt>
                <c:pt idx="673">
                  <c:v>36.71260000000067</c:v>
                </c:pt>
                <c:pt idx="674">
                  <c:v>36.712700000000673</c:v>
                </c:pt>
                <c:pt idx="675">
                  <c:v>36.712800000000676</c:v>
                </c:pt>
                <c:pt idx="676">
                  <c:v>36.71290000000068</c:v>
                </c:pt>
                <c:pt idx="677">
                  <c:v>36.713000000000683</c:v>
                </c:pt>
                <c:pt idx="678">
                  <c:v>36.713100000000686</c:v>
                </c:pt>
                <c:pt idx="679">
                  <c:v>36.71320000000069</c:v>
                </c:pt>
                <c:pt idx="680">
                  <c:v>36.713300000000693</c:v>
                </c:pt>
                <c:pt idx="681">
                  <c:v>36.713400000000696</c:v>
                </c:pt>
                <c:pt idx="682">
                  <c:v>36.7135000000007</c:v>
                </c:pt>
                <c:pt idx="683">
                  <c:v>36.713600000000703</c:v>
                </c:pt>
                <c:pt idx="684">
                  <c:v>36.713700000000706</c:v>
                </c:pt>
                <c:pt idx="685">
                  <c:v>36.71380000000071</c:v>
                </c:pt>
                <c:pt idx="686">
                  <c:v>36.713900000000713</c:v>
                </c:pt>
                <c:pt idx="687">
                  <c:v>36.714000000000716</c:v>
                </c:pt>
                <c:pt idx="688">
                  <c:v>36.71410000000072</c:v>
                </c:pt>
                <c:pt idx="689">
                  <c:v>36.714200000000723</c:v>
                </c:pt>
                <c:pt idx="690">
                  <c:v>36.714300000000726</c:v>
                </c:pt>
                <c:pt idx="691">
                  <c:v>36.71440000000073</c:v>
                </c:pt>
                <c:pt idx="692">
                  <c:v>36.714500000000733</c:v>
                </c:pt>
                <c:pt idx="693">
                  <c:v>36.714600000000736</c:v>
                </c:pt>
                <c:pt idx="694">
                  <c:v>36.71470000000074</c:v>
                </c:pt>
                <c:pt idx="695">
                  <c:v>36.714800000000743</c:v>
                </c:pt>
                <c:pt idx="696">
                  <c:v>36.714900000000746</c:v>
                </c:pt>
                <c:pt idx="697">
                  <c:v>36.715000000000749</c:v>
                </c:pt>
                <c:pt idx="698">
                  <c:v>36.715100000000753</c:v>
                </c:pt>
                <c:pt idx="699">
                  <c:v>36.715200000000756</c:v>
                </c:pt>
                <c:pt idx="700">
                  <c:v>36.715300000000759</c:v>
                </c:pt>
                <c:pt idx="701">
                  <c:v>36.715400000000763</c:v>
                </c:pt>
                <c:pt idx="702">
                  <c:v>36.715500000000766</c:v>
                </c:pt>
                <c:pt idx="703">
                  <c:v>36.715600000000769</c:v>
                </c:pt>
                <c:pt idx="704">
                  <c:v>36.715700000000773</c:v>
                </c:pt>
                <c:pt idx="705">
                  <c:v>36.715800000000776</c:v>
                </c:pt>
                <c:pt idx="706">
                  <c:v>36.715900000000779</c:v>
                </c:pt>
                <c:pt idx="707">
                  <c:v>36.716000000000783</c:v>
                </c:pt>
                <c:pt idx="708">
                  <c:v>36.716100000000786</c:v>
                </c:pt>
                <c:pt idx="709">
                  <c:v>36.716200000000789</c:v>
                </c:pt>
                <c:pt idx="710">
                  <c:v>36.716300000000793</c:v>
                </c:pt>
                <c:pt idx="711">
                  <c:v>36.716400000000796</c:v>
                </c:pt>
                <c:pt idx="712">
                  <c:v>36.716500000000799</c:v>
                </c:pt>
                <c:pt idx="713">
                  <c:v>36.716600000000803</c:v>
                </c:pt>
                <c:pt idx="714">
                  <c:v>36.716700000000806</c:v>
                </c:pt>
                <c:pt idx="715">
                  <c:v>36.716800000000809</c:v>
                </c:pt>
                <c:pt idx="716">
                  <c:v>36.716900000000813</c:v>
                </c:pt>
                <c:pt idx="717">
                  <c:v>36.717000000000816</c:v>
                </c:pt>
                <c:pt idx="718">
                  <c:v>36.717100000000819</c:v>
                </c:pt>
                <c:pt idx="719">
                  <c:v>36.717200000000823</c:v>
                </c:pt>
                <c:pt idx="720">
                  <c:v>36.717300000000826</c:v>
                </c:pt>
                <c:pt idx="721">
                  <c:v>36.717400000000829</c:v>
                </c:pt>
                <c:pt idx="722">
                  <c:v>36.717500000000832</c:v>
                </c:pt>
                <c:pt idx="723">
                  <c:v>36.717600000000836</c:v>
                </c:pt>
                <c:pt idx="724">
                  <c:v>36.717700000000839</c:v>
                </c:pt>
                <c:pt idx="725">
                  <c:v>36.717800000000842</c:v>
                </c:pt>
                <c:pt idx="726">
                  <c:v>36.717900000000846</c:v>
                </c:pt>
                <c:pt idx="727">
                  <c:v>36.718000000000849</c:v>
                </c:pt>
                <c:pt idx="728">
                  <c:v>36.718100000000852</c:v>
                </c:pt>
                <c:pt idx="729">
                  <c:v>36.718200000000856</c:v>
                </c:pt>
                <c:pt idx="730">
                  <c:v>36.718300000000859</c:v>
                </c:pt>
                <c:pt idx="731">
                  <c:v>36.718400000000862</c:v>
                </c:pt>
                <c:pt idx="732">
                  <c:v>36.718500000000866</c:v>
                </c:pt>
                <c:pt idx="733">
                  <c:v>36.718600000000869</c:v>
                </c:pt>
                <c:pt idx="734">
                  <c:v>36.718700000000872</c:v>
                </c:pt>
                <c:pt idx="735">
                  <c:v>36.718800000000876</c:v>
                </c:pt>
                <c:pt idx="736">
                  <c:v>36.718900000000879</c:v>
                </c:pt>
                <c:pt idx="737">
                  <c:v>36.719000000000882</c:v>
                </c:pt>
                <c:pt idx="738">
                  <c:v>36.719100000000886</c:v>
                </c:pt>
                <c:pt idx="739">
                  <c:v>36.719200000000889</c:v>
                </c:pt>
                <c:pt idx="740">
                  <c:v>36.719300000000892</c:v>
                </c:pt>
                <c:pt idx="741">
                  <c:v>36.719400000000896</c:v>
                </c:pt>
                <c:pt idx="742">
                  <c:v>36.719500000000899</c:v>
                </c:pt>
                <c:pt idx="743">
                  <c:v>36.719600000000902</c:v>
                </c:pt>
                <c:pt idx="744">
                  <c:v>36.719700000000906</c:v>
                </c:pt>
                <c:pt idx="745">
                  <c:v>36.719800000000909</c:v>
                </c:pt>
                <c:pt idx="746">
                  <c:v>36.719900000000912</c:v>
                </c:pt>
                <c:pt idx="747">
                  <c:v>36.720000000000915</c:v>
                </c:pt>
                <c:pt idx="748">
                  <c:v>36.720100000000919</c:v>
                </c:pt>
                <c:pt idx="749">
                  <c:v>36.720200000000922</c:v>
                </c:pt>
                <c:pt idx="750">
                  <c:v>36.720300000000925</c:v>
                </c:pt>
                <c:pt idx="751">
                  <c:v>36.720400000000929</c:v>
                </c:pt>
                <c:pt idx="752">
                  <c:v>36.720500000000932</c:v>
                </c:pt>
                <c:pt idx="753">
                  <c:v>36.720600000000935</c:v>
                </c:pt>
                <c:pt idx="754">
                  <c:v>36.720700000000939</c:v>
                </c:pt>
                <c:pt idx="755">
                  <c:v>36.720800000000942</c:v>
                </c:pt>
                <c:pt idx="756">
                  <c:v>36.720900000000945</c:v>
                </c:pt>
                <c:pt idx="757">
                  <c:v>36.721000000000949</c:v>
                </c:pt>
                <c:pt idx="758">
                  <c:v>36.721100000000952</c:v>
                </c:pt>
                <c:pt idx="759">
                  <c:v>36.721200000000955</c:v>
                </c:pt>
                <c:pt idx="760">
                  <c:v>36.721300000000959</c:v>
                </c:pt>
                <c:pt idx="761">
                  <c:v>36.721400000000962</c:v>
                </c:pt>
                <c:pt idx="762">
                  <c:v>36.721500000000965</c:v>
                </c:pt>
                <c:pt idx="763">
                  <c:v>36.721600000000969</c:v>
                </c:pt>
                <c:pt idx="764">
                  <c:v>36.721700000000972</c:v>
                </c:pt>
                <c:pt idx="765">
                  <c:v>36.721800000000975</c:v>
                </c:pt>
                <c:pt idx="766">
                  <c:v>36.721900000000979</c:v>
                </c:pt>
                <c:pt idx="767">
                  <c:v>36.722000000000982</c:v>
                </c:pt>
                <c:pt idx="768">
                  <c:v>36.722100000000985</c:v>
                </c:pt>
                <c:pt idx="769">
                  <c:v>36.722200000000988</c:v>
                </c:pt>
                <c:pt idx="770">
                  <c:v>36.722300000000992</c:v>
                </c:pt>
                <c:pt idx="771">
                  <c:v>36.722400000000995</c:v>
                </c:pt>
                <c:pt idx="772">
                  <c:v>36.722500000000998</c:v>
                </c:pt>
                <c:pt idx="773">
                  <c:v>36.722600000001002</c:v>
                </c:pt>
                <c:pt idx="774">
                  <c:v>36.722700000001005</c:v>
                </c:pt>
                <c:pt idx="775">
                  <c:v>36.722800000001008</c:v>
                </c:pt>
                <c:pt idx="776">
                  <c:v>36.722900000001012</c:v>
                </c:pt>
                <c:pt idx="777">
                  <c:v>36.723000000001015</c:v>
                </c:pt>
                <c:pt idx="778">
                  <c:v>36.723100000001018</c:v>
                </c:pt>
                <c:pt idx="779">
                  <c:v>36.723200000001022</c:v>
                </c:pt>
                <c:pt idx="780">
                  <c:v>36.723300000001025</c:v>
                </c:pt>
                <c:pt idx="781">
                  <c:v>36.723400000001028</c:v>
                </c:pt>
                <c:pt idx="782">
                  <c:v>36.723500000001032</c:v>
                </c:pt>
                <c:pt idx="783">
                  <c:v>36.723600000001035</c:v>
                </c:pt>
                <c:pt idx="784">
                  <c:v>36.723700000001038</c:v>
                </c:pt>
                <c:pt idx="785">
                  <c:v>36.723800000001042</c:v>
                </c:pt>
                <c:pt idx="786">
                  <c:v>36.723900000001045</c:v>
                </c:pt>
                <c:pt idx="787">
                  <c:v>36.724000000001048</c:v>
                </c:pt>
                <c:pt idx="788">
                  <c:v>36.724100000001052</c:v>
                </c:pt>
                <c:pt idx="789">
                  <c:v>36.724200000001055</c:v>
                </c:pt>
                <c:pt idx="790">
                  <c:v>36.724300000001058</c:v>
                </c:pt>
                <c:pt idx="791">
                  <c:v>36.724400000001062</c:v>
                </c:pt>
                <c:pt idx="792">
                  <c:v>36.724500000001065</c:v>
                </c:pt>
                <c:pt idx="793">
                  <c:v>36.724600000001068</c:v>
                </c:pt>
                <c:pt idx="794">
                  <c:v>36.724700000001071</c:v>
                </c:pt>
                <c:pt idx="795">
                  <c:v>36.724800000001075</c:v>
                </c:pt>
                <c:pt idx="796">
                  <c:v>36.724900000001078</c:v>
                </c:pt>
                <c:pt idx="797">
                  <c:v>36.725000000001081</c:v>
                </c:pt>
                <c:pt idx="798">
                  <c:v>36.725100000001085</c:v>
                </c:pt>
                <c:pt idx="799">
                  <c:v>36.725200000001088</c:v>
                </c:pt>
                <c:pt idx="800">
                  <c:v>36.725300000001091</c:v>
                </c:pt>
                <c:pt idx="801">
                  <c:v>36.725400000001095</c:v>
                </c:pt>
                <c:pt idx="802">
                  <c:v>36.725500000001098</c:v>
                </c:pt>
                <c:pt idx="803">
                  <c:v>36.725600000001101</c:v>
                </c:pt>
                <c:pt idx="804">
                  <c:v>36.725700000001105</c:v>
                </c:pt>
                <c:pt idx="805">
                  <c:v>36.725800000001108</c:v>
                </c:pt>
                <c:pt idx="806">
                  <c:v>36.725900000001111</c:v>
                </c:pt>
                <c:pt idx="807">
                  <c:v>36.726000000001115</c:v>
                </c:pt>
                <c:pt idx="808">
                  <c:v>36.726100000001118</c:v>
                </c:pt>
                <c:pt idx="809">
                  <c:v>36.726200000001121</c:v>
                </c:pt>
                <c:pt idx="810">
                  <c:v>36.726300000001125</c:v>
                </c:pt>
                <c:pt idx="811">
                  <c:v>36.726400000001128</c:v>
                </c:pt>
                <c:pt idx="812">
                  <c:v>36.726500000001131</c:v>
                </c:pt>
                <c:pt idx="813">
                  <c:v>36.726600000001135</c:v>
                </c:pt>
                <c:pt idx="814">
                  <c:v>36.726700000001138</c:v>
                </c:pt>
                <c:pt idx="815">
                  <c:v>36.726800000001141</c:v>
                </c:pt>
                <c:pt idx="816">
                  <c:v>36.726900000001145</c:v>
                </c:pt>
                <c:pt idx="817">
                  <c:v>36.727000000001148</c:v>
                </c:pt>
                <c:pt idx="818">
                  <c:v>36.727100000001151</c:v>
                </c:pt>
                <c:pt idx="819">
                  <c:v>36.727200000001154</c:v>
                </c:pt>
                <c:pt idx="820">
                  <c:v>36.727300000001158</c:v>
                </c:pt>
                <c:pt idx="821">
                  <c:v>36.727400000001161</c:v>
                </c:pt>
                <c:pt idx="822">
                  <c:v>36.727500000001164</c:v>
                </c:pt>
                <c:pt idx="823">
                  <c:v>36.727600000001168</c:v>
                </c:pt>
                <c:pt idx="824">
                  <c:v>36.727700000001171</c:v>
                </c:pt>
                <c:pt idx="825">
                  <c:v>36.727800000001174</c:v>
                </c:pt>
                <c:pt idx="826">
                  <c:v>36.727900000001178</c:v>
                </c:pt>
                <c:pt idx="827">
                  <c:v>36.728000000001181</c:v>
                </c:pt>
                <c:pt idx="828">
                  <c:v>36.728100000001184</c:v>
                </c:pt>
                <c:pt idx="829">
                  <c:v>36.728200000001188</c:v>
                </c:pt>
                <c:pt idx="830">
                  <c:v>36.728300000001191</c:v>
                </c:pt>
                <c:pt idx="831">
                  <c:v>36.728400000001194</c:v>
                </c:pt>
                <c:pt idx="832">
                  <c:v>36.728500000001198</c:v>
                </c:pt>
                <c:pt idx="833">
                  <c:v>36.728600000001201</c:v>
                </c:pt>
                <c:pt idx="834">
                  <c:v>36.728700000001204</c:v>
                </c:pt>
                <c:pt idx="835">
                  <c:v>36.728800000001208</c:v>
                </c:pt>
                <c:pt idx="836">
                  <c:v>36.728900000001211</c:v>
                </c:pt>
                <c:pt idx="837">
                  <c:v>36.729000000001214</c:v>
                </c:pt>
                <c:pt idx="838">
                  <c:v>36.729100000001218</c:v>
                </c:pt>
                <c:pt idx="839">
                  <c:v>36.729200000001221</c:v>
                </c:pt>
                <c:pt idx="840">
                  <c:v>36.729300000001224</c:v>
                </c:pt>
                <c:pt idx="841">
                  <c:v>36.729400000001228</c:v>
                </c:pt>
                <c:pt idx="842">
                  <c:v>36.729500000001231</c:v>
                </c:pt>
                <c:pt idx="843">
                  <c:v>36.729600000001234</c:v>
                </c:pt>
                <c:pt idx="844">
                  <c:v>36.729700000001237</c:v>
                </c:pt>
                <c:pt idx="845">
                  <c:v>36.729800000001241</c:v>
                </c:pt>
                <c:pt idx="846">
                  <c:v>36.729900000001244</c:v>
                </c:pt>
                <c:pt idx="847">
                  <c:v>36.730000000001247</c:v>
                </c:pt>
                <c:pt idx="848">
                  <c:v>36.730100000001251</c:v>
                </c:pt>
                <c:pt idx="849">
                  <c:v>36.730200000001254</c:v>
                </c:pt>
                <c:pt idx="850">
                  <c:v>36.730300000001257</c:v>
                </c:pt>
                <c:pt idx="851">
                  <c:v>36.730400000001261</c:v>
                </c:pt>
                <c:pt idx="852">
                  <c:v>36.730500000001264</c:v>
                </c:pt>
                <c:pt idx="853">
                  <c:v>36.730600000001267</c:v>
                </c:pt>
                <c:pt idx="854">
                  <c:v>36.730700000001271</c:v>
                </c:pt>
                <c:pt idx="855">
                  <c:v>36.730800000001274</c:v>
                </c:pt>
                <c:pt idx="856">
                  <c:v>36.730900000001277</c:v>
                </c:pt>
                <c:pt idx="857">
                  <c:v>36.731000000001281</c:v>
                </c:pt>
                <c:pt idx="858">
                  <c:v>36.731100000001284</c:v>
                </c:pt>
                <c:pt idx="859">
                  <c:v>36.731200000001287</c:v>
                </c:pt>
                <c:pt idx="860">
                  <c:v>36.731300000001291</c:v>
                </c:pt>
                <c:pt idx="861">
                  <c:v>36.731400000001294</c:v>
                </c:pt>
                <c:pt idx="862">
                  <c:v>36.731500000001297</c:v>
                </c:pt>
                <c:pt idx="863">
                  <c:v>36.731600000001301</c:v>
                </c:pt>
                <c:pt idx="864">
                  <c:v>36.731700000001304</c:v>
                </c:pt>
                <c:pt idx="865">
                  <c:v>36.731800000001307</c:v>
                </c:pt>
                <c:pt idx="866">
                  <c:v>36.731900000001311</c:v>
                </c:pt>
                <c:pt idx="867">
                  <c:v>36.732000000001314</c:v>
                </c:pt>
                <c:pt idx="868">
                  <c:v>36.732100000001317</c:v>
                </c:pt>
                <c:pt idx="869">
                  <c:v>36.73220000000132</c:v>
                </c:pt>
                <c:pt idx="870">
                  <c:v>36.732300000001324</c:v>
                </c:pt>
                <c:pt idx="871">
                  <c:v>36.732400000001327</c:v>
                </c:pt>
                <c:pt idx="872">
                  <c:v>36.73250000000133</c:v>
                </c:pt>
                <c:pt idx="873">
                  <c:v>36.732600000001334</c:v>
                </c:pt>
                <c:pt idx="874">
                  <c:v>36.732700000001337</c:v>
                </c:pt>
                <c:pt idx="875">
                  <c:v>36.73280000000134</c:v>
                </c:pt>
                <c:pt idx="876">
                  <c:v>36.732900000001344</c:v>
                </c:pt>
                <c:pt idx="877">
                  <c:v>36.733000000001347</c:v>
                </c:pt>
                <c:pt idx="878">
                  <c:v>36.73310000000135</c:v>
                </c:pt>
                <c:pt idx="879">
                  <c:v>36.733200000001354</c:v>
                </c:pt>
                <c:pt idx="880">
                  <c:v>36.733300000001357</c:v>
                </c:pt>
                <c:pt idx="881">
                  <c:v>36.73340000000136</c:v>
                </c:pt>
                <c:pt idx="882">
                  <c:v>36.733500000001364</c:v>
                </c:pt>
                <c:pt idx="883">
                  <c:v>36.733600000001367</c:v>
                </c:pt>
                <c:pt idx="884">
                  <c:v>36.73370000000137</c:v>
                </c:pt>
                <c:pt idx="885">
                  <c:v>36.733800000001374</c:v>
                </c:pt>
                <c:pt idx="886">
                  <c:v>36.733900000001377</c:v>
                </c:pt>
                <c:pt idx="887">
                  <c:v>36.73400000000138</c:v>
                </c:pt>
                <c:pt idx="888">
                  <c:v>36.734100000001384</c:v>
                </c:pt>
                <c:pt idx="889">
                  <c:v>36.734200000001387</c:v>
                </c:pt>
                <c:pt idx="890">
                  <c:v>36.73430000000139</c:v>
                </c:pt>
                <c:pt idx="891">
                  <c:v>36.734400000001393</c:v>
                </c:pt>
                <c:pt idx="892">
                  <c:v>36.734500000001397</c:v>
                </c:pt>
                <c:pt idx="893">
                  <c:v>36.7346000000014</c:v>
                </c:pt>
                <c:pt idx="894">
                  <c:v>36.734700000001403</c:v>
                </c:pt>
                <c:pt idx="895">
                  <c:v>36.734800000001407</c:v>
                </c:pt>
                <c:pt idx="896">
                  <c:v>36.73490000000141</c:v>
                </c:pt>
                <c:pt idx="897">
                  <c:v>36.735000000001413</c:v>
                </c:pt>
                <c:pt idx="898">
                  <c:v>36.735100000001417</c:v>
                </c:pt>
                <c:pt idx="899">
                  <c:v>36.73520000000142</c:v>
                </c:pt>
                <c:pt idx="900">
                  <c:v>36.735300000001423</c:v>
                </c:pt>
                <c:pt idx="901">
                  <c:v>36.735400000001427</c:v>
                </c:pt>
                <c:pt idx="902">
                  <c:v>36.73550000000143</c:v>
                </c:pt>
                <c:pt idx="903">
                  <c:v>36.735600000001433</c:v>
                </c:pt>
                <c:pt idx="904">
                  <c:v>36.735700000001437</c:v>
                </c:pt>
                <c:pt idx="905">
                  <c:v>36.73580000000144</c:v>
                </c:pt>
                <c:pt idx="906">
                  <c:v>36.735900000001443</c:v>
                </c:pt>
                <c:pt idx="907">
                  <c:v>36.736000000001447</c:v>
                </c:pt>
                <c:pt idx="908">
                  <c:v>36.73610000000145</c:v>
                </c:pt>
                <c:pt idx="909">
                  <c:v>36.736200000001453</c:v>
                </c:pt>
                <c:pt idx="910">
                  <c:v>36.736300000001457</c:v>
                </c:pt>
                <c:pt idx="911">
                  <c:v>36.73640000000146</c:v>
                </c:pt>
                <c:pt idx="912">
                  <c:v>36.736500000001463</c:v>
                </c:pt>
                <c:pt idx="913">
                  <c:v>36.736600000001467</c:v>
                </c:pt>
                <c:pt idx="914">
                  <c:v>36.73670000000147</c:v>
                </c:pt>
                <c:pt idx="915">
                  <c:v>36.736800000001473</c:v>
                </c:pt>
                <c:pt idx="916">
                  <c:v>36.736900000001476</c:v>
                </c:pt>
                <c:pt idx="917">
                  <c:v>36.73700000000148</c:v>
                </c:pt>
                <c:pt idx="918">
                  <c:v>36.737100000001483</c:v>
                </c:pt>
                <c:pt idx="919">
                  <c:v>36.737200000001486</c:v>
                </c:pt>
                <c:pt idx="920">
                  <c:v>36.73730000000149</c:v>
                </c:pt>
                <c:pt idx="921">
                  <c:v>36.737400000001493</c:v>
                </c:pt>
                <c:pt idx="922">
                  <c:v>36.737500000001496</c:v>
                </c:pt>
                <c:pt idx="923">
                  <c:v>36.7376000000015</c:v>
                </c:pt>
                <c:pt idx="924">
                  <c:v>36.737700000001503</c:v>
                </c:pt>
                <c:pt idx="925">
                  <c:v>36.737800000001506</c:v>
                </c:pt>
                <c:pt idx="926">
                  <c:v>36.73790000000151</c:v>
                </c:pt>
                <c:pt idx="927">
                  <c:v>36.738000000001513</c:v>
                </c:pt>
                <c:pt idx="928">
                  <c:v>36.738100000001516</c:v>
                </c:pt>
                <c:pt idx="929">
                  <c:v>36.73820000000152</c:v>
                </c:pt>
                <c:pt idx="930">
                  <c:v>36.738300000001523</c:v>
                </c:pt>
                <c:pt idx="931">
                  <c:v>36.738400000001526</c:v>
                </c:pt>
                <c:pt idx="932">
                  <c:v>36.73850000000153</c:v>
                </c:pt>
                <c:pt idx="933">
                  <c:v>36.738600000001533</c:v>
                </c:pt>
                <c:pt idx="934">
                  <c:v>36.738700000001536</c:v>
                </c:pt>
                <c:pt idx="935">
                  <c:v>36.73880000000154</c:v>
                </c:pt>
                <c:pt idx="936">
                  <c:v>36.738900000001543</c:v>
                </c:pt>
                <c:pt idx="937">
                  <c:v>36.739000000001546</c:v>
                </c:pt>
                <c:pt idx="938">
                  <c:v>36.73910000000155</c:v>
                </c:pt>
                <c:pt idx="939">
                  <c:v>36.739200000001553</c:v>
                </c:pt>
                <c:pt idx="940">
                  <c:v>36.739300000001556</c:v>
                </c:pt>
                <c:pt idx="941">
                  <c:v>36.739400000001559</c:v>
                </c:pt>
                <c:pt idx="942">
                  <c:v>36.739500000001563</c:v>
                </c:pt>
                <c:pt idx="943">
                  <c:v>36.739600000001566</c:v>
                </c:pt>
                <c:pt idx="944">
                  <c:v>36.739700000001569</c:v>
                </c:pt>
                <c:pt idx="945">
                  <c:v>36.739800000001573</c:v>
                </c:pt>
                <c:pt idx="946">
                  <c:v>36.739900000001576</c:v>
                </c:pt>
                <c:pt idx="947">
                  <c:v>36.740000000001579</c:v>
                </c:pt>
                <c:pt idx="948">
                  <c:v>36.740100000001583</c:v>
                </c:pt>
                <c:pt idx="949">
                  <c:v>36.740200000001586</c:v>
                </c:pt>
                <c:pt idx="950">
                  <c:v>36.740300000001589</c:v>
                </c:pt>
                <c:pt idx="951">
                  <c:v>36.740400000001593</c:v>
                </c:pt>
                <c:pt idx="952">
                  <c:v>36.740500000001596</c:v>
                </c:pt>
                <c:pt idx="953">
                  <c:v>36.740600000001599</c:v>
                </c:pt>
                <c:pt idx="954">
                  <c:v>36.740700000001603</c:v>
                </c:pt>
                <c:pt idx="955">
                  <c:v>36.740800000001606</c:v>
                </c:pt>
                <c:pt idx="956">
                  <c:v>36.740900000001609</c:v>
                </c:pt>
                <c:pt idx="957">
                  <c:v>36.741000000001613</c:v>
                </c:pt>
                <c:pt idx="958">
                  <c:v>36.741100000001616</c:v>
                </c:pt>
                <c:pt idx="959">
                  <c:v>36.741200000001619</c:v>
                </c:pt>
                <c:pt idx="960">
                  <c:v>36.741300000001623</c:v>
                </c:pt>
                <c:pt idx="961">
                  <c:v>36.741400000001626</c:v>
                </c:pt>
                <c:pt idx="962">
                  <c:v>36.741500000001629</c:v>
                </c:pt>
                <c:pt idx="963">
                  <c:v>36.741600000001633</c:v>
                </c:pt>
                <c:pt idx="964">
                  <c:v>36.741700000001636</c:v>
                </c:pt>
                <c:pt idx="965">
                  <c:v>36.741800000001639</c:v>
                </c:pt>
                <c:pt idx="966">
                  <c:v>36.741900000001642</c:v>
                </c:pt>
                <c:pt idx="967">
                  <c:v>36.742000000001646</c:v>
                </c:pt>
                <c:pt idx="968">
                  <c:v>36.742100000001649</c:v>
                </c:pt>
                <c:pt idx="969">
                  <c:v>36.742200000001652</c:v>
                </c:pt>
                <c:pt idx="970">
                  <c:v>36.742300000001656</c:v>
                </c:pt>
                <c:pt idx="971">
                  <c:v>36.742400000001659</c:v>
                </c:pt>
                <c:pt idx="972">
                  <c:v>36.742500000001662</c:v>
                </c:pt>
                <c:pt idx="973">
                  <c:v>36.742600000001666</c:v>
                </c:pt>
                <c:pt idx="974">
                  <c:v>36.742700000001669</c:v>
                </c:pt>
                <c:pt idx="975">
                  <c:v>36.742800000001672</c:v>
                </c:pt>
                <c:pt idx="976">
                  <c:v>36.742900000001676</c:v>
                </c:pt>
                <c:pt idx="977">
                  <c:v>36.743000000001679</c:v>
                </c:pt>
                <c:pt idx="978">
                  <c:v>36.743100000001682</c:v>
                </c:pt>
                <c:pt idx="979">
                  <c:v>36.743200000001686</c:v>
                </c:pt>
                <c:pt idx="980">
                  <c:v>36.743300000001689</c:v>
                </c:pt>
                <c:pt idx="981">
                  <c:v>36.743400000001692</c:v>
                </c:pt>
                <c:pt idx="982">
                  <c:v>36.743500000001696</c:v>
                </c:pt>
                <c:pt idx="983">
                  <c:v>36.743600000001699</c:v>
                </c:pt>
                <c:pt idx="984">
                  <c:v>36.743700000001702</c:v>
                </c:pt>
                <c:pt idx="985">
                  <c:v>36.743800000001706</c:v>
                </c:pt>
                <c:pt idx="986">
                  <c:v>36.743900000001709</c:v>
                </c:pt>
                <c:pt idx="987">
                  <c:v>36.744000000001712</c:v>
                </c:pt>
                <c:pt idx="988">
                  <c:v>36.744100000001716</c:v>
                </c:pt>
                <c:pt idx="989">
                  <c:v>36.744200000001719</c:v>
                </c:pt>
                <c:pt idx="990">
                  <c:v>36.744300000001722</c:v>
                </c:pt>
                <c:pt idx="991">
                  <c:v>36.744400000001725</c:v>
                </c:pt>
                <c:pt idx="992">
                  <c:v>36.744500000001729</c:v>
                </c:pt>
                <c:pt idx="993">
                  <c:v>36.744600000001732</c:v>
                </c:pt>
                <c:pt idx="994">
                  <c:v>36.744700000001735</c:v>
                </c:pt>
                <c:pt idx="995">
                  <c:v>36.744800000001739</c:v>
                </c:pt>
                <c:pt idx="996">
                  <c:v>36.744900000001742</c:v>
                </c:pt>
                <c:pt idx="997">
                  <c:v>36.745000000001745</c:v>
                </c:pt>
                <c:pt idx="998">
                  <c:v>36.745100000001749</c:v>
                </c:pt>
                <c:pt idx="999">
                  <c:v>36.745200000001752</c:v>
                </c:pt>
                <c:pt idx="1000">
                  <c:v>36.745300000001755</c:v>
                </c:pt>
              </c:numCache>
            </c:numRef>
          </c:xVal>
          <c:yVal>
            <c:numRef>
              <c:f>Calculs!$Q$4:$Q$1004</c:f>
              <c:numCache>
                <c:formatCode>0.00</c:formatCode>
                <c:ptCount val="1001"/>
                <c:pt idx="0">
                  <c:v>0</c:v>
                </c:pt>
                <c:pt idx="1">
                  <c:v>246.125</c:v>
                </c:pt>
                <c:pt idx="2">
                  <c:v>930.85500000000002</c:v>
                </c:pt>
                <c:pt idx="3">
                  <c:v>1347.2183333333335</c:v>
                </c:pt>
                <c:pt idx="4">
                  <c:v>1302.7349999999999</c:v>
                </c:pt>
                <c:pt idx="5">
                  <c:v>1258.2516666666666</c:v>
                </c:pt>
                <c:pt idx="6">
                  <c:v>1240.356</c:v>
                </c:pt>
                <c:pt idx="7">
                  <c:v>1249.048</c:v>
                </c:pt>
                <c:pt idx="8">
                  <c:v>1257.74</c:v>
                </c:pt>
                <c:pt idx="9">
                  <c:v>1266.432</c:v>
                </c:pt>
                <c:pt idx="10">
                  <c:v>1275.124</c:v>
                </c:pt>
                <c:pt idx="11">
                  <c:v>1281.066</c:v>
                </c:pt>
                <c:pt idx="12">
                  <c:v>1284.258</c:v>
                </c:pt>
                <c:pt idx="13">
                  <c:v>1287.45</c:v>
                </c:pt>
                <c:pt idx="14">
                  <c:v>1290.6420000000001</c:v>
                </c:pt>
                <c:pt idx="15">
                  <c:v>1293.8340000000001</c:v>
                </c:pt>
                <c:pt idx="16">
                  <c:v>1297.0260000000001</c:v>
                </c:pt>
                <c:pt idx="17">
                  <c:v>1300.2180000000001</c:v>
                </c:pt>
                <c:pt idx="18">
                  <c:v>1303.4100000000001</c:v>
                </c:pt>
                <c:pt idx="19">
                  <c:v>1306.6020000000001</c:v>
                </c:pt>
                <c:pt idx="20">
                  <c:v>1309.7940000000001</c:v>
                </c:pt>
                <c:pt idx="21">
                  <c:v>1311.89</c:v>
                </c:pt>
                <c:pt idx="22">
                  <c:v>1312.89</c:v>
                </c:pt>
                <c:pt idx="23">
                  <c:v>1313.89</c:v>
                </c:pt>
                <c:pt idx="24">
                  <c:v>1314.89</c:v>
                </c:pt>
                <c:pt idx="25">
                  <c:v>1315.89</c:v>
                </c:pt>
                <c:pt idx="26">
                  <c:v>1316.89</c:v>
                </c:pt>
                <c:pt idx="27">
                  <c:v>1317.89</c:v>
                </c:pt>
                <c:pt idx="28">
                  <c:v>1318.89</c:v>
                </c:pt>
                <c:pt idx="29">
                  <c:v>1319.89</c:v>
                </c:pt>
                <c:pt idx="30">
                  <c:v>1320.89</c:v>
                </c:pt>
                <c:pt idx="31">
                  <c:v>1321.89</c:v>
                </c:pt>
                <c:pt idx="32">
                  <c:v>1322.89</c:v>
                </c:pt>
                <c:pt idx="33">
                  <c:v>1323.89</c:v>
                </c:pt>
                <c:pt idx="34">
                  <c:v>1324.89</c:v>
                </c:pt>
                <c:pt idx="35">
                  <c:v>1325.89</c:v>
                </c:pt>
                <c:pt idx="36">
                  <c:v>1326.89</c:v>
                </c:pt>
                <c:pt idx="37">
                  <c:v>1327.89</c:v>
                </c:pt>
                <c:pt idx="38">
                  <c:v>1328.89</c:v>
                </c:pt>
                <c:pt idx="39">
                  <c:v>1329.89</c:v>
                </c:pt>
                <c:pt idx="40">
                  <c:v>1330.89</c:v>
                </c:pt>
                <c:pt idx="41">
                  <c:v>1331.0486250000001</c:v>
                </c:pt>
                <c:pt idx="42">
                  <c:v>1330.3658750000002</c:v>
                </c:pt>
                <c:pt idx="43">
                  <c:v>1329.683125</c:v>
                </c:pt>
                <c:pt idx="44">
                  <c:v>1329.0003750000001</c:v>
                </c:pt>
                <c:pt idx="45">
                  <c:v>1328.3176250000001</c:v>
                </c:pt>
                <c:pt idx="46">
                  <c:v>1327.634875</c:v>
                </c:pt>
                <c:pt idx="47">
                  <c:v>1326.952125</c:v>
                </c:pt>
                <c:pt idx="48">
                  <c:v>1326.2693750000001</c:v>
                </c:pt>
                <c:pt idx="49">
                  <c:v>1325.5866250000001</c:v>
                </c:pt>
                <c:pt idx="50">
                  <c:v>1324.903875</c:v>
                </c:pt>
                <c:pt idx="51">
                  <c:v>1324.221125</c:v>
                </c:pt>
                <c:pt idx="52">
                  <c:v>1323.5383750000001</c:v>
                </c:pt>
                <c:pt idx="53">
                  <c:v>1322.8556249999999</c:v>
                </c:pt>
                <c:pt idx="54">
                  <c:v>1322.172875</c:v>
                </c:pt>
                <c:pt idx="55">
                  <c:v>1321.490125</c:v>
                </c:pt>
                <c:pt idx="56">
                  <c:v>1320.8073750000001</c:v>
                </c:pt>
                <c:pt idx="57">
                  <c:v>1320.1246249999999</c:v>
                </c:pt>
                <c:pt idx="58">
                  <c:v>1319.441875</c:v>
                </c:pt>
                <c:pt idx="59">
                  <c:v>1318.759125</c:v>
                </c:pt>
                <c:pt idx="60">
                  <c:v>1318.0763750000001</c:v>
                </c:pt>
                <c:pt idx="61">
                  <c:v>1317.3936249999999</c:v>
                </c:pt>
                <c:pt idx="62">
                  <c:v>1316.710875</c:v>
                </c:pt>
                <c:pt idx="63">
                  <c:v>1316.028125</c:v>
                </c:pt>
                <c:pt idx="64">
                  <c:v>1315.3453749999999</c:v>
                </c:pt>
                <c:pt idx="65">
                  <c:v>1314.6626249999999</c:v>
                </c:pt>
                <c:pt idx="66">
                  <c:v>1313.979875</c:v>
                </c:pt>
                <c:pt idx="67">
                  <c:v>1313.2971250000001</c:v>
                </c:pt>
                <c:pt idx="68">
                  <c:v>1312.6143749999999</c:v>
                </c:pt>
                <c:pt idx="69">
                  <c:v>1311.9316249999999</c:v>
                </c:pt>
                <c:pt idx="70">
                  <c:v>1311.248875</c:v>
                </c:pt>
                <c:pt idx="71">
                  <c:v>1310.5661249999998</c:v>
                </c:pt>
                <c:pt idx="72">
                  <c:v>1309.8833749999999</c:v>
                </c:pt>
                <c:pt idx="73">
                  <c:v>1309.2006249999999</c:v>
                </c:pt>
                <c:pt idx="74">
                  <c:v>1308.517875</c:v>
                </c:pt>
                <c:pt idx="75">
                  <c:v>1307.8351249999998</c:v>
                </c:pt>
                <c:pt idx="76">
                  <c:v>1307.1523749999999</c:v>
                </c:pt>
                <c:pt idx="77">
                  <c:v>1306.469625</c:v>
                </c:pt>
                <c:pt idx="78">
                  <c:v>1305.786875</c:v>
                </c:pt>
                <c:pt idx="79">
                  <c:v>1305.1041249999998</c:v>
                </c:pt>
                <c:pt idx="80">
                  <c:v>1304.4213749999999</c:v>
                </c:pt>
                <c:pt idx="81">
                  <c:v>1302.9069999999999</c:v>
                </c:pt>
                <c:pt idx="82">
                  <c:v>1300.5609999999999</c:v>
                </c:pt>
                <c:pt idx="83">
                  <c:v>1298.2149999999999</c:v>
                </c:pt>
                <c:pt idx="84">
                  <c:v>1295.8689999999997</c:v>
                </c:pt>
                <c:pt idx="85">
                  <c:v>1293.5229999999997</c:v>
                </c:pt>
                <c:pt idx="86">
                  <c:v>1291.1769999999997</c:v>
                </c:pt>
                <c:pt idx="87">
                  <c:v>1288.8309999999997</c:v>
                </c:pt>
                <c:pt idx="88">
                  <c:v>1286.4849999999997</c:v>
                </c:pt>
                <c:pt idx="89">
                  <c:v>1284.1389999999997</c:v>
                </c:pt>
                <c:pt idx="90">
                  <c:v>1281.7929999999997</c:v>
                </c:pt>
                <c:pt idx="91">
                  <c:v>1279.0819999999997</c:v>
                </c:pt>
                <c:pt idx="92">
                  <c:v>1276.0059999999996</c:v>
                </c:pt>
                <c:pt idx="93">
                  <c:v>1272.9299999999996</c:v>
                </c:pt>
                <c:pt idx="94">
                  <c:v>1269.8539999999998</c:v>
                </c:pt>
                <c:pt idx="95">
                  <c:v>1266.7779999999998</c:v>
                </c:pt>
                <c:pt idx="96">
                  <c:v>1263.7019999999998</c:v>
                </c:pt>
                <c:pt idx="97">
                  <c:v>1260.6259999999997</c:v>
                </c:pt>
                <c:pt idx="98">
                  <c:v>1257.5499999999997</c:v>
                </c:pt>
                <c:pt idx="99">
                  <c:v>1254.4739999999997</c:v>
                </c:pt>
                <c:pt idx="100">
                  <c:v>1251.3979999999997</c:v>
                </c:pt>
                <c:pt idx="101">
                  <c:v>1248.2639999999997</c:v>
                </c:pt>
                <c:pt idx="102">
                  <c:v>1245.0719999999997</c:v>
                </c:pt>
                <c:pt idx="103">
                  <c:v>1241.8799999999997</c:v>
                </c:pt>
                <c:pt idx="104">
                  <c:v>1238.6879999999996</c:v>
                </c:pt>
                <c:pt idx="105">
                  <c:v>1235.4959999999996</c:v>
                </c:pt>
                <c:pt idx="106">
                  <c:v>1232.3039999999996</c:v>
                </c:pt>
                <c:pt idx="107">
                  <c:v>1229.1119999999999</c:v>
                </c:pt>
                <c:pt idx="108">
                  <c:v>1225.9199999999998</c:v>
                </c:pt>
                <c:pt idx="109">
                  <c:v>1222.7279999999998</c:v>
                </c:pt>
                <c:pt idx="110">
                  <c:v>1219.5359999999998</c:v>
                </c:pt>
                <c:pt idx="111">
                  <c:v>1217.0074999999999</c:v>
                </c:pt>
                <c:pt idx="112">
                  <c:v>1215.1424999999999</c:v>
                </c:pt>
                <c:pt idx="113">
                  <c:v>1213.2774999999999</c:v>
                </c:pt>
                <c:pt idx="114">
                  <c:v>1211.4124999999999</c:v>
                </c:pt>
                <c:pt idx="115">
                  <c:v>1209.5474999999999</c:v>
                </c:pt>
                <c:pt idx="116">
                  <c:v>1207.6824999999999</c:v>
                </c:pt>
                <c:pt idx="117">
                  <c:v>1205.8174999999999</c:v>
                </c:pt>
                <c:pt idx="118">
                  <c:v>1203.9524999999999</c:v>
                </c:pt>
                <c:pt idx="119">
                  <c:v>1202.0874999999999</c:v>
                </c:pt>
                <c:pt idx="120">
                  <c:v>1200.2224999999999</c:v>
                </c:pt>
                <c:pt idx="121">
                  <c:v>1197.2639999999997</c:v>
                </c:pt>
                <c:pt idx="122">
                  <c:v>1193.2119999999995</c:v>
                </c:pt>
                <c:pt idx="123">
                  <c:v>1189.1599999999996</c:v>
                </c:pt>
                <c:pt idx="124">
                  <c:v>1185.1079999999995</c:v>
                </c:pt>
                <c:pt idx="125">
                  <c:v>1181.0559999999996</c:v>
                </c:pt>
                <c:pt idx="126">
                  <c:v>1177.0039999999997</c:v>
                </c:pt>
                <c:pt idx="127">
                  <c:v>1172.9519999999995</c:v>
                </c:pt>
                <c:pt idx="128">
                  <c:v>1168.8999999999996</c:v>
                </c:pt>
                <c:pt idx="129">
                  <c:v>1164.8479999999995</c:v>
                </c:pt>
                <c:pt idx="130">
                  <c:v>1160.7959999999996</c:v>
                </c:pt>
                <c:pt idx="131">
                  <c:v>1156.4594999999995</c:v>
                </c:pt>
                <c:pt idx="132">
                  <c:v>1151.8384999999994</c:v>
                </c:pt>
                <c:pt idx="133">
                  <c:v>1147.2174999999995</c:v>
                </c:pt>
                <c:pt idx="134">
                  <c:v>1142.5964999999994</c:v>
                </c:pt>
                <c:pt idx="135">
                  <c:v>1137.9754999999996</c:v>
                </c:pt>
                <c:pt idx="136">
                  <c:v>1133.3544999999995</c:v>
                </c:pt>
                <c:pt idx="137">
                  <c:v>1128.7334999999994</c:v>
                </c:pt>
                <c:pt idx="138">
                  <c:v>1124.1124999999995</c:v>
                </c:pt>
                <c:pt idx="139">
                  <c:v>1119.4914999999994</c:v>
                </c:pt>
                <c:pt idx="140">
                  <c:v>1114.8704999999993</c:v>
                </c:pt>
                <c:pt idx="141">
                  <c:v>1106.868333333332</c:v>
                </c:pt>
                <c:pt idx="142">
                  <c:v>1095.4849999999985</c:v>
                </c:pt>
                <c:pt idx="143">
                  <c:v>1084.1016666666653</c:v>
                </c:pt>
                <c:pt idx="144">
                  <c:v>1072.7183333333319</c:v>
                </c:pt>
                <c:pt idx="145">
                  <c:v>1061.3349999999984</c:v>
                </c:pt>
                <c:pt idx="146">
                  <c:v>1049.9516666666652</c:v>
                </c:pt>
                <c:pt idx="147">
                  <c:v>1038.5683333333318</c:v>
                </c:pt>
                <c:pt idx="148">
                  <c:v>1027.1849999999986</c:v>
                </c:pt>
                <c:pt idx="149">
                  <c:v>1015.8016666666653</c:v>
                </c:pt>
                <c:pt idx="150">
                  <c:v>1004.4183333333319</c:v>
                </c:pt>
                <c:pt idx="151">
                  <c:v>993.03499999999849</c:v>
                </c:pt>
                <c:pt idx="152">
                  <c:v>981.65166666666528</c:v>
                </c:pt>
                <c:pt idx="153">
                  <c:v>970.26833333333184</c:v>
                </c:pt>
                <c:pt idx="154">
                  <c:v>958.88499999999851</c:v>
                </c:pt>
                <c:pt idx="155">
                  <c:v>947.50166666666519</c:v>
                </c:pt>
                <c:pt idx="156">
                  <c:v>920.23599999999465</c:v>
                </c:pt>
                <c:pt idx="157">
                  <c:v>877.08799999999474</c:v>
                </c:pt>
                <c:pt idx="158">
                  <c:v>833.93999999999471</c:v>
                </c:pt>
                <c:pt idx="159">
                  <c:v>790.7919999999948</c:v>
                </c:pt>
                <c:pt idx="160">
                  <c:v>747.64399999999478</c:v>
                </c:pt>
                <c:pt idx="161">
                  <c:v>684.3449999999898</c:v>
                </c:pt>
                <c:pt idx="162">
                  <c:v>600.89499999998975</c:v>
                </c:pt>
                <c:pt idx="163">
                  <c:v>519.36499999998978</c:v>
                </c:pt>
                <c:pt idx="164">
                  <c:v>439.75499999998891</c:v>
                </c:pt>
                <c:pt idx="165">
                  <c:v>379.37749999999403</c:v>
                </c:pt>
                <c:pt idx="166">
                  <c:v>338.23249999999405</c:v>
                </c:pt>
                <c:pt idx="167">
                  <c:v>282.46999999998985</c:v>
                </c:pt>
                <c:pt idx="168">
                  <c:v>222.66499999999292</c:v>
                </c:pt>
                <c:pt idx="169">
                  <c:v>132.67499999998114</c:v>
                </c:pt>
                <c:pt idx="170">
                  <c:v>33.649999999990285</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numCache>
            </c:numRef>
          </c:yVal>
          <c:smooth val="0"/>
          <c:extLst>
            <c:ext xmlns:c16="http://schemas.microsoft.com/office/drawing/2014/chart" uri="{C3380CC4-5D6E-409C-BE32-E72D297353CC}">
              <c16:uniqueId val="{00000000-B98B-46BB-BB51-DAAA2071230C}"/>
            </c:ext>
          </c:extLst>
        </c:ser>
        <c:ser>
          <c:idx val="2"/>
          <c:order val="1"/>
          <c:tx>
            <c:strRef>
              <c:f>Courbes!$B$135</c:f>
              <c:strCache>
                <c:ptCount val="1"/>
                <c:pt idx="0">
                  <c:v>Poids</c:v>
                </c:pt>
              </c:strCache>
            </c:strRef>
          </c:tx>
          <c:spPr>
            <a:ln w="25400">
              <a:solidFill>
                <a:srgbClr val="0000FF"/>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2.1000000000000014</c:v>
                </c:pt>
                <c:pt idx="202">
                  <c:v>2.2000000000000015</c:v>
                </c:pt>
                <c:pt idx="203">
                  <c:v>2.3000000000000016</c:v>
                </c:pt>
                <c:pt idx="204">
                  <c:v>2.4000000000000017</c:v>
                </c:pt>
                <c:pt idx="205">
                  <c:v>2.5000000000000018</c:v>
                </c:pt>
                <c:pt idx="206">
                  <c:v>2.6000000000000019</c:v>
                </c:pt>
                <c:pt idx="207">
                  <c:v>2.700000000000002</c:v>
                </c:pt>
                <c:pt idx="208">
                  <c:v>2.800000000000002</c:v>
                </c:pt>
                <c:pt idx="209">
                  <c:v>2.9000000000000021</c:v>
                </c:pt>
                <c:pt idx="210">
                  <c:v>3.0000000000000022</c:v>
                </c:pt>
                <c:pt idx="211">
                  <c:v>3.1000000000000023</c:v>
                </c:pt>
                <c:pt idx="212">
                  <c:v>3.2000000000000024</c:v>
                </c:pt>
                <c:pt idx="213">
                  <c:v>3.3000000000000025</c:v>
                </c:pt>
                <c:pt idx="214">
                  <c:v>3.4000000000000026</c:v>
                </c:pt>
                <c:pt idx="215">
                  <c:v>3.5000000000000027</c:v>
                </c:pt>
                <c:pt idx="216">
                  <c:v>3.6000000000000028</c:v>
                </c:pt>
                <c:pt idx="217">
                  <c:v>3.7000000000000028</c:v>
                </c:pt>
                <c:pt idx="218">
                  <c:v>3.8000000000000029</c:v>
                </c:pt>
                <c:pt idx="219">
                  <c:v>3.900000000000003</c:v>
                </c:pt>
                <c:pt idx="220">
                  <c:v>4.0000000000000027</c:v>
                </c:pt>
                <c:pt idx="221">
                  <c:v>4.1000000000000023</c:v>
                </c:pt>
                <c:pt idx="222">
                  <c:v>4.200000000000002</c:v>
                </c:pt>
                <c:pt idx="223">
                  <c:v>4.3000000000000016</c:v>
                </c:pt>
                <c:pt idx="224">
                  <c:v>4.4000000000000012</c:v>
                </c:pt>
                <c:pt idx="225">
                  <c:v>4.5000000000000009</c:v>
                </c:pt>
                <c:pt idx="226">
                  <c:v>4.6000000000000005</c:v>
                </c:pt>
                <c:pt idx="227">
                  <c:v>4.7</c:v>
                </c:pt>
                <c:pt idx="228">
                  <c:v>4.8</c:v>
                </c:pt>
                <c:pt idx="229">
                  <c:v>4.8999999999999995</c:v>
                </c:pt>
                <c:pt idx="230">
                  <c:v>4.9999999999999991</c:v>
                </c:pt>
                <c:pt idx="231">
                  <c:v>5.0999999999999988</c:v>
                </c:pt>
                <c:pt idx="232">
                  <c:v>5.1999999999999984</c:v>
                </c:pt>
                <c:pt idx="233">
                  <c:v>5.299999999999998</c:v>
                </c:pt>
                <c:pt idx="234">
                  <c:v>5.3999999999999977</c:v>
                </c:pt>
                <c:pt idx="235">
                  <c:v>5.4999999999999973</c:v>
                </c:pt>
                <c:pt idx="236">
                  <c:v>5.599999999999997</c:v>
                </c:pt>
                <c:pt idx="237">
                  <c:v>5.6999999999999966</c:v>
                </c:pt>
                <c:pt idx="238">
                  <c:v>5.7999999999999963</c:v>
                </c:pt>
                <c:pt idx="239">
                  <c:v>5.8999999999999959</c:v>
                </c:pt>
                <c:pt idx="240">
                  <c:v>5.9999999999999956</c:v>
                </c:pt>
                <c:pt idx="241">
                  <c:v>6.0999999999999952</c:v>
                </c:pt>
                <c:pt idx="242">
                  <c:v>6.1999999999999948</c:v>
                </c:pt>
                <c:pt idx="243">
                  <c:v>6.2999999999999945</c:v>
                </c:pt>
                <c:pt idx="244">
                  <c:v>6.3999999999999941</c:v>
                </c:pt>
                <c:pt idx="245">
                  <c:v>6.4999999999999938</c:v>
                </c:pt>
                <c:pt idx="246">
                  <c:v>6.5999999999999934</c:v>
                </c:pt>
                <c:pt idx="247">
                  <c:v>6.6999999999999931</c:v>
                </c:pt>
                <c:pt idx="248">
                  <c:v>6.7999999999999927</c:v>
                </c:pt>
                <c:pt idx="249">
                  <c:v>6.8999999999999924</c:v>
                </c:pt>
                <c:pt idx="250">
                  <c:v>6.999999999999992</c:v>
                </c:pt>
                <c:pt idx="251">
                  <c:v>7.0999999999999917</c:v>
                </c:pt>
                <c:pt idx="252">
                  <c:v>7.1999999999999913</c:v>
                </c:pt>
                <c:pt idx="253">
                  <c:v>7.2999999999999909</c:v>
                </c:pt>
                <c:pt idx="254">
                  <c:v>7.3999999999999906</c:v>
                </c:pt>
                <c:pt idx="255">
                  <c:v>7.4999999999999902</c:v>
                </c:pt>
                <c:pt idx="256">
                  <c:v>7.5999999999999899</c:v>
                </c:pt>
                <c:pt idx="257">
                  <c:v>7.6999999999999895</c:v>
                </c:pt>
                <c:pt idx="258">
                  <c:v>7.7999999999999892</c:v>
                </c:pt>
                <c:pt idx="259">
                  <c:v>7.8999999999999888</c:v>
                </c:pt>
                <c:pt idx="260">
                  <c:v>7.9999999999999885</c:v>
                </c:pt>
                <c:pt idx="261">
                  <c:v>8.099999999999989</c:v>
                </c:pt>
                <c:pt idx="262">
                  <c:v>8.1999999999999886</c:v>
                </c:pt>
                <c:pt idx="263">
                  <c:v>8.2999999999999883</c:v>
                </c:pt>
                <c:pt idx="264">
                  <c:v>8.3999999999999879</c:v>
                </c:pt>
                <c:pt idx="265">
                  <c:v>8.4999999999999876</c:v>
                </c:pt>
                <c:pt idx="266">
                  <c:v>8.5999999999999872</c:v>
                </c:pt>
                <c:pt idx="267">
                  <c:v>8.6999999999999869</c:v>
                </c:pt>
                <c:pt idx="268">
                  <c:v>8.7999999999999865</c:v>
                </c:pt>
                <c:pt idx="269">
                  <c:v>8.8999999999999861</c:v>
                </c:pt>
                <c:pt idx="270">
                  <c:v>8.9999999999999858</c:v>
                </c:pt>
                <c:pt idx="271">
                  <c:v>9.0999999999999854</c:v>
                </c:pt>
                <c:pt idx="272">
                  <c:v>9.1999999999999851</c:v>
                </c:pt>
                <c:pt idx="273">
                  <c:v>9.2999999999999847</c:v>
                </c:pt>
                <c:pt idx="274">
                  <c:v>9.3999999999999844</c:v>
                </c:pt>
                <c:pt idx="275">
                  <c:v>9.499999999999984</c:v>
                </c:pt>
                <c:pt idx="276">
                  <c:v>9.5999999999999837</c:v>
                </c:pt>
                <c:pt idx="277">
                  <c:v>9.6999999999999833</c:v>
                </c:pt>
                <c:pt idx="278">
                  <c:v>9.7999999999999829</c:v>
                </c:pt>
                <c:pt idx="279">
                  <c:v>9.8999999999999826</c:v>
                </c:pt>
                <c:pt idx="280">
                  <c:v>9.9999999999999822</c:v>
                </c:pt>
                <c:pt idx="281">
                  <c:v>10.099999999999982</c:v>
                </c:pt>
                <c:pt idx="282">
                  <c:v>10.199999999999982</c:v>
                </c:pt>
                <c:pt idx="283">
                  <c:v>10.299999999999981</c:v>
                </c:pt>
                <c:pt idx="284">
                  <c:v>10.399999999999981</c:v>
                </c:pt>
                <c:pt idx="285">
                  <c:v>10.49999999999998</c:v>
                </c:pt>
                <c:pt idx="286">
                  <c:v>10.59999999999998</c:v>
                </c:pt>
                <c:pt idx="287">
                  <c:v>10.69999999999998</c:v>
                </c:pt>
                <c:pt idx="288">
                  <c:v>10.799999999999979</c:v>
                </c:pt>
                <c:pt idx="289">
                  <c:v>10.899999999999979</c:v>
                </c:pt>
                <c:pt idx="290">
                  <c:v>10.999999999999979</c:v>
                </c:pt>
                <c:pt idx="291">
                  <c:v>11.099999999999978</c:v>
                </c:pt>
                <c:pt idx="292">
                  <c:v>11.199999999999978</c:v>
                </c:pt>
                <c:pt idx="293">
                  <c:v>11.299999999999978</c:v>
                </c:pt>
                <c:pt idx="294">
                  <c:v>11.399999999999977</c:v>
                </c:pt>
                <c:pt idx="295">
                  <c:v>11.499999999999977</c:v>
                </c:pt>
                <c:pt idx="296">
                  <c:v>11.599999999999977</c:v>
                </c:pt>
                <c:pt idx="297">
                  <c:v>11.699999999999976</c:v>
                </c:pt>
                <c:pt idx="298">
                  <c:v>11.799999999999976</c:v>
                </c:pt>
                <c:pt idx="299">
                  <c:v>11.899999999999975</c:v>
                </c:pt>
                <c:pt idx="300">
                  <c:v>11.999999999999975</c:v>
                </c:pt>
                <c:pt idx="301">
                  <c:v>12.099999999999975</c:v>
                </c:pt>
                <c:pt idx="302">
                  <c:v>12.199999999999974</c:v>
                </c:pt>
                <c:pt idx="303">
                  <c:v>12.299999999999974</c:v>
                </c:pt>
                <c:pt idx="304">
                  <c:v>12.399999999999974</c:v>
                </c:pt>
                <c:pt idx="305">
                  <c:v>12.499999999999973</c:v>
                </c:pt>
                <c:pt idx="306">
                  <c:v>12.599999999999973</c:v>
                </c:pt>
                <c:pt idx="307">
                  <c:v>12.699999999999973</c:v>
                </c:pt>
                <c:pt idx="308">
                  <c:v>12.799999999999972</c:v>
                </c:pt>
                <c:pt idx="309">
                  <c:v>12.899999999999972</c:v>
                </c:pt>
                <c:pt idx="310">
                  <c:v>12.999999999999972</c:v>
                </c:pt>
                <c:pt idx="311">
                  <c:v>13.099999999999971</c:v>
                </c:pt>
                <c:pt idx="312">
                  <c:v>13.199999999999971</c:v>
                </c:pt>
                <c:pt idx="313">
                  <c:v>13.299999999999971</c:v>
                </c:pt>
                <c:pt idx="314">
                  <c:v>13.39999999999997</c:v>
                </c:pt>
                <c:pt idx="315">
                  <c:v>13.49999999999997</c:v>
                </c:pt>
                <c:pt idx="316">
                  <c:v>13.599999999999969</c:v>
                </c:pt>
                <c:pt idx="317">
                  <c:v>13.699999999999969</c:v>
                </c:pt>
                <c:pt idx="318">
                  <c:v>13.799999999999969</c:v>
                </c:pt>
                <c:pt idx="319">
                  <c:v>13.899999999999968</c:v>
                </c:pt>
                <c:pt idx="320">
                  <c:v>13.999999999999968</c:v>
                </c:pt>
                <c:pt idx="321">
                  <c:v>14.099999999999968</c:v>
                </c:pt>
                <c:pt idx="322">
                  <c:v>14.199999999999967</c:v>
                </c:pt>
                <c:pt idx="323">
                  <c:v>14.299999999999967</c:v>
                </c:pt>
                <c:pt idx="324">
                  <c:v>14.399999999999967</c:v>
                </c:pt>
                <c:pt idx="325">
                  <c:v>14.499999999999966</c:v>
                </c:pt>
                <c:pt idx="326">
                  <c:v>14.599999999999966</c:v>
                </c:pt>
                <c:pt idx="327">
                  <c:v>14.699999999999966</c:v>
                </c:pt>
                <c:pt idx="328">
                  <c:v>14.799999999999965</c:v>
                </c:pt>
                <c:pt idx="329">
                  <c:v>14.899999999999965</c:v>
                </c:pt>
                <c:pt idx="330">
                  <c:v>14.999999999999964</c:v>
                </c:pt>
                <c:pt idx="331">
                  <c:v>15.099999999999964</c:v>
                </c:pt>
                <c:pt idx="332">
                  <c:v>15.199999999999964</c:v>
                </c:pt>
                <c:pt idx="333">
                  <c:v>15.299999999999963</c:v>
                </c:pt>
                <c:pt idx="334">
                  <c:v>15.399999999999963</c:v>
                </c:pt>
                <c:pt idx="335">
                  <c:v>15.499999999999963</c:v>
                </c:pt>
                <c:pt idx="336">
                  <c:v>15.599999999999962</c:v>
                </c:pt>
                <c:pt idx="337">
                  <c:v>15.699999999999962</c:v>
                </c:pt>
                <c:pt idx="338">
                  <c:v>15.799999999999962</c:v>
                </c:pt>
                <c:pt idx="339">
                  <c:v>15.899999999999961</c:v>
                </c:pt>
                <c:pt idx="340">
                  <c:v>15.999999999999961</c:v>
                </c:pt>
                <c:pt idx="341">
                  <c:v>16.099999999999962</c:v>
                </c:pt>
                <c:pt idx="342">
                  <c:v>16.199999999999964</c:v>
                </c:pt>
                <c:pt idx="343">
                  <c:v>16.299999999999965</c:v>
                </c:pt>
                <c:pt idx="344">
                  <c:v>16.399999999999967</c:v>
                </c:pt>
                <c:pt idx="345">
                  <c:v>16.499999999999968</c:v>
                </c:pt>
                <c:pt idx="346">
                  <c:v>16.599999999999969</c:v>
                </c:pt>
                <c:pt idx="347">
                  <c:v>16.699999999999971</c:v>
                </c:pt>
                <c:pt idx="348">
                  <c:v>16.799999999999972</c:v>
                </c:pt>
                <c:pt idx="349">
                  <c:v>16.899999999999974</c:v>
                </c:pt>
                <c:pt idx="350">
                  <c:v>16.999999999999975</c:v>
                </c:pt>
                <c:pt idx="351">
                  <c:v>17.099999999999977</c:v>
                </c:pt>
                <c:pt idx="352">
                  <c:v>17.199999999999978</c:v>
                </c:pt>
                <c:pt idx="353">
                  <c:v>17.299999999999979</c:v>
                </c:pt>
                <c:pt idx="354">
                  <c:v>17.399999999999981</c:v>
                </c:pt>
                <c:pt idx="355">
                  <c:v>17.499999999999982</c:v>
                </c:pt>
                <c:pt idx="356">
                  <c:v>17.599999999999984</c:v>
                </c:pt>
                <c:pt idx="357">
                  <c:v>17.699999999999985</c:v>
                </c:pt>
                <c:pt idx="358">
                  <c:v>17.799999999999986</c:v>
                </c:pt>
                <c:pt idx="359">
                  <c:v>17.899999999999988</c:v>
                </c:pt>
                <c:pt idx="360">
                  <c:v>17.999999999999989</c:v>
                </c:pt>
                <c:pt idx="361">
                  <c:v>18.099999999999991</c:v>
                </c:pt>
                <c:pt idx="362">
                  <c:v>18.199999999999992</c:v>
                </c:pt>
                <c:pt idx="363">
                  <c:v>18.299999999999994</c:v>
                </c:pt>
                <c:pt idx="364">
                  <c:v>18.399999999999995</c:v>
                </c:pt>
                <c:pt idx="365">
                  <c:v>18.499999999999996</c:v>
                </c:pt>
                <c:pt idx="366">
                  <c:v>18.599999999999998</c:v>
                </c:pt>
                <c:pt idx="367">
                  <c:v>18.7</c:v>
                </c:pt>
                <c:pt idx="368">
                  <c:v>18.8</c:v>
                </c:pt>
                <c:pt idx="369">
                  <c:v>18.900000000000002</c:v>
                </c:pt>
                <c:pt idx="370">
                  <c:v>19.000000000000004</c:v>
                </c:pt>
                <c:pt idx="371">
                  <c:v>19.100000000000005</c:v>
                </c:pt>
                <c:pt idx="372">
                  <c:v>19.200000000000006</c:v>
                </c:pt>
                <c:pt idx="373">
                  <c:v>19.300000000000008</c:v>
                </c:pt>
                <c:pt idx="374">
                  <c:v>19.400000000000009</c:v>
                </c:pt>
                <c:pt idx="375">
                  <c:v>19.500000000000011</c:v>
                </c:pt>
                <c:pt idx="376">
                  <c:v>19.600000000000012</c:v>
                </c:pt>
                <c:pt idx="377">
                  <c:v>19.700000000000014</c:v>
                </c:pt>
                <c:pt idx="378">
                  <c:v>19.800000000000015</c:v>
                </c:pt>
                <c:pt idx="379">
                  <c:v>19.900000000000016</c:v>
                </c:pt>
                <c:pt idx="380">
                  <c:v>20.000000000000018</c:v>
                </c:pt>
                <c:pt idx="381">
                  <c:v>20.100000000000019</c:v>
                </c:pt>
                <c:pt idx="382">
                  <c:v>20.200000000000021</c:v>
                </c:pt>
                <c:pt idx="383">
                  <c:v>20.300000000000022</c:v>
                </c:pt>
                <c:pt idx="384">
                  <c:v>20.400000000000023</c:v>
                </c:pt>
                <c:pt idx="385">
                  <c:v>20.500000000000025</c:v>
                </c:pt>
                <c:pt idx="386">
                  <c:v>20.600000000000026</c:v>
                </c:pt>
                <c:pt idx="387">
                  <c:v>20.700000000000028</c:v>
                </c:pt>
                <c:pt idx="388">
                  <c:v>20.800000000000029</c:v>
                </c:pt>
                <c:pt idx="389">
                  <c:v>20.900000000000031</c:v>
                </c:pt>
                <c:pt idx="390">
                  <c:v>21.000000000000032</c:v>
                </c:pt>
                <c:pt idx="391">
                  <c:v>21.100000000000033</c:v>
                </c:pt>
                <c:pt idx="392">
                  <c:v>21.200000000000035</c:v>
                </c:pt>
                <c:pt idx="393">
                  <c:v>21.300000000000036</c:v>
                </c:pt>
                <c:pt idx="394">
                  <c:v>21.400000000000038</c:v>
                </c:pt>
                <c:pt idx="395">
                  <c:v>21.500000000000039</c:v>
                </c:pt>
                <c:pt idx="396">
                  <c:v>21.600000000000041</c:v>
                </c:pt>
                <c:pt idx="397">
                  <c:v>21.700000000000042</c:v>
                </c:pt>
                <c:pt idx="398">
                  <c:v>21.800000000000043</c:v>
                </c:pt>
                <c:pt idx="399">
                  <c:v>21.900000000000045</c:v>
                </c:pt>
                <c:pt idx="400">
                  <c:v>22.000000000000046</c:v>
                </c:pt>
                <c:pt idx="401">
                  <c:v>22.100000000000048</c:v>
                </c:pt>
                <c:pt idx="402">
                  <c:v>22.200000000000049</c:v>
                </c:pt>
                <c:pt idx="403">
                  <c:v>22.30000000000005</c:v>
                </c:pt>
                <c:pt idx="404">
                  <c:v>22.400000000000052</c:v>
                </c:pt>
                <c:pt idx="405">
                  <c:v>22.500000000000053</c:v>
                </c:pt>
                <c:pt idx="406">
                  <c:v>22.600000000000055</c:v>
                </c:pt>
                <c:pt idx="407">
                  <c:v>22.700000000000056</c:v>
                </c:pt>
                <c:pt idx="408">
                  <c:v>22.800000000000058</c:v>
                </c:pt>
                <c:pt idx="409">
                  <c:v>22.900000000000059</c:v>
                </c:pt>
                <c:pt idx="410">
                  <c:v>23.00000000000006</c:v>
                </c:pt>
                <c:pt idx="411">
                  <c:v>23.100000000000062</c:v>
                </c:pt>
                <c:pt idx="412">
                  <c:v>23.200000000000063</c:v>
                </c:pt>
                <c:pt idx="413">
                  <c:v>23.300000000000065</c:v>
                </c:pt>
                <c:pt idx="414">
                  <c:v>23.400000000000066</c:v>
                </c:pt>
                <c:pt idx="415">
                  <c:v>23.500000000000068</c:v>
                </c:pt>
                <c:pt idx="416">
                  <c:v>23.600000000000069</c:v>
                </c:pt>
                <c:pt idx="417">
                  <c:v>23.70000000000007</c:v>
                </c:pt>
                <c:pt idx="418">
                  <c:v>23.800000000000072</c:v>
                </c:pt>
                <c:pt idx="419">
                  <c:v>23.900000000000073</c:v>
                </c:pt>
                <c:pt idx="420">
                  <c:v>24.000000000000075</c:v>
                </c:pt>
                <c:pt idx="421">
                  <c:v>24.100000000000076</c:v>
                </c:pt>
                <c:pt idx="422">
                  <c:v>24.200000000000077</c:v>
                </c:pt>
                <c:pt idx="423">
                  <c:v>24.300000000000079</c:v>
                </c:pt>
                <c:pt idx="424">
                  <c:v>24.40000000000008</c:v>
                </c:pt>
                <c:pt idx="425">
                  <c:v>24.500000000000082</c:v>
                </c:pt>
                <c:pt idx="426">
                  <c:v>24.600000000000083</c:v>
                </c:pt>
                <c:pt idx="427">
                  <c:v>24.700000000000085</c:v>
                </c:pt>
                <c:pt idx="428">
                  <c:v>24.800000000000086</c:v>
                </c:pt>
                <c:pt idx="429">
                  <c:v>24.900000000000087</c:v>
                </c:pt>
                <c:pt idx="430">
                  <c:v>25.000000000000089</c:v>
                </c:pt>
                <c:pt idx="431">
                  <c:v>25.10000000000009</c:v>
                </c:pt>
                <c:pt idx="432">
                  <c:v>25.200000000000092</c:v>
                </c:pt>
                <c:pt idx="433">
                  <c:v>25.300000000000093</c:v>
                </c:pt>
                <c:pt idx="434">
                  <c:v>25.400000000000095</c:v>
                </c:pt>
                <c:pt idx="435">
                  <c:v>25.500000000000096</c:v>
                </c:pt>
                <c:pt idx="436">
                  <c:v>25.600000000000097</c:v>
                </c:pt>
                <c:pt idx="437">
                  <c:v>25.700000000000099</c:v>
                </c:pt>
                <c:pt idx="438">
                  <c:v>25.8000000000001</c:v>
                </c:pt>
                <c:pt idx="439">
                  <c:v>25.900000000000102</c:v>
                </c:pt>
                <c:pt idx="440">
                  <c:v>26.000000000000103</c:v>
                </c:pt>
                <c:pt idx="441">
                  <c:v>26.100000000000104</c:v>
                </c:pt>
                <c:pt idx="442">
                  <c:v>26.200000000000106</c:v>
                </c:pt>
                <c:pt idx="443">
                  <c:v>26.300000000000107</c:v>
                </c:pt>
                <c:pt idx="444">
                  <c:v>26.400000000000109</c:v>
                </c:pt>
                <c:pt idx="445">
                  <c:v>26.50000000000011</c:v>
                </c:pt>
                <c:pt idx="446">
                  <c:v>26.600000000000112</c:v>
                </c:pt>
                <c:pt idx="447">
                  <c:v>26.700000000000113</c:v>
                </c:pt>
                <c:pt idx="448">
                  <c:v>26.800000000000114</c:v>
                </c:pt>
                <c:pt idx="449">
                  <c:v>26.900000000000116</c:v>
                </c:pt>
                <c:pt idx="450">
                  <c:v>27.000000000000117</c:v>
                </c:pt>
                <c:pt idx="451">
                  <c:v>27.100000000000119</c:v>
                </c:pt>
                <c:pt idx="452">
                  <c:v>27.20000000000012</c:v>
                </c:pt>
                <c:pt idx="453">
                  <c:v>27.300000000000122</c:v>
                </c:pt>
                <c:pt idx="454">
                  <c:v>27.400000000000123</c:v>
                </c:pt>
                <c:pt idx="455">
                  <c:v>27.500000000000124</c:v>
                </c:pt>
                <c:pt idx="456">
                  <c:v>27.600000000000126</c:v>
                </c:pt>
                <c:pt idx="457">
                  <c:v>27.700000000000127</c:v>
                </c:pt>
                <c:pt idx="458">
                  <c:v>27.800000000000129</c:v>
                </c:pt>
                <c:pt idx="459">
                  <c:v>27.90000000000013</c:v>
                </c:pt>
                <c:pt idx="460">
                  <c:v>28.000000000000131</c:v>
                </c:pt>
                <c:pt idx="461">
                  <c:v>28.100000000000133</c:v>
                </c:pt>
                <c:pt idx="462">
                  <c:v>28.200000000000134</c:v>
                </c:pt>
                <c:pt idx="463">
                  <c:v>28.300000000000136</c:v>
                </c:pt>
                <c:pt idx="464">
                  <c:v>28.400000000000137</c:v>
                </c:pt>
                <c:pt idx="465">
                  <c:v>28.500000000000139</c:v>
                </c:pt>
                <c:pt idx="466">
                  <c:v>28.60000000000014</c:v>
                </c:pt>
                <c:pt idx="467">
                  <c:v>28.700000000000141</c:v>
                </c:pt>
                <c:pt idx="468">
                  <c:v>28.800000000000143</c:v>
                </c:pt>
                <c:pt idx="469">
                  <c:v>28.900000000000144</c:v>
                </c:pt>
                <c:pt idx="470">
                  <c:v>29.000000000000146</c:v>
                </c:pt>
                <c:pt idx="471">
                  <c:v>29.100000000000147</c:v>
                </c:pt>
                <c:pt idx="472">
                  <c:v>29.200000000000149</c:v>
                </c:pt>
                <c:pt idx="473">
                  <c:v>29.30000000000015</c:v>
                </c:pt>
                <c:pt idx="474">
                  <c:v>29.400000000000151</c:v>
                </c:pt>
                <c:pt idx="475">
                  <c:v>29.500000000000153</c:v>
                </c:pt>
                <c:pt idx="476">
                  <c:v>29.600000000000154</c:v>
                </c:pt>
                <c:pt idx="477">
                  <c:v>29.700000000000156</c:v>
                </c:pt>
                <c:pt idx="478">
                  <c:v>29.800000000000157</c:v>
                </c:pt>
                <c:pt idx="479">
                  <c:v>29.900000000000158</c:v>
                </c:pt>
                <c:pt idx="480">
                  <c:v>30.00000000000016</c:v>
                </c:pt>
                <c:pt idx="481">
                  <c:v>30.100000000000161</c:v>
                </c:pt>
                <c:pt idx="482">
                  <c:v>30.200000000000163</c:v>
                </c:pt>
                <c:pt idx="483">
                  <c:v>30.300000000000164</c:v>
                </c:pt>
                <c:pt idx="484">
                  <c:v>30.400000000000166</c:v>
                </c:pt>
                <c:pt idx="485">
                  <c:v>30.500000000000167</c:v>
                </c:pt>
                <c:pt idx="486">
                  <c:v>30.600000000000168</c:v>
                </c:pt>
                <c:pt idx="487">
                  <c:v>30.70000000000017</c:v>
                </c:pt>
                <c:pt idx="488">
                  <c:v>30.800000000000171</c:v>
                </c:pt>
                <c:pt idx="489">
                  <c:v>30.900000000000173</c:v>
                </c:pt>
                <c:pt idx="490">
                  <c:v>31.000000000000174</c:v>
                </c:pt>
                <c:pt idx="491">
                  <c:v>31.100000000000176</c:v>
                </c:pt>
                <c:pt idx="492">
                  <c:v>31.200000000000177</c:v>
                </c:pt>
                <c:pt idx="493">
                  <c:v>31.300000000000178</c:v>
                </c:pt>
                <c:pt idx="494">
                  <c:v>31.40000000000018</c:v>
                </c:pt>
                <c:pt idx="495">
                  <c:v>31.500000000000181</c:v>
                </c:pt>
                <c:pt idx="496">
                  <c:v>31.600000000000183</c:v>
                </c:pt>
                <c:pt idx="497">
                  <c:v>31.700000000000184</c:v>
                </c:pt>
                <c:pt idx="498">
                  <c:v>31.800000000000185</c:v>
                </c:pt>
                <c:pt idx="499">
                  <c:v>31.900000000000187</c:v>
                </c:pt>
                <c:pt idx="500">
                  <c:v>32.000000000000185</c:v>
                </c:pt>
                <c:pt idx="501">
                  <c:v>32.100000000000186</c:v>
                </c:pt>
                <c:pt idx="502">
                  <c:v>32.200000000000188</c:v>
                </c:pt>
                <c:pt idx="503">
                  <c:v>32.300000000000189</c:v>
                </c:pt>
                <c:pt idx="504">
                  <c:v>32.40000000000019</c:v>
                </c:pt>
                <c:pt idx="505">
                  <c:v>32.500000000000192</c:v>
                </c:pt>
                <c:pt idx="506">
                  <c:v>32.600000000000193</c:v>
                </c:pt>
                <c:pt idx="507">
                  <c:v>32.700000000000195</c:v>
                </c:pt>
                <c:pt idx="508">
                  <c:v>32.800000000000196</c:v>
                </c:pt>
                <c:pt idx="509">
                  <c:v>32.900000000000198</c:v>
                </c:pt>
                <c:pt idx="510">
                  <c:v>33.000000000000199</c:v>
                </c:pt>
                <c:pt idx="511">
                  <c:v>33.1000000000002</c:v>
                </c:pt>
                <c:pt idx="512">
                  <c:v>33.200000000000202</c:v>
                </c:pt>
                <c:pt idx="513">
                  <c:v>33.300000000000203</c:v>
                </c:pt>
                <c:pt idx="514">
                  <c:v>33.400000000000205</c:v>
                </c:pt>
                <c:pt idx="515">
                  <c:v>33.500000000000206</c:v>
                </c:pt>
                <c:pt idx="516">
                  <c:v>33.600000000000207</c:v>
                </c:pt>
                <c:pt idx="517">
                  <c:v>33.700000000000209</c:v>
                </c:pt>
                <c:pt idx="518">
                  <c:v>33.80000000000021</c:v>
                </c:pt>
                <c:pt idx="519">
                  <c:v>33.900000000000212</c:v>
                </c:pt>
                <c:pt idx="520">
                  <c:v>34.000000000000213</c:v>
                </c:pt>
                <c:pt idx="521">
                  <c:v>34.100000000000215</c:v>
                </c:pt>
                <c:pt idx="522">
                  <c:v>34.200000000000216</c:v>
                </c:pt>
                <c:pt idx="523">
                  <c:v>34.300000000000217</c:v>
                </c:pt>
                <c:pt idx="524">
                  <c:v>34.400000000000219</c:v>
                </c:pt>
                <c:pt idx="525">
                  <c:v>34.50000000000022</c:v>
                </c:pt>
                <c:pt idx="526">
                  <c:v>34.600000000000222</c:v>
                </c:pt>
                <c:pt idx="527">
                  <c:v>34.700000000000223</c:v>
                </c:pt>
                <c:pt idx="528">
                  <c:v>34.800000000000225</c:v>
                </c:pt>
                <c:pt idx="529">
                  <c:v>34.900000000000226</c:v>
                </c:pt>
                <c:pt idx="530">
                  <c:v>35.000000000000227</c:v>
                </c:pt>
                <c:pt idx="531">
                  <c:v>35.100000000000229</c:v>
                </c:pt>
                <c:pt idx="532">
                  <c:v>35.20000000000023</c:v>
                </c:pt>
                <c:pt idx="533">
                  <c:v>35.300000000000232</c:v>
                </c:pt>
                <c:pt idx="534">
                  <c:v>35.400000000000233</c:v>
                </c:pt>
                <c:pt idx="535">
                  <c:v>35.500000000000234</c:v>
                </c:pt>
                <c:pt idx="536">
                  <c:v>35.600000000000236</c:v>
                </c:pt>
                <c:pt idx="537">
                  <c:v>35.700000000000237</c:v>
                </c:pt>
                <c:pt idx="538">
                  <c:v>35.800000000000239</c:v>
                </c:pt>
                <c:pt idx="539">
                  <c:v>35.90000000000024</c:v>
                </c:pt>
                <c:pt idx="540">
                  <c:v>36.000000000000242</c:v>
                </c:pt>
                <c:pt idx="541">
                  <c:v>36.100000000000243</c:v>
                </c:pt>
                <c:pt idx="542">
                  <c:v>36.200000000000244</c:v>
                </c:pt>
                <c:pt idx="543">
                  <c:v>36.300000000000246</c:v>
                </c:pt>
                <c:pt idx="544">
                  <c:v>36.400000000000247</c:v>
                </c:pt>
                <c:pt idx="545">
                  <c:v>36.500000000000249</c:v>
                </c:pt>
                <c:pt idx="546">
                  <c:v>36.60000000000025</c:v>
                </c:pt>
                <c:pt idx="547">
                  <c:v>36.700000000000252</c:v>
                </c:pt>
                <c:pt idx="548">
                  <c:v>36.700100000000255</c:v>
                </c:pt>
                <c:pt idx="549">
                  <c:v>36.700200000000258</c:v>
                </c:pt>
                <c:pt idx="550">
                  <c:v>36.700300000000261</c:v>
                </c:pt>
                <c:pt idx="551">
                  <c:v>36.700400000000265</c:v>
                </c:pt>
                <c:pt idx="552">
                  <c:v>36.700500000000268</c:v>
                </c:pt>
                <c:pt idx="553">
                  <c:v>36.700600000000271</c:v>
                </c:pt>
                <c:pt idx="554">
                  <c:v>36.700700000000275</c:v>
                </c:pt>
                <c:pt idx="555">
                  <c:v>36.700800000000278</c:v>
                </c:pt>
                <c:pt idx="556">
                  <c:v>36.700900000000281</c:v>
                </c:pt>
                <c:pt idx="557">
                  <c:v>36.701000000000285</c:v>
                </c:pt>
                <c:pt idx="558">
                  <c:v>36.701100000000288</c:v>
                </c:pt>
                <c:pt idx="559">
                  <c:v>36.701200000000291</c:v>
                </c:pt>
                <c:pt idx="560">
                  <c:v>36.701300000000295</c:v>
                </c:pt>
                <c:pt idx="561">
                  <c:v>36.701400000000298</c:v>
                </c:pt>
                <c:pt idx="562">
                  <c:v>36.701500000000301</c:v>
                </c:pt>
                <c:pt idx="563">
                  <c:v>36.701600000000305</c:v>
                </c:pt>
                <c:pt idx="564">
                  <c:v>36.701700000000308</c:v>
                </c:pt>
                <c:pt idx="565">
                  <c:v>36.701800000000311</c:v>
                </c:pt>
                <c:pt idx="566">
                  <c:v>36.701900000000315</c:v>
                </c:pt>
                <c:pt idx="567">
                  <c:v>36.702000000000318</c:v>
                </c:pt>
                <c:pt idx="568">
                  <c:v>36.702100000000321</c:v>
                </c:pt>
                <c:pt idx="569">
                  <c:v>36.702200000000325</c:v>
                </c:pt>
                <c:pt idx="570">
                  <c:v>36.702300000000328</c:v>
                </c:pt>
                <c:pt idx="571">
                  <c:v>36.702400000000331</c:v>
                </c:pt>
                <c:pt idx="572">
                  <c:v>36.702500000000335</c:v>
                </c:pt>
                <c:pt idx="573">
                  <c:v>36.702600000000338</c:v>
                </c:pt>
                <c:pt idx="574">
                  <c:v>36.702700000000341</c:v>
                </c:pt>
                <c:pt idx="575">
                  <c:v>36.702800000000344</c:v>
                </c:pt>
                <c:pt idx="576">
                  <c:v>36.702900000000348</c:v>
                </c:pt>
                <c:pt idx="577">
                  <c:v>36.703000000000351</c:v>
                </c:pt>
                <c:pt idx="578">
                  <c:v>36.703100000000354</c:v>
                </c:pt>
                <c:pt idx="579">
                  <c:v>36.703200000000358</c:v>
                </c:pt>
                <c:pt idx="580">
                  <c:v>36.703300000000361</c:v>
                </c:pt>
                <c:pt idx="581">
                  <c:v>36.703400000000364</c:v>
                </c:pt>
                <c:pt idx="582">
                  <c:v>36.703500000000368</c:v>
                </c:pt>
                <c:pt idx="583">
                  <c:v>36.703600000000371</c:v>
                </c:pt>
                <c:pt idx="584">
                  <c:v>36.703700000000374</c:v>
                </c:pt>
                <c:pt idx="585">
                  <c:v>36.703800000000378</c:v>
                </c:pt>
                <c:pt idx="586">
                  <c:v>36.703900000000381</c:v>
                </c:pt>
                <c:pt idx="587">
                  <c:v>36.704000000000384</c:v>
                </c:pt>
                <c:pt idx="588">
                  <c:v>36.704100000000388</c:v>
                </c:pt>
                <c:pt idx="589">
                  <c:v>36.704200000000391</c:v>
                </c:pt>
                <c:pt idx="590">
                  <c:v>36.704300000000394</c:v>
                </c:pt>
                <c:pt idx="591">
                  <c:v>36.704400000000398</c:v>
                </c:pt>
                <c:pt idx="592">
                  <c:v>36.704500000000401</c:v>
                </c:pt>
                <c:pt idx="593">
                  <c:v>36.704600000000404</c:v>
                </c:pt>
                <c:pt idx="594">
                  <c:v>36.704700000000408</c:v>
                </c:pt>
                <c:pt idx="595">
                  <c:v>36.704800000000411</c:v>
                </c:pt>
                <c:pt idx="596">
                  <c:v>36.704900000000414</c:v>
                </c:pt>
                <c:pt idx="597">
                  <c:v>36.705000000000418</c:v>
                </c:pt>
                <c:pt idx="598">
                  <c:v>36.705100000000421</c:v>
                </c:pt>
                <c:pt idx="599">
                  <c:v>36.705200000000424</c:v>
                </c:pt>
                <c:pt idx="600">
                  <c:v>36.705300000000427</c:v>
                </c:pt>
                <c:pt idx="601">
                  <c:v>36.705400000000431</c:v>
                </c:pt>
                <c:pt idx="602">
                  <c:v>36.705500000000434</c:v>
                </c:pt>
                <c:pt idx="603">
                  <c:v>36.705600000000437</c:v>
                </c:pt>
                <c:pt idx="604">
                  <c:v>36.705700000000441</c:v>
                </c:pt>
                <c:pt idx="605">
                  <c:v>36.705800000000444</c:v>
                </c:pt>
                <c:pt idx="606">
                  <c:v>36.705900000000447</c:v>
                </c:pt>
                <c:pt idx="607">
                  <c:v>36.706000000000451</c:v>
                </c:pt>
                <c:pt idx="608">
                  <c:v>36.706100000000454</c:v>
                </c:pt>
                <c:pt idx="609">
                  <c:v>36.706200000000457</c:v>
                </c:pt>
                <c:pt idx="610">
                  <c:v>36.706300000000461</c:v>
                </c:pt>
                <c:pt idx="611">
                  <c:v>36.706400000000464</c:v>
                </c:pt>
                <c:pt idx="612">
                  <c:v>36.706500000000467</c:v>
                </c:pt>
                <c:pt idx="613">
                  <c:v>36.706600000000471</c:v>
                </c:pt>
                <c:pt idx="614">
                  <c:v>36.706700000000474</c:v>
                </c:pt>
                <c:pt idx="615">
                  <c:v>36.706800000000477</c:v>
                </c:pt>
                <c:pt idx="616">
                  <c:v>36.706900000000481</c:v>
                </c:pt>
                <c:pt idx="617">
                  <c:v>36.707000000000484</c:v>
                </c:pt>
                <c:pt idx="618">
                  <c:v>36.707100000000487</c:v>
                </c:pt>
                <c:pt idx="619">
                  <c:v>36.707200000000491</c:v>
                </c:pt>
                <c:pt idx="620">
                  <c:v>36.707300000000494</c:v>
                </c:pt>
                <c:pt idx="621">
                  <c:v>36.707400000000497</c:v>
                </c:pt>
                <c:pt idx="622">
                  <c:v>36.707500000000501</c:v>
                </c:pt>
                <c:pt idx="623">
                  <c:v>36.707600000000504</c:v>
                </c:pt>
                <c:pt idx="624">
                  <c:v>36.707700000000507</c:v>
                </c:pt>
                <c:pt idx="625">
                  <c:v>36.70780000000051</c:v>
                </c:pt>
                <c:pt idx="626">
                  <c:v>36.707900000000514</c:v>
                </c:pt>
                <c:pt idx="627">
                  <c:v>36.708000000000517</c:v>
                </c:pt>
                <c:pt idx="628">
                  <c:v>36.70810000000052</c:v>
                </c:pt>
                <c:pt idx="629">
                  <c:v>36.708200000000524</c:v>
                </c:pt>
                <c:pt idx="630">
                  <c:v>36.708300000000527</c:v>
                </c:pt>
                <c:pt idx="631">
                  <c:v>36.70840000000053</c:v>
                </c:pt>
                <c:pt idx="632">
                  <c:v>36.708500000000534</c:v>
                </c:pt>
                <c:pt idx="633">
                  <c:v>36.708600000000537</c:v>
                </c:pt>
                <c:pt idx="634">
                  <c:v>36.70870000000054</c:v>
                </c:pt>
                <c:pt idx="635">
                  <c:v>36.708800000000544</c:v>
                </c:pt>
                <c:pt idx="636">
                  <c:v>36.708900000000547</c:v>
                </c:pt>
                <c:pt idx="637">
                  <c:v>36.70900000000055</c:v>
                </c:pt>
                <c:pt idx="638">
                  <c:v>36.709100000000554</c:v>
                </c:pt>
                <c:pt idx="639">
                  <c:v>36.709200000000557</c:v>
                </c:pt>
                <c:pt idx="640">
                  <c:v>36.70930000000056</c:v>
                </c:pt>
                <c:pt idx="641">
                  <c:v>36.709400000000564</c:v>
                </c:pt>
                <c:pt idx="642">
                  <c:v>36.709500000000567</c:v>
                </c:pt>
                <c:pt idx="643">
                  <c:v>36.70960000000057</c:v>
                </c:pt>
                <c:pt idx="644">
                  <c:v>36.709700000000574</c:v>
                </c:pt>
                <c:pt idx="645">
                  <c:v>36.709800000000577</c:v>
                </c:pt>
                <c:pt idx="646">
                  <c:v>36.70990000000058</c:v>
                </c:pt>
                <c:pt idx="647">
                  <c:v>36.710000000000583</c:v>
                </c:pt>
                <c:pt idx="648">
                  <c:v>36.710100000000587</c:v>
                </c:pt>
                <c:pt idx="649">
                  <c:v>36.71020000000059</c:v>
                </c:pt>
                <c:pt idx="650">
                  <c:v>36.710300000000593</c:v>
                </c:pt>
                <c:pt idx="651">
                  <c:v>36.710400000000597</c:v>
                </c:pt>
                <c:pt idx="652">
                  <c:v>36.7105000000006</c:v>
                </c:pt>
                <c:pt idx="653">
                  <c:v>36.710600000000603</c:v>
                </c:pt>
                <c:pt idx="654">
                  <c:v>36.710700000000607</c:v>
                </c:pt>
                <c:pt idx="655">
                  <c:v>36.71080000000061</c:v>
                </c:pt>
                <c:pt idx="656">
                  <c:v>36.710900000000613</c:v>
                </c:pt>
                <c:pt idx="657">
                  <c:v>36.711000000000617</c:v>
                </c:pt>
                <c:pt idx="658">
                  <c:v>36.71110000000062</c:v>
                </c:pt>
                <c:pt idx="659">
                  <c:v>36.711200000000623</c:v>
                </c:pt>
                <c:pt idx="660">
                  <c:v>36.711300000000627</c:v>
                </c:pt>
                <c:pt idx="661">
                  <c:v>36.71140000000063</c:v>
                </c:pt>
                <c:pt idx="662">
                  <c:v>36.711500000000633</c:v>
                </c:pt>
                <c:pt idx="663">
                  <c:v>36.711600000000637</c:v>
                </c:pt>
                <c:pt idx="664">
                  <c:v>36.71170000000064</c:v>
                </c:pt>
                <c:pt idx="665">
                  <c:v>36.711800000000643</c:v>
                </c:pt>
                <c:pt idx="666">
                  <c:v>36.711900000000647</c:v>
                </c:pt>
                <c:pt idx="667">
                  <c:v>36.71200000000065</c:v>
                </c:pt>
                <c:pt idx="668">
                  <c:v>36.712100000000653</c:v>
                </c:pt>
                <c:pt idx="669">
                  <c:v>36.712200000000657</c:v>
                </c:pt>
                <c:pt idx="670">
                  <c:v>36.71230000000066</c:v>
                </c:pt>
                <c:pt idx="671">
                  <c:v>36.712400000000663</c:v>
                </c:pt>
                <c:pt idx="672">
                  <c:v>36.712500000000666</c:v>
                </c:pt>
                <c:pt idx="673">
                  <c:v>36.71260000000067</c:v>
                </c:pt>
                <c:pt idx="674">
                  <c:v>36.712700000000673</c:v>
                </c:pt>
                <c:pt idx="675">
                  <c:v>36.712800000000676</c:v>
                </c:pt>
                <c:pt idx="676">
                  <c:v>36.71290000000068</c:v>
                </c:pt>
                <c:pt idx="677">
                  <c:v>36.713000000000683</c:v>
                </c:pt>
                <c:pt idx="678">
                  <c:v>36.713100000000686</c:v>
                </c:pt>
                <c:pt idx="679">
                  <c:v>36.71320000000069</c:v>
                </c:pt>
                <c:pt idx="680">
                  <c:v>36.713300000000693</c:v>
                </c:pt>
                <c:pt idx="681">
                  <c:v>36.713400000000696</c:v>
                </c:pt>
                <c:pt idx="682">
                  <c:v>36.7135000000007</c:v>
                </c:pt>
                <c:pt idx="683">
                  <c:v>36.713600000000703</c:v>
                </c:pt>
                <c:pt idx="684">
                  <c:v>36.713700000000706</c:v>
                </c:pt>
                <c:pt idx="685">
                  <c:v>36.71380000000071</c:v>
                </c:pt>
                <c:pt idx="686">
                  <c:v>36.713900000000713</c:v>
                </c:pt>
                <c:pt idx="687">
                  <c:v>36.714000000000716</c:v>
                </c:pt>
                <c:pt idx="688">
                  <c:v>36.71410000000072</c:v>
                </c:pt>
                <c:pt idx="689">
                  <c:v>36.714200000000723</c:v>
                </c:pt>
                <c:pt idx="690">
                  <c:v>36.714300000000726</c:v>
                </c:pt>
                <c:pt idx="691">
                  <c:v>36.71440000000073</c:v>
                </c:pt>
                <c:pt idx="692">
                  <c:v>36.714500000000733</c:v>
                </c:pt>
                <c:pt idx="693">
                  <c:v>36.714600000000736</c:v>
                </c:pt>
                <c:pt idx="694">
                  <c:v>36.71470000000074</c:v>
                </c:pt>
                <c:pt idx="695">
                  <c:v>36.714800000000743</c:v>
                </c:pt>
                <c:pt idx="696">
                  <c:v>36.714900000000746</c:v>
                </c:pt>
                <c:pt idx="697">
                  <c:v>36.715000000000749</c:v>
                </c:pt>
                <c:pt idx="698">
                  <c:v>36.715100000000753</c:v>
                </c:pt>
                <c:pt idx="699">
                  <c:v>36.715200000000756</c:v>
                </c:pt>
                <c:pt idx="700">
                  <c:v>36.715300000000759</c:v>
                </c:pt>
                <c:pt idx="701">
                  <c:v>36.715400000000763</c:v>
                </c:pt>
                <c:pt idx="702">
                  <c:v>36.715500000000766</c:v>
                </c:pt>
                <c:pt idx="703">
                  <c:v>36.715600000000769</c:v>
                </c:pt>
                <c:pt idx="704">
                  <c:v>36.715700000000773</c:v>
                </c:pt>
                <c:pt idx="705">
                  <c:v>36.715800000000776</c:v>
                </c:pt>
                <c:pt idx="706">
                  <c:v>36.715900000000779</c:v>
                </c:pt>
                <c:pt idx="707">
                  <c:v>36.716000000000783</c:v>
                </c:pt>
                <c:pt idx="708">
                  <c:v>36.716100000000786</c:v>
                </c:pt>
                <c:pt idx="709">
                  <c:v>36.716200000000789</c:v>
                </c:pt>
                <c:pt idx="710">
                  <c:v>36.716300000000793</c:v>
                </c:pt>
                <c:pt idx="711">
                  <c:v>36.716400000000796</c:v>
                </c:pt>
                <c:pt idx="712">
                  <c:v>36.716500000000799</c:v>
                </c:pt>
                <c:pt idx="713">
                  <c:v>36.716600000000803</c:v>
                </c:pt>
                <c:pt idx="714">
                  <c:v>36.716700000000806</c:v>
                </c:pt>
                <c:pt idx="715">
                  <c:v>36.716800000000809</c:v>
                </c:pt>
                <c:pt idx="716">
                  <c:v>36.716900000000813</c:v>
                </c:pt>
                <c:pt idx="717">
                  <c:v>36.717000000000816</c:v>
                </c:pt>
                <c:pt idx="718">
                  <c:v>36.717100000000819</c:v>
                </c:pt>
                <c:pt idx="719">
                  <c:v>36.717200000000823</c:v>
                </c:pt>
                <c:pt idx="720">
                  <c:v>36.717300000000826</c:v>
                </c:pt>
                <c:pt idx="721">
                  <c:v>36.717400000000829</c:v>
                </c:pt>
                <c:pt idx="722">
                  <c:v>36.717500000000832</c:v>
                </c:pt>
                <c:pt idx="723">
                  <c:v>36.717600000000836</c:v>
                </c:pt>
                <c:pt idx="724">
                  <c:v>36.717700000000839</c:v>
                </c:pt>
                <c:pt idx="725">
                  <c:v>36.717800000000842</c:v>
                </c:pt>
                <c:pt idx="726">
                  <c:v>36.717900000000846</c:v>
                </c:pt>
                <c:pt idx="727">
                  <c:v>36.718000000000849</c:v>
                </c:pt>
                <c:pt idx="728">
                  <c:v>36.718100000000852</c:v>
                </c:pt>
                <c:pt idx="729">
                  <c:v>36.718200000000856</c:v>
                </c:pt>
                <c:pt idx="730">
                  <c:v>36.718300000000859</c:v>
                </c:pt>
                <c:pt idx="731">
                  <c:v>36.718400000000862</c:v>
                </c:pt>
                <c:pt idx="732">
                  <c:v>36.718500000000866</c:v>
                </c:pt>
                <c:pt idx="733">
                  <c:v>36.718600000000869</c:v>
                </c:pt>
                <c:pt idx="734">
                  <c:v>36.718700000000872</c:v>
                </c:pt>
                <c:pt idx="735">
                  <c:v>36.718800000000876</c:v>
                </c:pt>
                <c:pt idx="736">
                  <c:v>36.718900000000879</c:v>
                </c:pt>
                <c:pt idx="737">
                  <c:v>36.719000000000882</c:v>
                </c:pt>
                <c:pt idx="738">
                  <c:v>36.719100000000886</c:v>
                </c:pt>
                <c:pt idx="739">
                  <c:v>36.719200000000889</c:v>
                </c:pt>
                <c:pt idx="740">
                  <c:v>36.719300000000892</c:v>
                </c:pt>
                <c:pt idx="741">
                  <c:v>36.719400000000896</c:v>
                </c:pt>
                <c:pt idx="742">
                  <c:v>36.719500000000899</c:v>
                </c:pt>
                <c:pt idx="743">
                  <c:v>36.719600000000902</c:v>
                </c:pt>
                <c:pt idx="744">
                  <c:v>36.719700000000906</c:v>
                </c:pt>
                <c:pt idx="745">
                  <c:v>36.719800000000909</c:v>
                </c:pt>
                <c:pt idx="746">
                  <c:v>36.719900000000912</c:v>
                </c:pt>
                <c:pt idx="747">
                  <c:v>36.720000000000915</c:v>
                </c:pt>
                <c:pt idx="748">
                  <c:v>36.720100000000919</c:v>
                </c:pt>
                <c:pt idx="749">
                  <c:v>36.720200000000922</c:v>
                </c:pt>
                <c:pt idx="750">
                  <c:v>36.720300000000925</c:v>
                </c:pt>
                <c:pt idx="751">
                  <c:v>36.720400000000929</c:v>
                </c:pt>
                <c:pt idx="752">
                  <c:v>36.720500000000932</c:v>
                </c:pt>
                <c:pt idx="753">
                  <c:v>36.720600000000935</c:v>
                </c:pt>
                <c:pt idx="754">
                  <c:v>36.720700000000939</c:v>
                </c:pt>
                <c:pt idx="755">
                  <c:v>36.720800000000942</c:v>
                </c:pt>
                <c:pt idx="756">
                  <c:v>36.720900000000945</c:v>
                </c:pt>
                <c:pt idx="757">
                  <c:v>36.721000000000949</c:v>
                </c:pt>
                <c:pt idx="758">
                  <c:v>36.721100000000952</c:v>
                </c:pt>
                <c:pt idx="759">
                  <c:v>36.721200000000955</c:v>
                </c:pt>
                <c:pt idx="760">
                  <c:v>36.721300000000959</c:v>
                </c:pt>
                <c:pt idx="761">
                  <c:v>36.721400000000962</c:v>
                </c:pt>
                <c:pt idx="762">
                  <c:v>36.721500000000965</c:v>
                </c:pt>
                <c:pt idx="763">
                  <c:v>36.721600000000969</c:v>
                </c:pt>
                <c:pt idx="764">
                  <c:v>36.721700000000972</c:v>
                </c:pt>
                <c:pt idx="765">
                  <c:v>36.721800000000975</c:v>
                </c:pt>
                <c:pt idx="766">
                  <c:v>36.721900000000979</c:v>
                </c:pt>
                <c:pt idx="767">
                  <c:v>36.722000000000982</c:v>
                </c:pt>
                <c:pt idx="768">
                  <c:v>36.722100000000985</c:v>
                </c:pt>
                <c:pt idx="769">
                  <c:v>36.722200000000988</c:v>
                </c:pt>
                <c:pt idx="770">
                  <c:v>36.722300000000992</c:v>
                </c:pt>
                <c:pt idx="771">
                  <c:v>36.722400000000995</c:v>
                </c:pt>
                <c:pt idx="772">
                  <c:v>36.722500000000998</c:v>
                </c:pt>
                <c:pt idx="773">
                  <c:v>36.722600000001002</c:v>
                </c:pt>
                <c:pt idx="774">
                  <c:v>36.722700000001005</c:v>
                </c:pt>
                <c:pt idx="775">
                  <c:v>36.722800000001008</c:v>
                </c:pt>
                <c:pt idx="776">
                  <c:v>36.722900000001012</c:v>
                </c:pt>
                <c:pt idx="777">
                  <c:v>36.723000000001015</c:v>
                </c:pt>
                <c:pt idx="778">
                  <c:v>36.723100000001018</c:v>
                </c:pt>
                <c:pt idx="779">
                  <c:v>36.723200000001022</c:v>
                </c:pt>
                <c:pt idx="780">
                  <c:v>36.723300000001025</c:v>
                </c:pt>
                <c:pt idx="781">
                  <c:v>36.723400000001028</c:v>
                </c:pt>
                <c:pt idx="782">
                  <c:v>36.723500000001032</c:v>
                </c:pt>
                <c:pt idx="783">
                  <c:v>36.723600000001035</c:v>
                </c:pt>
                <c:pt idx="784">
                  <c:v>36.723700000001038</c:v>
                </c:pt>
                <c:pt idx="785">
                  <c:v>36.723800000001042</c:v>
                </c:pt>
                <c:pt idx="786">
                  <c:v>36.723900000001045</c:v>
                </c:pt>
                <c:pt idx="787">
                  <c:v>36.724000000001048</c:v>
                </c:pt>
                <c:pt idx="788">
                  <c:v>36.724100000001052</c:v>
                </c:pt>
                <c:pt idx="789">
                  <c:v>36.724200000001055</c:v>
                </c:pt>
                <c:pt idx="790">
                  <c:v>36.724300000001058</c:v>
                </c:pt>
                <c:pt idx="791">
                  <c:v>36.724400000001062</c:v>
                </c:pt>
                <c:pt idx="792">
                  <c:v>36.724500000001065</c:v>
                </c:pt>
                <c:pt idx="793">
                  <c:v>36.724600000001068</c:v>
                </c:pt>
                <c:pt idx="794">
                  <c:v>36.724700000001071</c:v>
                </c:pt>
                <c:pt idx="795">
                  <c:v>36.724800000001075</c:v>
                </c:pt>
                <c:pt idx="796">
                  <c:v>36.724900000001078</c:v>
                </c:pt>
                <c:pt idx="797">
                  <c:v>36.725000000001081</c:v>
                </c:pt>
                <c:pt idx="798">
                  <c:v>36.725100000001085</c:v>
                </c:pt>
                <c:pt idx="799">
                  <c:v>36.725200000001088</c:v>
                </c:pt>
                <c:pt idx="800">
                  <c:v>36.725300000001091</c:v>
                </c:pt>
                <c:pt idx="801">
                  <c:v>36.725400000001095</c:v>
                </c:pt>
                <c:pt idx="802">
                  <c:v>36.725500000001098</c:v>
                </c:pt>
                <c:pt idx="803">
                  <c:v>36.725600000001101</c:v>
                </c:pt>
                <c:pt idx="804">
                  <c:v>36.725700000001105</c:v>
                </c:pt>
                <c:pt idx="805">
                  <c:v>36.725800000001108</c:v>
                </c:pt>
                <c:pt idx="806">
                  <c:v>36.725900000001111</c:v>
                </c:pt>
                <c:pt idx="807">
                  <c:v>36.726000000001115</c:v>
                </c:pt>
                <c:pt idx="808">
                  <c:v>36.726100000001118</c:v>
                </c:pt>
                <c:pt idx="809">
                  <c:v>36.726200000001121</c:v>
                </c:pt>
                <c:pt idx="810">
                  <c:v>36.726300000001125</c:v>
                </c:pt>
                <c:pt idx="811">
                  <c:v>36.726400000001128</c:v>
                </c:pt>
                <c:pt idx="812">
                  <c:v>36.726500000001131</c:v>
                </c:pt>
                <c:pt idx="813">
                  <c:v>36.726600000001135</c:v>
                </c:pt>
                <c:pt idx="814">
                  <c:v>36.726700000001138</c:v>
                </c:pt>
                <c:pt idx="815">
                  <c:v>36.726800000001141</c:v>
                </c:pt>
                <c:pt idx="816">
                  <c:v>36.726900000001145</c:v>
                </c:pt>
                <c:pt idx="817">
                  <c:v>36.727000000001148</c:v>
                </c:pt>
                <c:pt idx="818">
                  <c:v>36.727100000001151</c:v>
                </c:pt>
                <c:pt idx="819">
                  <c:v>36.727200000001154</c:v>
                </c:pt>
                <c:pt idx="820">
                  <c:v>36.727300000001158</c:v>
                </c:pt>
                <c:pt idx="821">
                  <c:v>36.727400000001161</c:v>
                </c:pt>
                <c:pt idx="822">
                  <c:v>36.727500000001164</c:v>
                </c:pt>
                <c:pt idx="823">
                  <c:v>36.727600000001168</c:v>
                </c:pt>
                <c:pt idx="824">
                  <c:v>36.727700000001171</c:v>
                </c:pt>
                <c:pt idx="825">
                  <c:v>36.727800000001174</c:v>
                </c:pt>
                <c:pt idx="826">
                  <c:v>36.727900000001178</c:v>
                </c:pt>
                <c:pt idx="827">
                  <c:v>36.728000000001181</c:v>
                </c:pt>
                <c:pt idx="828">
                  <c:v>36.728100000001184</c:v>
                </c:pt>
                <c:pt idx="829">
                  <c:v>36.728200000001188</c:v>
                </c:pt>
                <c:pt idx="830">
                  <c:v>36.728300000001191</c:v>
                </c:pt>
                <c:pt idx="831">
                  <c:v>36.728400000001194</c:v>
                </c:pt>
                <c:pt idx="832">
                  <c:v>36.728500000001198</c:v>
                </c:pt>
                <c:pt idx="833">
                  <c:v>36.728600000001201</c:v>
                </c:pt>
                <c:pt idx="834">
                  <c:v>36.728700000001204</c:v>
                </c:pt>
                <c:pt idx="835">
                  <c:v>36.728800000001208</c:v>
                </c:pt>
                <c:pt idx="836">
                  <c:v>36.728900000001211</c:v>
                </c:pt>
                <c:pt idx="837">
                  <c:v>36.729000000001214</c:v>
                </c:pt>
                <c:pt idx="838">
                  <c:v>36.729100000001218</c:v>
                </c:pt>
                <c:pt idx="839">
                  <c:v>36.729200000001221</c:v>
                </c:pt>
                <c:pt idx="840">
                  <c:v>36.729300000001224</c:v>
                </c:pt>
                <c:pt idx="841">
                  <c:v>36.729400000001228</c:v>
                </c:pt>
                <c:pt idx="842">
                  <c:v>36.729500000001231</c:v>
                </c:pt>
                <c:pt idx="843">
                  <c:v>36.729600000001234</c:v>
                </c:pt>
                <c:pt idx="844">
                  <c:v>36.729700000001237</c:v>
                </c:pt>
                <c:pt idx="845">
                  <c:v>36.729800000001241</c:v>
                </c:pt>
                <c:pt idx="846">
                  <c:v>36.729900000001244</c:v>
                </c:pt>
                <c:pt idx="847">
                  <c:v>36.730000000001247</c:v>
                </c:pt>
                <c:pt idx="848">
                  <c:v>36.730100000001251</c:v>
                </c:pt>
                <c:pt idx="849">
                  <c:v>36.730200000001254</c:v>
                </c:pt>
                <c:pt idx="850">
                  <c:v>36.730300000001257</c:v>
                </c:pt>
                <c:pt idx="851">
                  <c:v>36.730400000001261</c:v>
                </c:pt>
                <c:pt idx="852">
                  <c:v>36.730500000001264</c:v>
                </c:pt>
                <c:pt idx="853">
                  <c:v>36.730600000001267</c:v>
                </c:pt>
                <c:pt idx="854">
                  <c:v>36.730700000001271</c:v>
                </c:pt>
                <c:pt idx="855">
                  <c:v>36.730800000001274</c:v>
                </c:pt>
                <c:pt idx="856">
                  <c:v>36.730900000001277</c:v>
                </c:pt>
                <c:pt idx="857">
                  <c:v>36.731000000001281</c:v>
                </c:pt>
                <c:pt idx="858">
                  <c:v>36.731100000001284</c:v>
                </c:pt>
                <c:pt idx="859">
                  <c:v>36.731200000001287</c:v>
                </c:pt>
                <c:pt idx="860">
                  <c:v>36.731300000001291</c:v>
                </c:pt>
                <c:pt idx="861">
                  <c:v>36.731400000001294</c:v>
                </c:pt>
                <c:pt idx="862">
                  <c:v>36.731500000001297</c:v>
                </c:pt>
                <c:pt idx="863">
                  <c:v>36.731600000001301</c:v>
                </c:pt>
                <c:pt idx="864">
                  <c:v>36.731700000001304</c:v>
                </c:pt>
                <c:pt idx="865">
                  <c:v>36.731800000001307</c:v>
                </c:pt>
                <c:pt idx="866">
                  <c:v>36.731900000001311</c:v>
                </c:pt>
                <c:pt idx="867">
                  <c:v>36.732000000001314</c:v>
                </c:pt>
                <c:pt idx="868">
                  <c:v>36.732100000001317</c:v>
                </c:pt>
                <c:pt idx="869">
                  <c:v>36.73220000000132</c:v>
                </c:pt>
                <c:pt idx="870">
                  <c:v>36.732300000001324</c:v>
                </c:pt>
                <c:pt idx="871">
                  <c:v>36.732400000001327</c:v>
                </c:pt>
                <c:pt idx="872">
                  <c:v>36.73250000000133</c:v>
                </c:pt>
                <c:pt idx="873">
                  <c:v>36.732600000001334</c:v>
                </c:pt>
                <c:pt idx="874">
                  <c:v>36.732700000001337</c:v>
                </c:pt>
                <c:pt idx="875">
                  <c:v>36.73280000000134</c:v>
                </c:pt>
                <c:pt idx="876">
                  <c:v>36.732900000001344</c:v>
                </c:pt>
                <c:pt idx="877">
                  <c:v>36.733000000001347</c:v>
                </c:pt>
                <c:pt idx="878">
                  <c:v>36.73310000000135</c:v>
                </c:pt>
                <c:pt idx="879">
                  <c:v>36.733200000001354</c:v>
                </c:pt>
                <c:pt idx="880">
                  <c:v>36.733300000001357</c:v>
                </c:pt>
                <c:pt idx="881">
                  <c:v>36.73340000000136</c:v>
                </c:pt>
                <c:pt idx="882">
                  <c:v>36.733500000001364</c:v>
                </c:pt>
                <c:pt idx="883">
                  <c:v>36.733600000001367</c:v>
                </c:pt>
                <c:pt idx="884">
                  <c:v>36.73370000000137</c:v>
                </c:pt>
                <c:pt idx="885">
                  <c:v>36.733800000001374</c:v>
                </c:pt>
                <c:pt idx="886">
                  <c:v>36.733900000001377</c:v>
                </c:pt>
                <c:pt idx="887">
                  <c:v>36.73400000000138</c:v>
                </c:pt>
                <c:pt idx="888">
                  <c:v>36.734100000001384</c:v>
                </c:pt>
                <c:pt idx="889">
                  <c:v>36.734200000001387</c:v>
                </c:pt>
                <c:pt idx="890">
                  <c:v>36.73430000000139</c:v>
                </c:pt>
                <c:pt idx="891">
                  <c:v>36.734400000001393</c:v>
                </c:pt>
                <c:pt idx="892">
                  <c:v>36.734500000001397</c:v>
                </c:pt>
                <c:pt idx="893">
                  <c:v>36.7346000000014</c:v>
                </c:pt>
                <c:pt idx="894">
                  <c:v>36.734700000001403</c:v>
                </c:pt>
                <c:pt idx="895">
                  <c:v>36.734800000001407</c:v>
                </c:pt>
                <c:pt idx="896">
                  <c:v>36.73490000000141</c:v>
                </c:pt>
                <c:pt idx="897">
                  <c:v>36.735000000001413</c:v>
                </c:pt>
                <c:pt idx="898">
                  <c:v>36.735100000001417</c:v>
                </c:pt>
                <c:pt idx="899">
                  <c:v>36.73520000000142</c:v>
                </c:pt>
                <c:pt idx="900">
                  <c:v>36.735300000001423</c:v>
                </c:pt>
                <c:pt idx="901">
                  <c:v>36.735400000001427</c:v>
                </c:pt>
                <c:pt idx="902">
                  <c:v>36.73550000000143</c:v>
                </c:pt>
                <c:pt idx="903">
                  <c:v>36.735600000001433</c:v>
                </c:pt>
                <c:pt idx="904">
                  <c:v>36.735700000001437</c:v>
                </c:pt>
                <c:pt idx="905">
                  <c:v>36.73580000000144</c:v>
                </c:pt>
                <c:pt idx="906">
                  <c:v>36.735900000001443</c:v>
                </c:pt>
                <c:pt idx="907">
                  <c:v>36.736000000001447</c:v>
                </c:pt>
                <c:pt idx="908">
                  <c:v>36.73610000000145</c:v>
                </c:pt>
                <c:pt idx="909">
                  <c:v>36.736200000001453</c:v>
                </c:pt>
                <c:pt idx="910">
                  <c:v>36.736300000001457</c:v>
                </c:pt>
                <c:pt idx="911">
                  <c:v>36.73640000000146</c:v>
                </c:pt>
                <c:pt idx="912">
                  <c:v>36.736500000001463</c:v>
                </c:pt>
                <c:pt idx="913">
                  <c:v>36.736600000001467</c:v>
                </c:pt>
                <c:pt idx="914">
                  <c:v>36.73670000000147</c:v>
                </c:pt>
                <c:pt idx="915">
                  <c:v>36.736800000001473</c:v>
                </c:pt>
                <c:pt idx="916">
                  <c:v>36.736900000001476</c:v>
                </c:pt>
                <c:pt idx="917">
                  <c:v>36.73700000000148</c:v>
                </c:pt>
                <c:pt idx="918">
                  <c:v>36.737100000001483</c:v>
                </c:pt>
                <c:pt idx="919">
                  <c:v>36.737200000001486</c:v>
                </c:pt>
                <c:pt idx="920">
                  <c:v>36.73730000000149</c:v>
                </c:pt>
                <c:pt idx="921">
                  <c:v>36.737400000001493</c:v>
                </c:pt>
                <c:pt idx="922">
                  <c:v>36.737500000001496</c:v>
                </c:pt>
                <c:pt idx="923">
                  <c:v>36.7376000000015</c:v>
                </c:pt>
                <c:pt idx="924">
                  <c:v>36.737700000001503</c:v>
                </c:pt>
                <c:pt idx="925">
                  <c:v>36.737800000001506</c:v>
                </c:pt>
                <c:pt idx="926">
                  <c:v>36.73790000000151</c:v>
                </c:pt>
                <c:pt idx="927">
                  <c:v>36.738000000001513</c:v>
                </c:pt>
                <c:pt idx="928">
                  <c:v>36.738100000001516</c:v>
                </c:pt>
                <c:pt idx="929">
                  <c:v>36.73820000000152</c:v>
                </c:pt>
                <c:pt idx="930">
                  <c:v>36.738300000001523</c:v>
                </c:pt>
                <c:pt idx="931">
                  <c:v>36.738400000001526</c:v>
                </c:pt>
                <c:pt idx="932">
                  <c:v>36.73850000000153</c:v>
                </c:pt>
                <c:pt idx="933">
                  <c:v>36.738600000001533</c:v>
                </c:pt>
                <c:pt idx="934">
                  <c:v>36.738700000001536</c:v>
                </c:pt>
                <c:pt idx="935">
                  <c:v>36.73880000000154</c:v>
                </c:pt>
                <c:pt idx="936">
                  <c:v>36.738900000001543</c:v>
                </c:pt>
                <c:pt idx="937">
                  <c:v>36.739000000001546</c:v>
                </c:pt>
                <c:pt idx="938">
                  <c:v>36.73910000000155</c:v>
                </c:pt>
                <c:pt idx="939">
                  <c:v>36.739200000001553</c:v>
                </c:pt>
                <c:pt idx="940">
                  <c:v>36.739300000001556</c:v>
                </c:pt>
                <c:pt idx="941">
                  <c:v>36.739400000001559</c:v>
                </c:pt>
                <c:pt idx="942">
                  <c:v>36.739500000001563</c:v>
                </c:pt>
                <c:pt idx="943">
                  <c:v>36.739600000001566</c:v>
                </c:pt>
                <c:pt idx="944">
                  <c:v>36.739700000001569</c:v>
                </c:pt>
                <c:pt idx="945">
                  <c:v>36.739800000001573</c:v>
                </c:pt>
                <c:pt idx="946">
                  <c:v>36.739900000001576</c:v>
                </c:pt>
                <c:pt idx="947">
                  <c:v>36.740000000001579</c:v>
                </c:pt>
                <c:pt idx="948">
                  <c:v>36.740100000001583</c:v>
                </c:pt>
                <c:pt idx="949">
                  <c:v>36.740200000001586</c:v>
                </c:pt>
                <c:pt idx="950">
                  <c:v>36.740300000001589</c:v>
                </c:pt>
                <c:pt idx="951">
                  <c:v>36.740400000001593</c:v>
                </c:pt>
                <c:pt idx="952">
                  <c:v>36.740500000001596</c:v>
                </c:pt>
                <c:pt idx="953">
                  <c:v>36.740600000001599</c:v>
                </c:pt>
                <c:pt idx="954">
                  <c:v>36.740700000001603</c:v>
                </c:pt>
                <c:pt idx="955">
                  <c:v>36.740800000001606</c:v>
                </c:pt>
                <c:pt idx="956">
                  <c:v>36.740900000001609</c:v>
                </c:pt>
                <c:pt idx="957">
                  <c:v>36.741000000001613</c:v>
                </c:pt>
                <c:pt idx="958">
                  <c:v>36.741100000001616</c:v>
                </c:pt>
                <c:pt idx="959">
                  <c:v>36.741200000001619</c:v>
                </c:pt>
                <c:pt idx="960">
                  <c:v>36.741300000001623</c:v>
                </c:pt>
                <c:pt idx="961">
                  <c:v>36.741400000001626</c:v>
                </c:pt>
                <c:pt idx="962">
                  <c:v>36.741500000001629</c:v>
                </c:pt>
                <c:pt idx="963">
                  <c:v>36.741600000001633</c:v>
                </c:pt>
                <c:pt idx="964">
                  <c:v>36.741700000001636</c:v>
                </c:pt>
                <c:pt idx="965">
                  <c:v>36.741800000001639</c:v>
                </c:pt>
                <c:pt idx="966">
                  <c:v>36.741900000001642</c:v>
                </c:pt>
                <c:pt idx="967">
                  <c:v>36.742000000001646</c:v>
                </c:pt>
                <c:pt idx="968">
                  <c:v>36.742100000001649</c:v>
                </c:pt>
                <c:pt idx="969">
                  <c:v>36.742200000001652</c:v>
                </c:pt>
                <c:pt idx="970">
                  <c:v>36.742300000001656</c:v>
                </c:pt>
                <c:pt idx="971">
                  <c:v>36.742400000001659</c:v>
                </c:pt>
                <c:pt idx="972">
                  <c:v>36.742500000001662</c:v>
                </c:pt>
                <c:pt idx="973">
                  <c:v>36.742600000001666</c:v>
                </c:pt>
                <c:pt idx="974">
                  <c:v>36.742700000001669</c:v>
                </c:pt>
                <c:pt idx="975">
                  <c:v>36.742800000001672</c:v>
                </c:pt>
                <c:pt idx="976">
                  <c:v>36.742900000001676</c:v>
                </c:pt>
                <c:pt idx="977">
                  <c:v>36.743000000001679</c:v>
                </c:pt>
                <c:pt idx="978">
                  <c:v>36.743100000001682</c:v>
                </c:pt>
                <c:pt idx="979">
                  <c:v>36.743200000001686</c:v>
                </c:pt>
                <c:pt idx="980">
                  <c:v>36.743300000001689</c:v>
                </c:pt>
                <c:pt idx="981">
                  <c:v>36.743400000001692</c:v>
                </c:pt>
                <c:pt idx="982">
                  <c:v>36.743500000001696</c:v>
                </c:pt>
                <c:pt idx="983">
                  <c:v>36.743600000001699</c:v>
                </c:pt>
                <c:pt idx="984">
                  <c:v>36.743700000001702</c:v>
                </c:pt>
                <c:pt idx="985">
                  <c:v>36.743800000001706</c:v>
                </c:pt>
                <c:pt idx="986">
                  <c:v>36.743900000001709</c:v>
                </c:pt>
                <c:pt idx="987">
                  <c:v>36.744000000001712</c:v>
                </c:pt>
                <c:pt idx="988">
                  <c:v>36.744100000001716</c:v>
                </c:pt>
                <c:pt idx="989">
                  <c:v>36.744200000001719</c:v>
                </c:pt>
                <c:pt idx="990">
                  <c:v>36.744300000001722</c:v>
                </c:pt>
                <c:pt idx="991">
                  <c:v>36.744400000001725</c:v>
                </c:pt>
                <c:pt idx="992">
                  <c:v>36.744500000001729</c:v>
                </c:pt>
                <c:pt idx="993">
                  <c:v>36.744600000001732</c:v>
                </c:pt>
                <c:pt idx="994">
                  <c:v>36.744700000001735</c:v>
                </c:pt>
                <c:pt idx="995">
                  <c:v>36.744800000001739</c:v>
                </c:pt>
                <c:pt idx="996">
                  <c:v>36.744900000001742</c:v>
                </c:pt>
                <c:pt idx="997">
                  <c:v>36.745000000001745</c:v>
                </c:pt>
                <c:pt idx="998">
                  <c:v>36.745100000001749</c:v>
                </c:pt>
                <c:pt idx="999">
                  <c:v>36.745200000001752</c:v>
                </c:pt>
                <c:pt idx="1000">
                  <c:v>36.745300000001755</c:v>
                </c:pt>
              </c:numCache>
            </c:numRef>
          </c:xVal>
          <c:yVal>
            <c:numRef>
              <c:f>Calculs!$T$4:$T$1004</c:f>
              <c:numCache>
                <c:formatCode>0.00</c:formatCode>
                <c:ptCount val="1001"/>
                <c:pt idx="0">
                  <c:v>79.774919999999995</c:v>
                </c:pt>
                <c:pt idx="1">
                  <c:v>79.763054448031824</c:v>
                </c:pt>
                <c:pt idx="2">
                  <c:v>79.718178436341248</c:v>
                </c:pt>
                <c:pt idx="3">
                  <c:v>79.653229775511775</c:v>
                </c:pt>
                <c:pt idx="4">
                  <c:v>79.590425631912936</c:v>
                </c:pt>
                <c:pt idx="5">
                  <c:v>79.529766005544673</c:v>
                </c:pt>
                <c:pt idx="6">
                  <c:v>79.469969119502849</c:v>
                </c:pt>
                <c:pt idx="7">
                  <c:v>79.409753196883216</c:v>
                </c:pt>
                <c:pt idx="8">
                  <c:v>79.349118237685815</c:v>
                </c:pt>
                <c:pt idx="9">
                  <c:v>79.288064241910632</c:v>
                </c:pt>
                <c:pt idx="10">
                  <c:v>79.226591209557668</c:v>
                </c:pt>
                <c:pt idx="11">
                  <c:v>79.164831716626537</c:v>
                </c:pt>
                <c:pt idx="12">
                  <c:v>79.102918339116925</c:v>
                </c:pt>
                <c:pt idx="13">
                  <c:v>79.040851077028819</c:v>
                </c:pt>
                <c:pt idx="14">
                  <c:v>78.978629930362217</c:v>
                </c:pt>
                <c:pt idx="15">
                  <c:v>78.916254899117121</c:v>
                </c:pt>
                <c:pt idx="16">
                  <c:v>78.853725983293529</c:v>
                </c:pt>
                <c:pt idx="17">
                  <c:v>78.791043182891428</c:v>
                </c:pt>
                <c:pt idx="18">
                  <c:v>78.728206497910833</c:v>
                </c:pt>
                <c:pt idx="19">
                  <c:v>78.665215928351756</c:v>
                </c:pt>
                <c:pt idx="20">
                  <c:v>78.602071474214171</c:v>
                </c:pt>
                <c:pt idx="21">
                  <c:v>78.538825973060142</c:v>
                </c:pt>
                <c:pt idx="22">
                  <c:v>78.475532262451679</c:v>
                </c:pt>
                <c:pt idx="23">
                  <c:v>78.412190342388811</c:v>
                </c:pt>
                <c:pt idx="24">
                  <c:v>78.348800212871524</c:v>
                </c:pt>
                <c:pt idx="25">
                  <c:v>78.285361873899816</c:v>
                </c:pt>
                <c:pt idx="26">
                  <c:v>78.221875325473704</c:v>
                </c:pt>
                <c:pt idx="27">
                  <c:v>78.158340567593157</c:v>
                </c:pt>
                <c:pt idx="28">
                  <c:v>78.09475760025822</c:v>
                </c:pt>
                <c:pt idx="29">
                  <c:v>78.031126423468848</c:v>
                </c:pt>
                <c:pt idx="30">
                  <c:v>77.967447037225057</c:v>
                </c:pt>
                <c:pt idx="31">
                  <c:v>77.90371944152686</c:v>
                </c:pt>
                <c:pt idx="32">
                  <c:v>77.839943636374244</c:v>
                </c:pt>
                <c:pt idx="33">
                  <c:v>77.776119621767208</c:v>
                </c:pt>
                <c:pt idx="34">
                  <c:v>77.712247397705767</c:v>
                </c:pt>
                <c:pt idx="35">
                  <c:v>77.648326964189891</c:v>
                </c:pt>
                <c:pt idx="36">
                  <c:v>77.584358321219611</c:v>
                </c:pt>
                <c:pt idx="37">
                  <c:v>77.520341468794911</c:v>
                </c:pt>
                <c:pt idx="38">
                  <c:v>77.456276406915805</c:v>
                </c:pt>
                <c:pt idx="39">
                  <c:v>77.392163135582265</c:v>
                </c:pt>
                <c:pt idx="40">
                  <c:v>77.328001654794321</c:v>
                </c:pt>
                <c:pt idx="41">
                  <c:v>77.26383252678167</c:v>
                </c:pt>
                <c:pt idx="42">
                  <c:v>77.199696313774012</c:v>
                </c:pt>
                <c:pt idx="43">
                  <c:v>77.135593015771377</c:v>
                </c:pt>
                <c:pt idx="44">
                  <c:v>77.071522632773735</c:v>
                </c:pt>
                <c:pt idx="45">
                  <c:v>77.007485164781087</c:v>
                </c:pt>
                <c:pt idx="46">
                  <c:v>76.943480611793447</c:v>
                </c:pt>
                <c:pt idx="47">
                  <c:v>76.879508973810815</c:v>
                </c:pt>
                <c:pt idx="48">
                  <c:v>76.815570250833176</c:v>
                </c:pt>
                <c:pt idx="49">
                  <c:v>76.751664442860545</c:v>
                </c:pt>
                <c:pt idx="50">
                  <c:v>76.687791549892921</c:v>
                </c:pt>
                <c:pt idx="51">
                  <c:v>76.623951571930291</c:v>
                </c:pt>
                <c:pt idx="52">
                  <c:v>76.560144508972655</c:v>
                </c:pt>
                <c:pt idx="53">
                  <c:v>76.496370361020041</c:v>
                </c:pt>
                <c:pt idx="54">
                  <c:v>76.432629128072421</c:v>
                </c:pt>
                <c:pt idx="55">
                  <c:v>76.368920810129808</c:v>
                </c:pt>
                <c:pt idx="56">
                  <c:v>76.305245407192203</c:v>
                </c:pt>
                <c:pt idx="57">
                  <c:v>76.241602919259577</c:v>
                </c:pt>
                <c:pt idx="58">
                  <c:v>76.177993346331974</c:v>
                </c:pt>
                <c:pt idx="59">
                  <c:v>76.114416688409378</c:v>
                </c:pt>
                <c:pt idx="60">
                  <c:v>76.050872945491776</c:v>
                </c:pt>
                <c:pt idx="61">
                  <c:v>75.987362117579167</c:v>
                </c:pt>
                <c:pt idx="62">
                  <c:v>75.92388420467158</c:v>
                </c:pt>
                <c:pt idx="63">
                  <c:v>75.860439206768973</c:v>
                </c:pt>
                <c:pt idx="64">
                  <c:v>75.797027123871388</c:v>
                </c:pt>
                <c:pt idx="65">
                  <c:v>75.733647955978796</c:v>
                </c:pt>
                <c:pt idx="66">
                  <c:v>75.670301703091212</c:v>
                </c:pt>
                <c:pt idx="67">
                  <c:v>75.606988365208622</c:v>
                </c:pt>
                <c:pt idx="68">
                  <c:v>75.543707942331054</c:v>
                </c:pt>
                <c:pt idx="69">
                  <c:v>75.480460434458465</c:v>
                </c:pt>
                <c:pt idx="70">
                  <c:v>75.417245841590898</c:v>
                </c:pt>
                <c:pt idx="71">
                  <c:v>75.354064163728324</c:v>
                </c:pt>
                <c:pt idx="72">
                  <c:v>75.290915400870745</c:v>
                </c:pt>
                <c:pt idx="73">
                  <c:v>75.227799553018187</c:v>
                </c:pt>
                <c:pt idx="74">
                  <c:v>75.164716620170623</c:v>
                </c:pt>
                <c:pt idx="75">
                  <c:v>75.101666602328052</c:v>
                </c:pt>
                <c:pt idx="76">
                  <c:v>75.038649499490489</c:v>
                </c:pt>
                <c:pt idx="77">
                  <c:v>74.975665311657934</c:v>
                </c:pt>
                <c:pt idx="78">
                  <c:v>74.912714038830387</c:v>
                </c:pt>
                <c:pt idx="79">
                  <c:v>74.849795681007834</c:v>
                </c:pt>
                <c:pt idx="80">
                  <c:v>74.786910238190288</c:v>
                </c:pt>
                <c:pt idx="81">
                  <c:v>74.724097802565268</c:v>
                </c:pt>
                <c:pt idx="82">
                  <c:v>74.661398466320307</c:v>
                </c:pt>
                <c:pt idx="83">
                  <c:v>74.598812229455419</c:v>
                </c:pt>
                <c:pt idx="84">
                  <c:v>74.536339091970575</c:v>
                </c:pt>
                <c:pt idx="85">
                  <c:v>74.473979053865804</c:v>
                </c:pt>
                <c:pt idx="86">
                  <c:v>74.411732115141078</c:v>
                </c:pt>
                <c:pt idx="87">
                  <c:v>74.349598275796424</c:v>
                </c:pt>
                <c:pt idx="88">
                  <c:v>74.287577535831815</c:v>
                </c:pt>
                <c:pt idx="89">
                  <c:v>74.225669895247293</c:v>
                </c:pt>
                <c:pt idx="90">
                  <c:v>74.163875354042816</c:v>
                </c:pt>
                <c:pt idx="91">
                  <c:v>74.102211508669271</c:v>
                </c:pt>
                <c:pt idx="92">
                  <c:v>74.04069595557749</c:v>
                </c:pt>
                <c:pt idx="93">
                  <c:v>73.979328694767503</c:v>
                </c:pt>
                <c:pt idx="94">
                  <c:v>73.918109726239308</c:v>
                </c:pt>
                <c:pt idx="95">
                  <c:v>73.857039049992892</c:v>
                </c:pt>
                <c:pt idx="96">
                  <c:v>73.796116666028254</c:v>
                </c:pt>
                <c:pt idx="97">
                  <c:v>73.73534257434541</c:v>
                </c:pt>
                <c:pt idx="98">
                  <c:v>73.674716774944343</c:v>
                </c:pt>
                <c:pt idx="99">
                  <c:v>73.61423926782507</c:v>
                </c:pt>
                <c:pt idx="100">
                  <c:v>73.553910052987575</c:v>
                </c:pt>
                <c:pt idx="101">
                  <c:v>73.49373192658021</c:v>
                </c:pt>
                <c:pt idx="102">
                  <c:v>73.433707684751354</c:v>
                </c:pt>
                <c:pt idx="103">
                  <c:v>73.373837327500993</c:v>
                </c:pt>
                <c:pt idx="104">
                  <c:v>73.314120854829127</c:v>
                </c:pt>
                <c:pt idx="105">
                  <c:v>73.254558266735756</c:v>
                </c:pt>
                <c:pt idx="106">
                  <c:v>73.19514956322088</c:v>
                </c:pt>
                <c:pt idx="107">
                  <c:v>73.135894744284499</c:v>
                </c:pt>
                <c:pt idx="108">
                  <c:v>73.076793809926627</c:v>
                </c:pt>
                <c:pt idx="109">
                  <c:v>73.017846760147251</c:v>
                </c:pt>
                <c:pt idx="110">
                  <c:v>72.959053594946354</c:v>
                </c:pt>
                <c:pt idx="111">
                  <c:v>72.900382327350968</c:v>
                </c:pt>
                <c:pt idx="112">
                  <c:v>72.84180097038805</c:v>
                </c:pt>
                <c:pt idx="113">
                  <c:v>72.783309524057628</c:v>
                </c:pt>
                <c:pt idx="114">
                  <c:v>72.724907988359689</c:v>
                </c:pt>
                <c:pt idx="115">
                  <c:v>72.666596363294246</c:v>
                </c:pt>
                <c:pt idx="116">
                  <c:v>72.608374648861286</c:v>
                </c:pt>
                <c:pt idx="117">
                  <c:v>72.550242845060794</c:v>
                </c:pt>
                <c:pt idx="118">
                  <c:v>72.492200951892812</c:v>
                </c:pt>
                <c:pt idx="119">
                  <c:v>72.434248969357299</c:v>
                </c:pt>
                <c:pt idx="120">
                  <c:v>72.376386897454282</c:v>
                </c:pt>
                <c:pt idx="121">
                  <c:v>72.318667453222147</c:v>
                </c:pt>
                <c:pt idx="122">
                  <c:v>72.26114335369931</c:v>
                </c:pt>
                <c:pt idx="123">
                  <c:v>72.203814598885771</c:v>
                </c:pt>
                <c:pt idx="124">
                  <c:v>72.146681188781528</c:v>
                </c:pt>
                <c:pt idx="125">
                  <c:v>72.089743123386569</c:v>
                </c:pt>
                <c:pt idx="126">
                  <c:v>72.033000402700921</c:v>
                </c:pt>
                <c:pt idx="127">
                  <c:v>71.976453026724542</c:v>
                </c:pt>
                <c:pt idx="128">
                  <c:v>71.920100995457474</c:v>
                </c:pt>
                <c:pt idx="129">
                  <c:v>71.863944308899704</c:v>
                </c:pt>
                <c:pt idx="130">
                  <c:v>71.807982967051231</c:v>
                </c:pt>
                <c:pt idx="131">
                  <c:v>71.752230685501814</c:v>
                </c:pt>
                <c:pt idx="132">
                  <c:v>71.69670117984127</c:v>
                </c:pt>
                <c:pt idx="133">
                  <c:v>71.641394450069583</c:v>
                </c:pt>
                <c:pt idx="134">
                  <c:v>71.586310496186755</c:v>
                </c:pt>
                <c:pt idx="135">
                  <c:v>71.53144931819277</c:v>
                </c:pt>
                <c:pt idx="136">
                  <c:v>71.476810916087658</c:v>
                </c:pt>
                <c:pt idx="137">
                  <c:v>71.422395289871389</c:v>
                </c:pt>
                <c:pt idx="138">
                  <c:v>71.368202439543992</c:v>
                </c:pt>
                <c:pt idx="139">
                  <c:v>71.31423236510544</c:v>
                </c:pt>
                <c:pt idx="140">
                  <c:v>71.260485066555745</c:v>
                </c:pt>
                <c:pt idx="141">
                  <c:v>71.207123548095211</c:v>
                </c:pt>
                <c:pt idx="142">
                  <c:v>71.154310813924099</c:v>
                </c:pt>
                <c:pt idx="143">
                  <c:v>71.102046864042435</c:v>
                </c:pt>
                <c:pt idx="144">
                  <c:v>71.050331698450194</c:v>
                </c:pt>
                <c:pt idx="145">
                  <c:v>70.999165317147401</c:v>
                </c:pt>
                <c:pt idx="146">
                  <c:v>70.948547720134044</c:v>
                </c:pt>
                <c:pt idx="147">
                  <c:v>70.898478907410123</c:v>
                </c:pt>
                <c:pt idx="148">
                  <c:v>70.848958878975651</c:v>
                </c:pt>
                <c:pt idx="149">
                  <c:v>70.7999876348306</c:v>
                </c:pt>
                <c:pt idx="150">
                  <c:v>70.751565174974999</c:v>
                </c:pt>
                <c:pt idx="151">
                  <c:v>70.703691499408833</c:v>
                </c:pt>
                <c:pt idx="152">
                  <c:v>70.656366608132103</c:v>
                </c:pt>
                <c:pt idx="153">
                  <c:v>70.609590501144808</c:v>
                </c:pt>
                <c:pt idx="154">
                  <c:v>70.563363178446949</c:v>
                </c:pt>
                <c:pt idx="155">
                  <c:v>70.517684640038539</c:v>
                </c:pt>
                <c:pt idx="156">
                  <c:v>70.473320564544409</c:v>
                </c:pt>
                <c:pt idx="157">
                  <c:v>70.431036630589446</c:v>
                </c:pt>
                <c:pt idx="158">
                  <c:v>70.390832838173608</c:v>
                </c:pt>
                <c:pt idx="159">
                  <c:v>70.352709187296938</c:v>
                </c:pt>
                <c:pt idx="160">
                  <c:v>70.316665677959406</c:v>
                </c:pt>
                <c:pt idx="161">
                  <c:v>70.283673778876974</c:v>
                </c:pt>
                <c:pt idx="162">
                  <c:v>70.254704958765558</c:v>
                </c:pt>
                <c:pt idx="163">
                  <c:v>70.229666655472698</c:v>
                </c:pt>
                <c:pt idx="164">
                  <c:v>70.208466306845921</c:v>
                </c:pt>
                <c:pt idx="165">
                  <c:v>70.19017672455314</c:v>
                </c:pt>
                <c:pt idx="166">
                  <c:v>70.173870720262315</c:v>
                </c:pt>
                <c:pt idx="167">
                  <c:v>70.160252995673389</c:v>
                </c:pt>
                <c:pt idx="168">
                  <c:v>70.149518437505805</c:v>
                </c:pt>
                <c:pt idx="169">
                  <c:v>70.14312224814114</c:v>
                </c:pt>
                <c:pt idx="170">
                  <c:v>70.141500000000036</c:v>
                </c:pt>
                <c:pt idx="171">
                  <c:v>70.141500000000036</c:v>
                </c:pt>
                <c:pt idx="172">
                  <c:v>70.141500000000036</c:v>
                </c:pt>
                <c:pt idx="173">
                  <c:v>70.141500000000036</c:v>
                </c:pt>
                <c:pt idx="174">
                  <c:v>70.141500000000036</c:v>
                </c:pt>
                <c:pt idx="175">
                  <c:v>70.141500000000036</c:v>
                </c:pt>
                <c:pt idx="176">
                  <c:v>70.141500000000036</c:v>
                </c:pt>
                <c:pt idx="177">
                  <c:v>70.141500000000036</c:v>
                </c:pt>
                <c:pt idx="178">
                  <c:v>70.141500000000036</c:v>
                </c:pt>
                <c:pt idx="179">
                  <c:v>70.141500000000036</c:v>
                </c:pt>
                <c:pt idx="180">
                  <c:v>70.141500000000036</c:v>
                </c:pt>
                <c:pt idx="181">
                  <c:v>70.141500000000036</c:v>
                </c:pt>
                <c:pt idx="182">
                  <c:v>70.141500000000036</c:v>
                </c:pt>
                <c:pt idx="183">
                  <c:v>70.141500000000036</c:v>
                </c:pt>
                <c:pt idx="184">
                  <c:v>70.141500000000036</c:v>
                </c:pt>
                <c:pt idx="185">
                  <c:v>70.141500000000036</c:v>
                </c:pt>
                <c:pt idx="186">
                  <c:v>70.141500000000036</c:v>
                </c:pt>
                <c:pt idx="187">
                  <c:v>70.141500000000036</c:v>
                </c:pt>
                <c:pt idx="188">
                  <c:v>70.141500000000036</c:v>
                </c:pt>
                <c:pt idx="189">
                  <c:v>70.141500000000036</c:v>
                </c:pt>
                <c:pt idx="190">
                  <c:v>70.141500000000036</c:v>
                </c:pt>
                <c:pt idx="191">
                  <c:v>70.141500000000036</c:v>
                </c:pt>
                <c:pt idx="192">
                  <c:v>70.141500000000036</c:v>
                </c:pt>
                <c:pt idx="193">
                  <c:v>70.141500000000036</c:v>
                </c:pt>
                <c:pt idx="194">
                  <c:v>70.141500000000036</c:v>
                </c:pt>
                <c:pt idx="195">
                  <c:v>70.141500000000036</c:v>
                </c:pt>
                <c:pt idx="196">
                  <c:v>70.141500000000036</c:v>
                </c:pt>
                <c:pt idx="197">
                  <c:v>70.141500000000036</c:v>
                </c:pt>
                <c:pt idx="198">
                  <c:v>70.141500000000036</c:v>
                </c:pt>
                <c:pt idx="199">
                  <c:v>70.141500000000036</c:v>
                </c:pt>
                <c:pt idx="200">
                  <c:v>70.141500000000036</c:v>
                </c:pt>
                <c:pt idx="201">
                  <c:v>70.141500000000036</c:v>
                </c:pt>
                <c:pt idx="202">
                  <c:v>70.141500000000036</c:v>
                </c:pt>
                <c:pt idx="203">
                  <c:v>70.141500000000036</c:v>
                </c:pt>
                <c:pt idx="204">
                  <c:v>70.141500000000036</c:v>
                </c:pt>
                <c:pt idx="205">
                  <c:v>70.141500000000036</c:v>
                </c:pt>
                <c:pt idx="206">
                  <c:v>70.141500000000036</c:v>
                </c:pt>
                <c:pt idx="207">
                  <c:v>70.141500000000036</c:v>
                </c:pt>
                <c:pt idx="208">
                  <c:v>70.141500000000036</c:v>
                </c:pt>
                <c:pt idx="209">
                  <c:v>70.141500000000036</c:v>
                </c:pt>
                <c:pt idx="210">
                  <c:v>70.141500000000036</c:v>
                </c:pt>
                <c:pt idx="211">
                  <c:v>70.141500000000036</c:v>
                </c:pt>
                <c:pt idx="212">
                  <c:v>70.141500000000036</c:v>
                </c:pt>
                <c:pt idx="213">
                  <c:v>70.141500000000036</c:v>
                </c:pt>
                <c:pt idx="214">
                  <c:v>70.141500000000036</c:v>
                </c:pt>
                <c:pt idx="215">
                  <c:v>70.141500000000036</c:v>
                </c:pt>
                <c:pt idx="216">
                  <c:v>70.141500000000036</c:v>
                </c:pt>
                <c:pt idx="217">
                  <c:v>70.141500000000036</c:v>
                </c:pt>
                <c:pt idx="218">
                  <c:v>70.141500000000036</c:v>
                </c:pt>
                <c:pt idx="219">
                  <c:v>70.141500000000036</c:v>
                </c:pt>
                <c:pt idx="220">
                  <c:v>70.141500000000036</c:v>
                </c:pt>
                <c:pt idx="221">
                  <c:v>70.141500000000036</c:v>
                </c:pt>
                <c:pt idx="222">
                  <c:v>70.141500000000036</c:v>
                </c:pt>
                <c:pt idx="223">
                  <c:v>70.141500000000036</c:v>
                </c:pt>
                <c:pt idx="224">
                  <c:v>70.141500000000036</c:v>
                </c:pt>
                <c:pt idx="225">
                  <c:v>70.141500000000036</c:v>
                </c:pt>
                <c:pt idx="226">
                  <c:v>70.141500000000036</c:v>
                </c:pt>
                <c:pt idx="227">
                  <c:v>70.141500000000036</c:v>
                </c:pt>
                <c:pt idx="228">
                  <c:v>70.141500000000036</c:v>
                </c:pt>
                <c:pt idx="229">
                  <c:v>70.141500000000036</c:v>
                </c:pt>
                <c:pt idx="230">
                  <c:v>70.141500000000036</c:v>
                </c:pt>
                <c:pt idx="231">
                  <c:v>70.141500000000036</c:v>
                </c:pt>
                <c:pt idx="232">
                  <c:v>70.141500000000036</c:v>
                </c:pt>
                <c:pt idx="233">
                  <c:v>70.141500000000036</c:v>
                </c:pt>
                <c:pt idx="234">
                  <c:v>70.141500000000036</c:v>
                </c:pt>
                <c:pt idx="235">
                  <c:v>70.141500000000036</c:v>
                </c:pt>
                <c:pt idx="236">
                  <c:v>70.141500000000036</c:v>
                </c:pt>
                <c:pt idx="237">
                  <c:v>70.141500000000036</c:v>
                </c:pt>
                <c:pt idx="238">
                  <c:v>70.141500000000036</c:v>
                </c:pt>
                <c:pt idx="239">
                  <c:v>70.141500000000036</c:v>
                </c:pt>
                <c:pt idx="240">
                  <c:v>70.141500000000036</c:v>
                </c:pt>
                <c:pt idx="241">
                  <c:v>70.141500000000036</c:v>
                </c:pt>
                <c:pt idx="242">
                  <c:v>70.141500000000036</c:v>
                </c:pt>
                <c:pt idx="243">
                  <c:v>70.141500000000036</c:v>
                </c:pt>
                <c:pt idx="244">
                  <c:v>70.141500000000036</c:v>
                </c:pt>
                <c:pt idx="245">
                  <c:v>70.141500000000036</c:v>
                </c:pt>
                <c:pt idx="246">
                  <c:v>70.141500000000036</c:v>
                </c:pt>
                <c:pt idx="247">
                  <c:v>70.141500000000036</c:v>
                </c:pt>
                <c:pt idx="248">
                  <c:v>70.141500000000036</c:v>
                </c:pt>
                <c:pt idx="249">
                  <c:v>70.141500000000036</c:v>
                </c:pt>
                <c:pt idx="250">
                  <c:v>70.141500000000036</c:v>
                </c:pt>
                <c:pt idx="251">
                  <c:v>70.141500000000036</c:v>
                </c:pt>
                <c:pt idx="252">
                  <c:v>70.141500000000036</c:v>
                </c:pt>
                <c:pt idx="253">
                  <c:v>70.141500000000036</c:v>
                </c:pt>
                <c:pt idx="254">
                  <c:v>70.141500000000036</c:v>
                </c:pt>
                <c:pt idx="255">
                  <c:v>70.141500000000036</c:v>
                </c:pt>
                <c:pt idx="256">
                  <c:v>70.141500000000036</c:v>
                </c:pt>
                <c:pt idx="257">
                  <c:v>70.141500000000036</c:v>
                </c:pt>
                <c:pt idx="258">
                  <c:v>70.141500000000036</c:v>
                </c:pt>
                <c:pt idx="259">
                  <c:v>70.141500000000036</c:v>
                </c:pt>
                <c:pt idx="260">
                  <c:v>70.141500000000036</c:v>
                </c:pt>
                <c:pt idx="261">
                  <c:v>70.141500000000036</c:v>
                </c:pt>
                <c:pt idx="262">
                  <c:v>70.141500000000036</c:v>
                </c:pt>
                <c:pt idx="263">
                  <c:v>70.141500000000036</c:v>
                </c:pt>
                <c:pt idx="264">
                  <c:v>70.141500000000036</c:v>
                </c:pt>
                <c:pt idx="265">
                  <c:v>70.141500000000036</c:v>
                </c:pt>
                <c:pt idx="266">
                  <c:v>70.141500000000036</c:v>
                </c:pt>
                <c:pt idx="267">
                  <c:v>70.141500000000036</c:v>
                </c:pt>
                <c:pt idx="268">
                  <c:v>70.141500000000036</c:v>
                </c:pt>
                <c:pt idx="269">
                  <c:v>70.141500000000036</c:v>
                </c:pt>
                <c:pt idx="270">
                  <c:v>70.141500000000036</c:v>
                </c:pt>
                <c:pt idx="271">
                  <c:v>70.141500000000036</c:v>
                </c:pt>
                <c:pt idx="272">
                  <c:v>70.141500000000036</c:v>
                </c:pt>
                <c:pt idx="273">
                  <c:v>70.141500000000036</c:v>
                </c:pt>
                <c:pt idx="274">
                  <c:v>70.141500000000036</c:v>
                </c:pt>
                <c:pt idx="275">
                  <c:v>70.141500000000036</c:v>
                </c:pt>
                <c:pt idx="276">
                  <c:v>70.141500000000036</c:v>
                </c:pt>
                <c:pt idx="277">
                  <c:v>70.141500000000036</c:v>
                </c:pt>
                <c:pt idx="278">
                  <c:v>70.141500000000036</c:v>
                </c:pt>
                <c:pt idx="279">
                  <c:v>70.141500000000036</c:v>
                </c:pt>
                <c:pt idx="280">
                  <c:v>70.141500000000036</c:v>
                </c:pt>
                <c:pt idx="281">
                  <c:v>70.141500000000036</c:v>
                </c:pt>
                <c:pt idx="282">
                  <c:v>70.141500000000036</c:v>
                </c:pt>
                <c:pt idx="283">
                  <c:v>70.141500000000036</c:v>
                </c:pt>
                <c:pt idx="284">
                  <c:v>70.141500000000036</c:v>
                </c:pt>
                <c:pt idx="285">
                  <c:v>70.141500000000036</c:v>
                </c:pt>
                <c:pt idx="286">
                  <c:v>70.141500000000036</c:v>
                </c:pt>
                <c:pt idx="287">
                  <c:v>70.141500000000036</c:v>
                </c:pt>
                <c:pt idx="288">
                  <c:v>70.141500000000036</c:v>
                </c:pt>
                <c:pt idx="289">
                  <c:v>70.141500000000036</c:v>
                </c:pt>
                <c:pt idx="290">
                  <c:v>70.141500000000036</c:v>
                </c:pt>
                <c:pt idx="291">
                  <c:v>70.141500000000036</c:v>
                </c:pt>
                <c:pt idx="292">
                  <c:v>70.141500000000036</c:v>
                </c:pt>
                <c:pt idx="293">
                  <c:v>70.141500000000036</c:v>
                </c:pt>
                <c:pt idx="294">
                  <c:v>70.141500000000036</c:v>
                </c:pt>
                <c:pt idx="295">
                  <c:v>70.141500000000036</c:v>
                </c:pt>
                <c:pt idx="296">
                  <c:v>70.141500000000036</c:v>
                </c:pt>
                <c:pt idx="297">
                  <c:v>70.141500000000036</c:v>
                </c:pt>
                <c:pt idx="298">
                  <c:v>70.141500000000036</c:v>
                </c:pt>
                <c:pt idx="299">
                  <c:v>70.141500000000036</c:v>
                </c:pt>
                <c:pt idx="300">
                  <c:v>70.141500000000036</c:v>
                </c:pt>
                <c:pt idx="301">
                  <c:v>70.141500000000036</c:v>
                </c:pt>
                <c:pt idx="302">
                  <c:v>70.141500000000036</c:v>
                </c:pt>
                <c:pt idx="303">
                  <c:v>70.141500000000036</c:v>
                </c:pt>
                <c:pt idx="304">
                  <c:v>70.141500000000036</c:v>
                </c:pt>
                <c:pt idx="305">
                  <c:v>70.141500000000036</c:v>
                </c:pt>
                <c:pt idx="306">
                  <c:v>70.141500000000036</c:v>
                </c:pt>
                <c:pt idx="307">
                  <c:v>70.141500000000036</c:v>
                </c:pt>
                <c:pt idx="308">
                  <c:v>70.141500000000036</c:v>
                </c:pt>
                <c:pt idx="309">
                  <c:v>70.141500000000036</c:v>
                </c:pt>
                <c:pt idx="310">
                  <c:v>70.141500000000036</c:v>
                </c:pt>
                <c:pt idx="311">
                  <c:v>70.141500000000036</c:v>
                </c:pt>
                <c:pt idx="312">
                  <c:v>70.141500000000036</c:v>
                </c:pt>
                <c:pt idx="313">
                  <c:v>70.141500000000036</c:v>
                </c:pt>
                <c:pt idx="314">
                  <c:v>70.141500000000036</c:v>
                </c:pt>
                <c:pt idx="315">
                  <c:v>70.141500000000036</c:v>
                </c:pt>
                <c:pt idx="316">
                  <c:v>70.141500000000036</c:v>
                </c:pt>
                <c:pt idx="317">
                  <c:v>70.141500000000036</c:v>
                </c:pt>
                <c:pt idx="318">
                  <c:v>70.141500000000036</c:v>
                </c:pt>
                <c:pt idx="319">
                  <c:v>70.141500000000036</c:v>
                </c:pt>
                <c:pt idx="320">
                  <c:v>70.141500000000036</c:v>
                </c:pt>
                <c:pt idx="321">
                  <c:v>70.141500000000036</c:v>
                </c:pt>
                <c:pt idx="322">
                  <c:v>70.141500000000036</c:v>
                </c:pt>
                <c:pt idx="323">
                  <c:v>70.141500000000036</c:v>
                </c:pt>
                <c:pt idx="324">
                  <c:v>70.141500000000036</c:v>
                </c:pt>
                <c:pt idx="325">
                  <c:v>70.141500000000036</c:v>
                </c:pt>
                <c:pt idx="326">
                  <c:v>70.141500000000036</c:v>
                </c:pt>
                <c:pt idx="327">
                  <c:v>70.141500000000036</c:v>
                </c:pt>
                <c:pt idx="328">
                  <c:v>70.141500000000036</c:v>
                </c:pt>
                <c:pt idx="329">
                  <c:v>70.141500000000036</c:v>
                </c:pt>
                <c:pt idx="330">
                  <c:v>70.141500000000036</c:v>
                </c:pt>
                <c:pt idx="331">
                  <c:v>70.141500000000036</c:v>
                </c:pt>
                <c:pt idx="332">
                  <c:v>70.141500000000036</c:v>
                </c:pt>
                <c:pt idx="333">
                  <c:v>70.141500000000036</c:v>
                </c:pt>
                <c:pt idx="334">
                  <c:v>70.141500000000036</c:v>
                </c:pt>
                <c:pt idx="335">
                  <c:v>70.141500000000036</c:v>
                </c:pt>
                <c:pt idx="336">
                  <c:v>70.141500000000036</c:v>
                </c:pt>
                <c:pt idx="337">
                  <c:v>70.141500000000036</c:v>
                </c:pt>
                <c:pt idx="338">
                  <c:v>70.141500000000036</c:v>
                </c:pt>
                <c:pt idx="339">
                  <c:v>70.141500000000036</c:v>
                </c:pt>
                <c:pt idx="340">
                  <c:v>70.141500000000036</c:v>
                </c:pt>
                <c:pt idx="341">
                  <c:v>70.141500000000036</c:v>
                </c:pt>
                <c:pt idx="342">
                  <c:v>70.141500000000036</c:v>
                </c:pt>
                <c:pt idx="343">
                  <c:v>70.141500000000036</c:v>
                </c:pt>
                <c:pt idx="344">
                  <c:v>70.141500000000036</c:v>
                </c:pt>
                <c:pt idx="345">
                  <c:v>70.141500000000036</c:v>
                </c:pt>
                <c:pt idx="346">
                  <c:v>70.141500000000036</c:v>
                </c:pt>
                <c:pt idx="347">
                  <c:v>70.141500000000036</c:v>
                </c:pt>
                <c:pt idx="348">
                  <c:v>70.141500000000036</c:v>
                </c:pt>
                <c:pt idx="349">
                  <c:v>70.141500000000036</c:v>
                </c:pt>
                <c:pt idx="350">
                  <c:v>70.141500000000036</c:v>
                </c:pt>
                <c:pt idx="351">
                  <c:v>70.141500000000036</c:v>
                </c:pt>
                <c:pt idx="352">
                  <c:v>70.141500000000036</c:v>
                </c:pt>
                <c:pt idx="353">
                  <c:v>70.141500000000036</c:v>
                </c:pt>
                <c:pt idx="354">
                  <c:v>70.141500000000036</c:v>
                </c:pt>
                <c:pt idx="355">
                  <c:v>70.141500000000036</c:v>
                </c:pt>
                <c:pt idx="356">
                  <c:v>70.141500000000036</c:v>
                </c:pt>
                <c:pt idx="357">
                  <c:v>70.141500000000036</c:v>
                </c:pt>
                <c:pt idx="358">
                  <c:v>70.141500000000036</c:v>
                </c:pt>
                <c:pt idx="359">
                  <c:v>70.141500000000036</c:v>
                </c:pt>
                <c:pt idx="360">
                  <c:v>70.141500000000036</c:v>
                </c:pt>
                <c:pt idx="361">
                  <c:v>70.141500000000036</c:v>
                </c:pt>
                <c:pt idx="362">
                  <c:v>70.141500000000036</c:v>
                </c:pt>
                <c:pt idx="363">
                  <c:v>70.141500000000036</c:v>
                </c:pt>
                <c:pt idx="364">
                  <c:v>70.141500000000036</c:v>
                </c:pt>
                <c:pt idx="365">
                  <c:v>70.141500000000036</c:v>
                </c:pt>
                <c:pt idx="366">
                  <c:v>70.141500000000036</c:v>
                </c:pt>
                <c:pt idx="367">
                  <c:v>70.141500000000036</c:v>
                </c:pt>
                <c:pt idx="368">
                  <c:v>70.141500000000036</c:v>
                </c:pt>
                <c:pt idx="369">
                  <c:v>70.141500000000036</c:v>
                </c:pt>
                <c:pt idx="370">
                  <c:v>70.141500000000036</c:v>
                </c:pt>
                <c:pt idx="371">
                  <c:v>70.141500000000036</c:v>
                </c:pt>
                <c:pt idx="372">
                  <c:v>70.141500000000036</c:v>
                </c:pt>
                <c:pt idx="373">
                  <c:v>70.141500000000036</c:v>
                </c:pt>
                <c:pt idx="374">
                  <c:v>70.141500000000036</c:v>
                </c:pt>
                <c:pt idx="375">
                  <c:v>70.141500000000036</c:v>
                </c:pt>
                <c:pt idx="376">
                  <c:v>70.141500000000036</c:v>
                </c:pt>
                <c:pt idx="377">
                  <c:v>70.141500000000036</c:v>
                </c:pt>
                <c:pt idx="378">
                  <c:v>70.141500000000036</c:v>
                </c:pt>
                <c:pt idx="379">
                  <c:v>70.141500000000036</c:v>
                </c:pt>
                <c:pt idx="380">
                  <c:v>70.141500000000036</c:v>
                </c:pt>
                <c:pt idx="381">
                  <c:v>70.141500000000036</c:v>
                </c:pt>
                <c:pt idx="382">
                  <c:v>70.141500000000036</c:v>
                </c:pt>
                <c:pt idx="383">
                  <c:v>70.141500000000036</c:v>
                </c:pt>
                <c:pt idx="384">
                  <c:v>70.141500000000036</c:v>
                </c:pt>
                <c:pt idx="385">
                  <c:v>70.141500000000036</c:v>
                </c:pt>
                <c:pt idx="386">
                  <c:v>70.141500000000036</c:v>
                </c:pt>
                <c:pt idx="387">
                  <c:v>70.141500000000036</c:v>
                </c:pt>
                <c:pt idx="388">
                  <c:v>70.141500000000036</c:v>
                </c:pt>
                <c:pt idx="389">
                  <c:v>70.141500000000036</c:v>
                </c:pt>
                <c:pt idx="390">
                  <c:v>70.141500000000036</c:v>
                </c:pt>
                <c:pt idx="391">
                  <c:v>70.141500000000036</c:v>
                </c:pt>
                <c:pt idx="392">
                  <c:v>70.141500000000036</c:v>
                </c:pt>
                <c:pt idx="393">
                  <c:v>70.141500000000036</c:v>
                </c:pt>
                <c:pt idx="394">
                  <c:v>70.141500000000036</c:v>
                </c:pt>
                <c:pt idx="395">
                  <c:v>70.141500000000036</c:v>
                </c:pt>
                <c:pt idx="396">
                  <c:v>70.141500000000036</c:v>
                </c:pt>
                <c:pt idx="397">
                  <c:v>70.141500000000036</c:v>
                </c:pt>
                <c:pt idx="398">
                  <c:v>70.141500000000036</c:v>
                </c:pt>
                <c:pt idx="399">
                  <c:v>70.141500000000036</c:v>
                </c:pt>
                <c:pt idx="400">
                  <c:v>70.141500000000036</c:v>
                </c:pt>
                <c:pt idx="401">
                  <c:v>70.141500000000036</c:v>
                </c:pt>
                <c:pt idx="402">
                  <c:v>70.141500000000036</c:v>
                </c:pt>
                <c:pt idx="403">
                  <c:v>70.141500000000036</c:v>
                </c:pt>
                <c:pt idx="404">
                  <c:v>70.141500000000036</c:v>
                </c:pt>
                <c:pt idx="405">
                  <c:v>70.141500000000036</c:v>
                </c:pt>
                <c:pt idx="406">
                  <c:v>70.141500000000036</c:v>
                </c:pt>
                <c:pt idx="407">
                  <c:v>70.141500000000036</c:v>
                </c:pt>
                <c:pt idx="408">
                  <c:v>70.141500000000036</c:v>
                </c:pt>
                <c:pt idx="409">
                  <c:v>70.141500000000036</c:v>
                </c:pt>
                <c:pt idx="410">
                  <c:v>70.141500000000036</c:v>
                </c:pt>
                <c:pt idx="411">
                  <c:v>70.141500000000036</c:v>
                </c:pt>
                <c:pt idx="412">
                  <c:v>70.141500000000036</c:v>
                </c:pt>
                <c:pt idx="413">
                  <c:v>70.141500000000036</c:v>
                </c:pt>
                <c:pt idx="414">
                  <c:v>70.141500000000036</c:v>
                </c:pt>
                <c:pt idx="415">
                  <c:v>70.141500000000036</c:v>
                </c:pt>
                <c:pt idx="416">
                  <c:v>70.141500000000036</c:v>
                </c:pt>
                <c:pt idx="417">
                  <c:v>70.141500000000036</c:v>
                </c:pt>
                <c:pt idx="418">
                  <c:v>70.141500000000036</c:v>
                </c:pt>
                <c:pt idx="419">
                  <c:v>70.141500000000036</c:v>
                </c:pt>
                <c:pt idx="420">
                  <c:v>70.141500000000036</c:v>
                </c:pt>
                <c:pt idx="421">
                  <c:v>70.141500000000036</c:v>
                </c:pt>
                <c:pt idx="422">
                  <c:v>70.141500000000036</c:v>
                </c:pt>
                <c:pt idx="423">
                  <c:v>70.141500000000036</c:v>
                </c:pt>
                <c:pt idx="424">
                  <c:v>70.141500000000036</c:v>
                </c:pt>
                <c:pt idx="425">
                  <c:v>70.141500000000036</c:v>
                </c:pt>
                <c:pt idx="426">
                  <c:v>70.141500000000036</c:v>
                </c:pt>
                <c:pt idx="427">
                  <c:v>70.141500000000036</c:v>
                </c:pt>
                <c:pt idx="428">
                  <c:v>70.141500000000036</c:v>
                </c:pt>
                <c:pt idx="429">
                  <c:v>70.141500000000036</c:v>
                </c:pt>
                <c:pt idx="430">
                  <c:v>70.141500000000036</c:v>
                </c:pt>
                <c:pt idx="431">
                  <c:v>70.141500000000036</c:v>
                </c:pt>
                <c:pt idx="432">
                  <c:v>70.141500000000036</c:v>
                </c:pt>
                <c:pt idx="433">
                  <c:v>70.141500000000036</c:v>
                </c:pt>
                <c:pt idx="434">
                  <c:v>70.141500000000036</c:v>
                </c:pt>
                <c:pt idx="435">
                  <c:v>70.141500000000036</c:v>
                </c:pt>
                <c:pt idx="436">
                  <c:v>70.141500000000036</c:v>
                </c:pt>
                <c:pt idx="437">
                  <c:v>70.141500000000036</c:v>
                </c:pt>
                <c:pt idx="438">
                  <c:v>70.141500000000036</c:v>
                </c:pt>
                <c:pt idx="439">
                  <c:v>70.141500000000036</c:v>
                </c:pt>
                <c:pt idx="440">
                  <c:v>70.141500000000036</c:v>
                </c:pt>
                <c:pt idx="441">
                  <c:v>70.141500000000036</c:v>
                </c:pt>
                <c:pt idx="442">
                  <c:v>70.141500000000036</c:v>
                </c:pt>
                <c:pt idx="443">
                  <c:v>70.141500000000036</c:v>
                </c:pt>
                <c:pt idx="444">
                  <c:v>70.141500000000036</c:v>
                </c:pt>
                <c:pt idx="445">
                  <c:v>70.141500000000036</c:v>
                </c:pt>
                <c:pt idx="446">
                  <c:v>70.141500000000036</c:v>
                </c:pt>
                <c:pt idx="447">
                  <c:v>70.141500000000036</c:v>
                </c:pt>
                <c:pt idx="448">
                  <c:v>70.141500000000036</c:v>
                </c:pt>
                <c:pt idx="449">
                  <c:v>70.141500000000036</c:v>
                </c:pt>
                <c:pt idx="450">
                  <c:v>70.141500000000036</c:v>
                </c:pt>
                <c:pt idx="451">
                  <c:v>70.141500000000036</c:v>
                </c:pt>
                <c:pt idx="452">
                  <c:v>70.141500000000036</c:v>
                </c:pt>
                <c:pt idx="453">
                  <c:v>70.141500000000036</c:v>
                </c:pt>
                <c:pt idx="454">
                  <c:v>70.141500000000036</c:v>
                </c:pt>
                <c:pt idx="455">
                  <c:v>70.141500000000036</c:v>
                </c:pt>
                <c:pt idx="456">
                  <c:v>70.141500000000036</c:v>
                </c:pt>
                <c:pt idx="457">
                  <c:v>70.141500000000036</c:v>
                </c:pt>
                <c:pt idx="458">
                  <c:v>70.141500000000036</c:v>
                </c:pt>
                <c:pt idx="459">
                  <c:v>70.141500000000036</c:v>
                </c:pt>
                <c:pt idx="460">
                  <c:v>70.141500000000036</c:v>
                </c:pt>
                <c:pt idx="461">
                  <c:v>70.141500000000036</c:v>
                </c:pt>
                <c:pt idx="462">
                  <c:v>70.141500000000036</c:v>
                </c:pt>
                <c:pt idx="463">
                  <c:v>70.141500000000036</c:v>
                </c:pt>
                <c:pt idx="464">
                  <c:v>70.141500000000036</c:v>
                </c:pt>
                <c:pt idx="465">
                  <c:v>70.141500000000036</c:v>
                </c:pt>
                <c:pt idx="466">
                  <c:v>70.141500000000036</c:v>
                </c:pt>
                <c:pt idx="467">
                  <c:v>70.141500000000036</c:v>
                </c:pt>
                <c:pt idx="468">
                  <c:v>70.141500000000036</c:v>
                </c:pt>
                <c:pt idx="469">
                  <c:v>70.141500000000036</c:v>
                </c:pt>
                <c:pt idx="470">
                  <c:v>70.141500000000036</c:v>
                </c:pt>
                <c:pt idx="471">
                  <c:v>70.141500000000036</c:v>
                </c:pt>
                <c:pt idx="472">
                  <c:v>70.141500000000036</c:v>
                </c:pt>
                <c:pt idx="473">
                  <c:v>70.141500000000036</c:v>
                </c:pt>
                <c:pt idx="474">
                  <c:v>70.141500000000036</c:v>
                </c:pt>
                <c:pt idx="475">
                  <c:v>70.141500000000036</c:v>
                </c:pt>
                <c:pt idx="476">
                  <c:v>70.141500000000036</c:v>
                </c:pt>
                <c:pt idx="477">
                  <c:v>70.141500000000036</c:v>
                </c:pt>
                <c:pt idx="478">
                  <c:v>70.141500000000036</c:v>
                </c:pt>
                <c:pt idx="479">
                  <c:v>70.141500000000036</c:v>
                </c:pt>
                <c:pt idx="480">
                  <c:v>70.141500000000036</c:v>
                </c:pt>
                <c:pt idx="481">
                  <c:v>70.141500000000036</c:v>
                </c:pt>
                <c:pt idx="482">
                  <c:v>70.141500000000036</c:v>
                </c:pt>
                <c:pt idx="483">
                  <c:v>70.141500000000036</c:v>
                </c:pt>
                <c:pt idx="484">
                  <c:v>70.141500000000036</c:v>
                </c:pt>
                <c:pt idx="485">
                  <c:v>70.141500000000036</c:v>
                </c:pt>
                <c:pt idx="486">
                  <c:v>70.141500000000036</c:v>
                </c:pt>
                <c:pt idx="487">
                  <c:v>70.141500000000036</c:v>
                </c:pt>
                <c:pt idx="488">
                  <c:v>70.141500000000036</c:v>
                </c:pt>
                <c:pt idx="489">
                  <c:v>70.141500000000036</c:v>
                </c:pt>
                <c:pt idx="490">
                  <c:v>70.141500000000036</c:v>
                </c:pt>
                <c:pt idx="491">
                  <c:v>70.141500000000036</c:v>
                </c:pt>
                <c:pt idx="492">
                  <c:v>70.141500000000036</c:v>
                </c:pt>
                <c:pt idx="493">
                  <c:v>70.141500000000036</c:v>
                </c:pt>
                <c:pt idx="494">
                  <c:v>70.141500000000036</c:v>
                </c:pt>
                <c:pt idx="495">
                  <c:v>70.141500000000036</c:v>
                </c:pt>
                <c:pt idx="496">
                  <c:v>70.141500000000036</c:v>
                </c:pt>
                <c:pt idx="497">
                  <c:v>70.141500000000036</c:v>
                </c:pt>
                <c:pt idx="498">
                  <c:v>70.141500000000036</c:v>
                </c:pt>
                <c:pt idx="499">
                  <c:v>70.141500000000036</c:v>
                </c:pt>
                <c:pt idx="500">
                  <c:v>70.141500000000036</c:v>
                </c:pt>
                <c:pt idx="501">
                  <c:v>70.141500000000036</c:v>
                </c:pt>
                <c:pt idx="502">
                  <c:v>70.141500000000036</c:v>
                </c:pt>
                <c:pt idx="503">
                  <c:v>70.141500000000036</c:v>
                </c:pt>
                <c:pt idx="504">
                  <c:v>70.141500000000036</c:v>
                </c:pt>
                <c:pt idx="505">
                  <c:v>70.141500000000036</c:v>
                </c:pt>
                <c:pt idx="506">
                  <c:v>70.141500000000036</c:v>
                </c:pt>
                <c:pt idx="507">
                  <c:v>70.141500000000036</c:v>
                </c:pt>
                <c:pt idx="508">
                  <c:v>70.141500000000036</c:v>
                </c:pt>
                <c:pt idx="509">
                  <c:v>70.141500000000036</c:v>
                </c:pt>
                <c:pt idx="510">
                  <c:v>70.141500000000036</c:v>
                </c:pt>
                <c:pt idx="511">
                  <c:v>70.141500000000036</c:v>
                </c:pt>
                <c:pt idx="512">
                  <c:v>70.141500000000036</c:v>
                </c:pt>
                <c:pt idx="513">
                  <c:v>70.141500000000036</c:v>
                </c:pt>
                <c:pt idx="514">
                  <c:v>70.141500000000036</c:v>
                </c:pt>
                <c:pt idx="515">
                  <c:v>70.141500000000036</c:v>
                </c:pt>
                <c:pt idx="516">
                  <c:v>70.141500000000036</c:v>
                </c:pt>
                <c:pt idx="517">
                  <c:v>70.141500000000036</c:v>
                </c:pt>
                <c:pt idx="518">
                  <c:v>70.141500000000036</c:v>
                </c:pt>
                <c:pt idx="519">
                  <c:v>70.141500000000036</c:v>
                </c:pt>
                <c:pt idx="520">
                  <c:v>70.141500000000036</c:v>
                </c:pt>
                <c:pt idx="521">
                  <c:v>70.141500000000036</c:v>
                </c:pt>
                <c:pt idx="522">
                  <c:v>70.141500000000036</c:v>
                </c:pt>
                <c:pt idx="523">
                  <c:v>70.141500000000036</c:v>
                </c:pt>
                <c:pt idx="524">
                  <c:v>70.141500000000036</c:v>
                </c:pt>
                <c:pt idx="525">
                  <c:v>70.141500000000036</c:v>
                </c:pt>
                <c:pt idx="526">
                  <c:v>70.141500000000036</c:v>
                </c:pt>
                <c:pt idx="527">
                  <c:v>70.141500000000036</c:v>
                </c:pt>
                <c:pt idx="528">
                  <c:v>70.141500000000036</c:v>
                </c:pt>
                <c:pt idx="529">
                  <c:v>70.141500000000036</c:v>
                </c:pt>
                <c:pt idx="530">
                  <c:v>70.141500000000036</c:v>
                </c:pt>
                <c:pt idx="531">
                  <c:v>70.141500000000036</c:v>
                </c:pt>
                <c:pt idx="532">
                  <c:v>70.141500000000036</c:v>
                </c:pt>
                <c:pt idx="533">
                  <c:v>70.141500000000036</c:v>
                </c:pt>
                <c:pt idx="534">
                  <c:v>70.141500000000036</c:v>
                </c:pt>
                <c:pt idx="535">
                  <c:v>70.141500000000036</c:v>
                </c:pt>
                <c:pt idx="536">
                  <c:v>70.141500000000036</c:v>
                </c:pt>
                <c:pt idx="537">
                  <c:v>70.141500000000036</c:v>
                </c:pt>
                <c:pt idx="538">
                  <c:v>70.141500000000036</c:v>
                </c:pt>
                <c:pt idx="539">
                  <c:v>70.141500000000036</c:v>
                </c:pt>
                <c:pt idx="540">
                  <c:v>70.141500000000036</c:v>
                </c:pt>
                <c:pt idx="541">
                  <c:v>70.141500000000036</c:v>
                </c:pt>
                <c:pt idx="542">
                  <c:v>70.141500000000036</c:v>
                </c:pt>
                <c:pt idx="543">
                  <c:v>70.141500000000036</c:v>
                </c:pt>
                <c:pt idx="544">
                  <c:v>70.141500000000036</c:v>
                </c:pt>
                <c:pt idx="545">
                  <c:v>70.141500000000036</c:v>
                </c:pt>
                <c:pt idx="546">
                  <c:v>70.141500000000036</c:v>
                </c:pt>
                <c:pt idx="547">
                  <c:v>70.141500000000036</c:v>
                </c:pt>
                <c:pt idx="548">
                  <c:v>70.141500000000036</c:v>
                </c:pt>
                <c:pt idx="549">
                  <c:v>70.141500000000036</c:v>
                </c:pt>
                <c:pt idx="550">
                  <c:v>70.141500000000036</c:v>
                </c:pt>
                <c:pt idx="551">
                  <c:v>70.141500000000036</c:v>
                </c:pt>
                <c:pt idx="552">
                  <c:v>70.141500000000036</c:v>
                </c:pt>
                <c:pt idx="553">
                  <c:v>70.141500000000036</c:v>
                </c:pt>
                <c:pt idx="554">
                  <c:v>70.141500000000036</c:v>
                </c:pt>
                <c:pt idx="555">
                  <c:v>70.141500000000036</c:v>
                </c:pt>
                <c:pt idx="556">
                  <c:v>70.141500000000036</c:v>
                </c:pt>
                <c:pt idx="557">
                  <c:v>70.141500000000036</c:v>
                </c:pt>
                <c:pt idx="558">
                  <c:v>70.141500000000036</c:v>
                </c:pt>
                <c:pt idx="559">
                  <c:v>70.141500000000036</c:v>
                </c:pt>
                <c:pt idx="560">
                  <c:v>70.141500000000036</c:v>
                </c:pt>
                <c:pt idx="561">
                  <c:v>70.141500000000036</c:v>
                </c:pt>
                <c:pt idx="562">
                  <c:v>70.141500000000036</c:v>
                </c:pt>
                <c:pt idx="563">
                  <c:v>70.141500000000036</c:v>
                </c:pt>
                <c:pt idx="564">
                  <c:v>70.141500000000036</c:v>
                </c:pt>
                <c:pt idx="565">
                  <c:v>70.141500000000036</c:v>
                </c:pt>
                <c:pt idx="566">
                  <c:v>70.141500000000036</c:v>
                </c:pt>
                <c:pt idx="567">
                  <c:v>70.141500000000036</c:v>
                </c:pt>
                <c:pt idx="568">
                  <c:v>70.141500000000036</c:v>
                </c:pt>
                <c:pt idx="569">
                  <c:v>70.141500000000036</c:v>
                </c:pt>
                <c:pt idx="570">
                  <c:v>70.141500000000036</c:v>
                </c:pt>
                <c:pt idx="571">
                  <c:v>70.141500000000036</c:v>
                </c:pt>
                <c:pt idx="572">
                  <c:v>70.141500000000036</c:v>
                </c:pt>
                <c:pt idx="573">
                  <c:v>70.141500000000036</c:v>
                </c:pt>
                <c:pt idx="574">
                  <c:v>70.141500000000036</c:v>
                </c:pt>
                <c:pt idx="575">
                  <c:v>70.141500000000036</c:v>
                </c:pt>
                <c:pt idx="576">
                  <c:v>70.141500000000036</c:v>
                </c:pt>
                <c:pt idx="577">
                  <c:v>70.141500000000036</c:v>
                </c:pt>
                <c:pt idx="578">
                  <c:v>70.141500000000036</c:v>
                </c:pt>
                <c:pt idx="579">
                  <c:v>70.141500000000036</c:v>
                </c:pt>
                <c:pt idx="580">
                  <c:v>70.141500000000036</c:v>
                </c:pt>
                <c:pt idx="581">
                  <c:v>70.141500000000036</c:v>
                </c:pt>
                <c:pt idx="582">
                  <c:v>70.141500000000036</c:v>
                </c:pt>
                <c:pt idx="583">
                  <c:v>70.141500000000036</c:v>
                </c:pt>
                <c:pt idx="584">
                  <c:v>70.141500000000036</c:v>
                </c:pt>
                <c:pt idx="585">
                  <c:v>70.141500000000036</c:v>
                </c:pt>
                <c:pt idx="586">
                  <c:v>70.141500000000036</c:v>
                </c:pt>
                <c:pt idx="587">
                  <c:v>70.141500000000036</c:v>
                </c:pt>
                <c:pt idx="588">
                  <c:v>70.141500000000036</c:v>
                </c:pt>
                <c:pt idx="589">
                  <c:v>70.141500000000036</c:v>
                </c:pt>
                <c:pt idx="590">
                  <c:v>70.141500000000036</c:v>
                </c:pt>
                <c:pt idx="591">
                  <c:v>70.141500000000036</c:v>
                </c:pt>
                <c:pt idx="592">
                  <c:v>70.141500000000036</c:v>
                </c:pt>
                <c:pt idx="593">
                  <c:v>70.141500000000036</c:v>
                </c:pt>
                <c:pt idx="594">
                  <c:v>70.141500000000036</c:v>
                </c:pt>
                <c:pt idx="595">
                  <c:v>70.141500000000036</c:v>
                </c:pt>
                <c:pt idx="596">
                  <c:v>70.141500000000036</c:v>
                </c:pt>
                <c:pt idx="597">
                  <c:v>70.141500000000036</c:v>
                </c:pt>
                <c:pt idx="598">
                  <c:v>70.141500000000036</c:v>
                </c:pt>
                <c:pt idx="599">
                  <c:v>70.141500000000036</c:v>
                </c:pt>
                <c:pt idx="600">
                  <c:v>70.141500000000036</c:v>
                </c:pt>
                <c:pt idx="601">
                  <c:v>70.141500000000036</c:v>
                </c:pt>
                <c:pt idx="602">
                  <c:v>70.141500000000036</c:v>
                </c:pt>
                <c:pt idx="603">
                  <c:v>70.141500000000036</c:v>
                </c:pt>
                <c:pt idx="604">
                  <c:v>70.141500000000036</c:v>
                </c:pt>
                <c:pt idx="605">
                  <c:v>70.141500000000036</c:v>
                </c:pt>
                <c:pt idx="606">
                  <c:v>70.141500000000036</c:v>
                </c:pt>
                <c:pt idx="607">
                  <c:v>70.141500000000036</c:v>
                </c:pt>
                <c:pt idx="608">
                  <c:v>70.141500000000036</c:v>
                </c:pt>
                <c:pt idx="609">
                  <c:v>70.141500000000036</c:v>
                </c:pt>
                <c:pt idx="610">
                  <c:v>70.141500000000036</c:v>
                </c:pt>
                <c:pt idx="611">
                  <c:v>70.141500000000036</c:v>
                </c:pt>
                <c:pt idx="612">
                  <c:v>70.141500000000036</c:v>
                </c:pt>
                <c:pt idx="613">
                  <c:v>70.141500000000036</c:v>
                </c:pt>
                <c:pt idx="614">
                  <c:v>70.141500000000036</c:v>
                </c:pt>
                <c:pt idx="615">
                  <c:v>70.141500000000036</c:v>
                </c:pt>
                <c:pt idx="616">
                  <c:v>70.141500000000036</c:v>
                </c:pt>
                <c:pt idx="617">
                  <c:v>70.141500000000036</c:v>
                </c:pt>
                <c:pt idx="618">
                  <c:v>70.141500000000036</c:v>
                </c:pt>
                <c:pt idx="619">
                  <c:v>70.141500000000036</c:v>
                </c:pt>
                <c:pt idx="620">
                  <c:v>70.141500000000036</c:v>
                </c:pt>
                <c:pt idx="621">
                  <c:v>70.141500000000036</c:v>
                </c:pt>
                <c:pt idx="622">
                  <c:v>70.141500000000036</c:v>
                </c:pt>
                <c:pt idx="623">
                  <c:v>70.141500000000036</c:v>
                </c:pt>
                <c:pt idx="624">
                  <c:v>70.141500000000036</c:v>
                </c:pt>
                <c:pt idx="625">
                  <c:v>70.141500000000036</c:v>
                </c:pt>
                <c:pt idx="626">
                  <c:v>70.141500000000036</c:v>
                </c:pt>
                <c:pt idx="627">
                  <c:v>70.141500000000036</c:v>
                </c:pt>
                <c:pt idx="628">
                  <c:v>70.141500000000036</c:v>
                </c:pt>
                <c:pt idx="629">
                  <c:v>70.141500000000036</c:v>
                </c:pt>
                <c:pt idx="630">
                  <c:v>70.141500000000036</c:v>
                </c:pt>
                <c:pt idx="631">
                  <c:v>70.141500000000036</c:v>
                </c:pt>
                <c:pt idx="632">
                  <c:v>70.141500000000036</c:v>
                </c:pt>
                <c:pt idx="633">
                  <c:v>70.141500000000036</c:v>
                </c:pt>
                <c:pt idx="634">
                  <c:v>70.141500000000036</c:v>
                </c:pt>
                <c:pt idx="635">
                  <c:v>70.141500000000036</c:v>
                </c:pt>
                <c:pt idx="636">
                  <c:v>70.141500000000036</c:v>
                </c:pt>
                <c:pt idx="637">
                  <c:v>70.141500000000036</c:v>
                </c:pt>
                <c:pt idx="638">
                  <c:v>70.141500000000036</c:v>
                </c:pt>
                <c:pt idx="639">
                  <c:v>70.141500000000036</c:v>
                </c:pt>
                <c:pt idx="640">
                  <c:v>70.141500000000036</c:v>
                </c:pt>
                <c:pt idx="641">
                  <c:v>70.141500000000036</c:v>
                </c:pt>
                <c:pt idx="642">
                  <c:v>70.141500000000036</c:v>
                </c:pt>
                <c:pt idx="643">
                  <c:v>70.141500000000036</c:v>
                </c:pt>
                <c:pt idx="644">
                  <c:v>70.141500000000036</c:v>
                </c:pt>
                <c:pt idx="645">
                  <c:v>70.141500000000036</c:v>
                </c:pt>
                <c:pt idx="646">
                  <c:v>70.141500000000036</c:v>
                </c:pt>
                <c:pt idx="647">
                  <c:v>70.141500000000036</c:v>
                </c:pt>
                <c:pt idx="648">
                  <c:v>70.141500000000036</c:v>
                </c:pt>
                <c:pt idx="649">
                  <c:v>70.141500000000036</c:v>
                </c:pt>
                <c:pt idx="650">
                  <c:v>70.141500000000036</c:v>
                </c:pt>
                <c:pt idx="651">
                  <c:v>70.141500000000036</c:v>
                </c:pt>
                <c:pt idx="652">
                  <c:v>70.141500000000036</c:v>
                </c:pt>
                <c:pt idx="653">
                  <c:v>70.141500000000036</c:v>
                </c:pt>
                <c:pt idx="654">
                  <c:v>70.141500000000036</c:v>
                </c:pt>
                <c:pt idx="655">
                  <c:v>70.141500000000036</c:v>
                </c:pt>
                <c:pt idx="656">
                  <c:v>70.141500000000036</c:v>
                </c:pt>
                <c:pt idx="657">
                  <c:v>70.141500000000036</c:v>
                </c:pt>
                <c:pt idx="658">
                  <c:v>70.141500000000036</c:v>
                </c:pt>
                <c:pt idx="659">
                  <c:v>70.141500000000036</c:v>
                </c:pt>
                <c:pt idx="660">
                  <c:v>70.141500000000036</c:v>
                </c:pt>
                <c:pt idx="661">
                  <c:v>70.141500000000036</c:v>
                </c:pt>
                <c:pt idx="662">
                  <c:v>70.141500000000036</c:v>
                </c:pt>
                <c:pt idx="663">
                  <c:v>70.141500000000036</c:v>
                </c:pt>
                <c:pt idx="664">
                  <c:v>70.141500000000036</c:v>
                </c:pt>
                <c:pt idx="665">
                  <c:v>70.141500000000036</c:v>
                </c:pt>
                <c:pt idx="666">
                  <c:v>70.141500000000036</c:v>
                </c:pt>
                <c:pt idx="667">
                  <c:v>70.141500000000036</c:v>
                </c:pt>
                <c:pt idx="668">
                  <c:v>70.141500000000036</c:v>
                </c:pt>
                <c:pt idx="669">
                  <c:v>70.141500000000036</c:v>
                </c:pt>
                <c:pt idx="670">
                  <c:v>70.141500000000036</c:v>
                </c:pt>
                <c:pt idx="671">
                  <c:v>70.141500000000036</c:v>
                </c:pt>
                <c:pt idx="672">
                  <c:v>70.141500000000036</c:v>
                </c:pt>
                <c:pt idx="673">
                  <c:v>70.141500000000036</c:v>
                </c:pt>
                <c:pt idx="674">
                  <c:v>70.141500000000036</c:v>
                </c:pt>
                <c:pt idx="675">
                  <c:v>70.141500000000036</c:v>
                </c:pt>
                <c:pt idx="676">
                  <c:v>70.141500000000036</c:v>
                </c:pt>
                <c:pt idx="677">
                  <c:v>70.141500000000036</c:v>
                </c:pt>
                <c:pt idx="678">
                  <c:v>70.141500000000036</c:v>
                </c:pt>
                <c:pt idx="679">
                  <c:v>70.141500000000036</c:v>
                </c:pt>
                <c:pt idx="680">
                  <c:v>70.141500000000036</c:v>
                </c:pt>
                <c:pt idx="681">
                  <c:v>70.141500000000036</c:v>
                </c:pt>
                <c:pt idx="682">
                  <c:v>70.141500000000036</c:v>
                </c:pt>
                <c:pt idx="683">
                  <c:v>70.141500000000036</c:v>
                </c:pt>
                <c:pt idx="684">
                  <c:v>70.141500000000036</c:v>
                </c:pt>
                <c:pt idx="685">
                  <c:v>70.141500000000036</c:v>
                </c:pt>
                <c:pt idx="686">
                  <c:v>70.141500000000036</c:v>
                </c:pt>
                <c:pt idx="687">
                  <c:v>70.141500000000036</c:v>
                </c:pt>
                <c:pt idx="688">
                  <c:v>70.141500000000036</c:v>
                </c:pt>
                <c:pt idx="689">
                  <c:v>70.141500000000036</c:v>
                </c:pt>
                <c:pt idx="690">
                  <c:v>70.141500000000036</c:v>
                </c:pt>
                <c:pt idx="691">
                  <c:v>70.141500000000036</c:v>
                </c:pt>
                <c:pt idx="692">
                  <c:v>70.141500000000036</c:v>
                </c:pt>
                <c:pt idx="693">
                  <c:v>70.141500000000036</c:v>
                </c:pt>
                <c:pt idx="694">
                  <c:v>70.141500000000036</c:v>
                </c:pt>
                <c:pt idx="695">
                  <c:v>70.141500000000036</c:v>
                </c:pt>
                <c:pt idx="696">
                  <c:v>70.141500000000036</c:v>
                </c:pt>
                <c:pt idx="697">
                  <c:v>70.141500000000036</c:v>
                </c:pt>
                <c:pt idx="698">
                  <c:v>70.141500000000036</c:v>
                </c:pt>
                <c:pt idx="699">
                  <c:v>70.141500000000036</c:v>
                </c:pt>
                <c:pt idx="700">
                  <c:v>70.141500000000036</c:v>
                </c:pt>
                <c:pt idx="701">
                  <c:v>70.141500000000036</c:v>
                </c:pt>
                <c:pt idx="702">
                  <c:v>70.141500000000036</c:v>
                </c:pt>
                <c:pt idx="703">
                  <c:v>70.141500000000036</c:v>
                </c:pt>
                <c:pt idx="704">
                  <c:v>70.141500000000036</c:v>
                </c:pt>
                <c:pt idx="705">
                  <c:v>70.141500000000036</c:v>
                </c:pt>
                <c:pt idx="706">
                  <c:v>70.141500000000036</c:v>
                </c:pt>
                <c:pt idx="707">
                  <c:v>70.141500000000036</c:v>
                </c:pt>
                <c:pt idx="708">
                  <c:v>70.141500000000036</c:v>
                </c:pt>
                <c:pt idx="709">
                  <c:v>70.141500000000036</c:v>
                </c:pt>
                <c:pt idx="710">
                  <c:v>70.141500000000036</c:v>
                </c:pt>
                <c:pt idx="711">
                  <c:v>70.141500000000036</c:v>
                </c:pt>
                <c:pt idx="712">
                  <c:v>70.141500000000036</c:v>
                </c:pt>
                <c:pt idx="713">
                  <c:v>70.141500000000036</c:v>
                </c:pt>
                <c:pt idx="714">
                  <c:v>70.141500000000036</c:v>
                </c:pt>
                <c:pt idx="715">
                  <c:v>70.141500000000036</c:v>
                </c:pt>
                <c:pt idx="716">
                  <c:v>70.141500000000036</c:v>
                </c:pt>
                <c:pt idx="717">
                  <c:v>70.141500000000036</c:v>
                </c:pt>
                <c:pt idx="718">
                  <c:v>70.141500000000036</c:v>
                </c:pt>
                <c:pt idx="719">
                  <c:v>70.141500000000036</c:v>
                </c:pt>
                <c:pt idx="720">
                  <c:v>70.141500000000036</c:v>
                </c:pt>
                <c:pt idx="721">
                  <c:v>70.141500000000036</c:v>
                </c:pt>
                <c:pt idx="722">
                  <c:v>70.141500000000036</c:v>
                </c:pt>
                <c:pt idx="723">
                  <c:v>70.141500000000036</c:v>
                </c:pt>
                <c:pt idx="724">
                  <c:v>70.141500000000036</c:v>
                </c:pt>
                <c:pt idx="725">
                  <c:v>70.141500000000036</c:v>
                </c:pt>
                <c:pt idx="726">
                  <c:v>70.141500000000036</c:v>
                </c:pt>
                <c:pt idx="727">
                  <c:v>70.141500000000036</c:v>
                </c:pt>
                <c:pt idx="728">
                  <c:v>70.141500000000036</c:v>
                </c:pt>
                <c:pt idx="729">
                  <c:v>70.141500000000036</c:v>
                </c:pt>
                <c:pt idx="730">
                  <c:v>70.141500000000036</c:v>
                </c:pt>
                <c:pt idx="731">
                  <c:v>70.141500000000036</c:v>
                </c:pt>
                <c:pt idx="732">
                  <c:v>70.141500000000036</c:v>
                </c:pt>
                <c:pt idx="733">
                  <c:v>70.141500000000036</c:v>
                </c:pt>
                <c:pt idx="734">
                  <c:v>70.141500000000036</c:v>
                </c:pt>
                <c:pt idx="735">
                  <c:v>70.141500000000036</c:v>
                </c:pt>
                <c:pt idx="736">
                  <c:v>70.141500000000036</c:v>
                </c:pt>
                <c:pt idx="737">
                  <c:v>70.141500000000036</c:v>
                </c:pt>
                <c:pt idx="738">
                  <c:v>70.141500000000036</c:v>
                </c:pt>
                <c:pt idx="739">
                  <c:v>70.141500000000036</c:v>
                </c:pt>
                <c:pt idx="740">
                  <c:v>70.141500000000036</c:v>
                </c:pt>
                <c:pt idx="741">
                  <c:v>70.141500000000036</c:v>
                </c:pt>
                <c:pt idx="742">
                  <c:v>70.141500000000036</c:v>
                </c:pt>
                <c:pt idx="743">
                  <c:v>70.141500000000036</c:v>
                </c:pt>
                <c:pt idx="744">
                  <c:v>70.141500000000036</c:v>
                </c:pt>
                <c:pt idx="745">
                  <c:v>70.141500000000036</c:v>
                </c:pt>
                <c:pt idx="746">
                  <c:v>70.141500000000036</c:v>
                </c:pt>
                <c:pt idx="747">
                  <c:v>70.141500000000036</c:v>
                </c:pt>
                <c:pt idx="748">
                  <c:v>70.141500000000036</c:v>
                </c:pt>
                <c:pt idx="749">
                  <c:v>70.141500000000036</c:v>
                </c:pt>
                <c:pt idx="750">
                  <c:v>70.141500000000036</c:v>
                </c:pt>
                <c:pt idx="751">
                  <c:v>70.141500000000036</c:v>
                </c:pt>
                <c:pt idx="752">
                  <c:v>70.141500000000036</c:v>
                </c:pt>
                <c:pt idx="753">
                  <c:v>70.141500000000036</c:v>
                </c:pt>
                <c:pt idx="754">
                  <c:v>70.141500000000036</c:v>
                </c:pt>
                <c:pt idx="755">
                  <c:v>70.141500000000036</c:v>
                </c:pt>
                <c:pt idx="756">
                  <c:v>70.141500000000036</c:v>
                </c:pt>
                <c:pt idx="757">
                  <c:v>70.141500000000036</c:v>
                </c:pt>
                <c:pt idx="758">
                  <c:v>70.141500000000036</c:v>
                </c:pt>
                <c:pt idx="759">
                  <c:v>70.141500000000036</c:v>
                </c:pt>
                <c:pt idx="760">
                  <c:v>70.141500000000036</c:v>
                </c:pt>
                <c:pt idx="761">
                  <c:v>70.141500000000036</c:v>
                </c:pt>
                <c:pt idx="762">
                  <c:v>70.141500000000036</c:v>
                </c:pt>
                <c:pt idx="763">
                  <c:v>70.141500000000036</c:v>
                </c:pt>
                <c:pt idx="764">
                  <c:v>70.141500000000036</c:v>
                </c:pt>
                <c:pt idx="765">
                  <c:v>70.141500000000036</c:v>
                </c:pt>
                <c:pt idx="766">
                  <c:v>70.141500000000036</c:v>
                </c:pt>
                <c:pt idx="767">
                  <c:v>70.141500000000036</c:v>
                </c:pt>
                <c:pt idx="768">
                  <c:v>70.141500000000036</c:v>
                </c:pt>
                <c:pt idx="769">
                  <c:v>70.141500000000036</c:v>
                </c:pt>
                <c:pt idx="770">
                  <c:v>70.141500000000036</c:v>
                </c:pt>
                <c:pt idx="771">
                  <c:v>70.141500000000036</c:v>
                </c:pt>
                <c:pt idx="772">
                  <c:v>70.141500000000036</c:v>
                </c:pt>
                <c:pt idx="773">
                  <c:v>70.141500000000036</c:v>
                </c:pt>
                <c:pt idx="774">
                  <c:v>70.141500000000036</c:v>
                </c:pt>
                <c:pt idx="775">
                  <c:v>70.141500000000036</c:v>
                </c:pt>
                <c:pt idx="776">
                  <c:v>70.141500000000036</c:v>
                </c:pt>
                <c:pt idx="777">
                  <c:v>70.141500000000036</c:v>
                </c:pt>
                <c:pt idx="778">
                  <c:v>70.141500000000036</c:v>
                </c:pt>
                <c:pt idx="779">
                  <c:v>70.141500000000036</c:v>
                </c:pt>
                <c:pt idx="780">
                  <c:v>70.141500000000036</c:v>
                </c:pt>
                <c:pt idx="781">
                  <c:v>70.141500000000036</c:v>
                </c:pt>
                <c:pt idx="782">
                  <c:v>70.141500000000036</c:v>
                </c:pt>
                <c:pt idx="783">
                  <c:v>70.141500000000036</c:v>
                </c:pt>
                <c:pt idx="784">
                  <c:v>70.141500000000036</c:v>
                </c:pt>
                <c:pt idx="785">
                  <c:v>70.141500000000036</c:v>
                </c:pt>
                <c:pt idx="786">
                  <c:v>70.141500000000036</c:v>
                </c:pt>
                <c:pt idx="787">
                  <c:v>70.141500000000036</c:v>
                </c:pt>
                <c:pt idx="788">
                  <c:v>70.141500000000036</c:v>
                </c:pt>
                <c:pt idx="789">
                  <c:v>70.141500000000036</c:v>
                </c:pt>
                <c:pt idx="790">
                  <c:v>70.141500000000036</c:v>
                </c:pt>
                <c:pt idx="791">
                  <c:v>70.141500000000036</c:v>
                </c:pt>
                <c:pt idx="792">
                  <c:v>70.141500000000036</c:v>
                </c:pt>
                <c:pt idx="793">
                  <c:v>70.141500000000036</c:v>
                </c:pt>
                <c:pt idx="794">
                  <c:v>70.141500000000036</c:v>
                </c:pt>
                <c:pt idx="795">
                  <c:v>70.141500000000036</c:v>
                </c:pt>
                <c:pt idx="796">
                  <c:v>70.141500000000036</c:v>
                </c:pt>
                <c:pt idx="797">
                  <c:v>70.141500000000036</c:v>
                </c:pt>
                <c:pt idx="798">
                  <c:v>70.141500000000036</c:v>
                </c:pt>
                <c:pt idx="799">
                  <c:v>70.141500000000036</c:v>
                </c:pt>
                <c:pt idx="800">
                  <c:v>70.141500000000036</c:v>
                </c:pt>
                <c:pt idx="801">
                  <c:v>70.141500000000036</c:v>
                </c:pt>
                <c:pt idx="802">
                  <c:v>70.141500000000036</c:v>
                </c:pt>
                <c:pt idx="803">
                  <c:v>70.141500000000036</c:v>
                </c:pt>
                <c:pt idx="804">
                  <c:v>70.141500000000036</c:v>
                </c:pt>
                <c:pt idx="805">
                  <c:v>70.141500000000036</c:v>
                </c:pt>
                <c:pt idx="806">
                  <c:v>70.141500000000036</c:v>
                </c:pt>
                <c:pt idx="807">
                  <c:v>70.141500000000036</c:v>
                </c:pt>
                <c:pt idx="808">
                  <c:v>70.141500000000036</c:v>
                </c:pt>
                <c:pt idx="809">
                  <c:v>70.141500000000036</c:v>
                </c:pt>
                <c:pt idx="810">
                  <c:v>70.141500000000036</c:v>
                </c:pt>
                <c:pt idx="811">
                  <c:v>70.141500000000036</c:v>
                </c:pt>
                <c:pt idx="812">
                  <c:v>70.141500000000036</c:v>
                </c:pt>
                <c:pt idx="813">
                  <c:v>70.141500000000036</c:v>
                </c:pt>
                <c:pt idx="814">
                  <c:v>70.141500000000036</c:v>
                </c:pt>
                <c:pt idx="815">
                  <c:v>70.141500000000036</c:v>
                </c:pt>
                <c:pt idx="816">
                  <c:v>70.141500000000036</c:v>
                </c:pt>
                <c:pt idx="817">
                  <c:v>70.141500000000036</c:v>
                </c:pt>
                <c:pt idx="818">
                  <c:v>70.141500000000036</c:v>
                </c:pt>
                <c:pt idx="819">
                  <c:v>70.141500000000036</c:v>
                </c:pt>
                <c:pt idx="820">
                  <c:v>70.141500000000036</c:v>
                </c:pt>
                <c:pt idx="821">
                  <c:v>70.141500000000036</c:v>
                </c:pt>
                <c:pt idx="822">
                  <c:v>70.141500000000036</c:v>
                </c:pt>
                <c:pt idx="823">
                  <c:v>70.141500000000036</c:v>
                </c:pt>
                <c:pt idx="824">
                  <c:v>70.141500000000036</c:v>
                </c:pt>
                <c:pt idx="825">
                  <c:v>70.141500000000036</c:v>
                </c:pt>
                <c:pt idx="826">
                  <c:v>70.141500000000036</c:v>
                </c:pt>
                <c:pt idx="827">
                  <c:v>70.141500000000036</c:v>
                </c:pt>
                <c:pt idx="828">
                  <c:v>70.141500000000036</c:v>
                </c:pt>
                <c:pt idx="829">
                  <c:v>70.141500000000036</c:v>
                </c:pt>
                <c:pt idx="830">
                  <c:v>70.141500000000036</c:v>
                </c:pt>
                <c:pt idx="831">
                  <c:v>70.141500000000036</c:v>
                </c:pt>
                <c:pt idx="832">
                  <c:v>70.141500000000036</c:v>
                </c:pt>
                <c:pt idx="833">
                  <c:v>70.141500000000036</c:v>
                </c:pt>
                <c:pt idx="834">
                  <c:v>70.141500000000036</c:v>
                </c:pt>
                <c:pt idx="835">
                  <c:v>70.141500000000036</c:v>
                </c:pt>
                <c:pt idx="836">
                  <c:v>70.141500000000036</c:v>
                </c:pt>
                <c:pt idx="837">
                  <c:v>70.141500000000036</c:v>
                </c:pt>
                <c:pt idx="838">
                  <c:v>70.141500000000036</c:v>
                </c:pt>
                <c:pt idx="839">
                  <c:v>70.141500000000036</c:v>
                </c:pt>
                <c:pt idx="840">
                  <c:v>70.141500000000036</c:v>
                </c:pt>
                <c:pt idx="841">
                  <c:v>70.141500000000036</c:v>
                </c:pt>
                <c:pt idx="842">
                  <c:v>70.141500000000036</c:v>
                </c:pt>
                <c:pt idx="843">
                  <c:v>70.141500000000036</c:v>
                </c:pt>
                <c:pt idx="844">
                  <c:v>70.141500000000036</c:v>
                </c:pt>
                <c:pt idx="845">
                  <c:v>70.141500000000036</c:v>
                </c:pt>
                <c:pt idx="846">
                  <c:v>70.141500000000036</c:v>
                </c:pt>
                <c:pt idx="847">
                  <c:v>70.141500000000036</c:v>
                </c:pt>
                <c:pt idx="848">
                  <c:v>70.141500000000036</c:v>
                </c:pt>
                <c:pt idx="849">
                  <c:v>70.141500000000036</c:v>
                </c:pt>
                <c:pt idx="850">
                  <c:v>70.141500000000036</c:v>
                </c:pt>
                <c:pt idx="851">
                  <c:v>70.141500000000036</c:v>
                </c:pt>
                <c:pt idx="852">
                  <c:v>70.141500000000036</c:v>
                </c:pt>
                <c:pt idx="853">
                  <c:v>70.141500000000036</c:v>
                </c:pt>
                <c:pt idx="854">
                  <c:v>70.141500000000036</c:v>
                </c:pt>
                <c:pt idx="855">
                  <c:v>70.141500000000036</c:v>
                </c:pt>
                <c:pt idx="856">
                  <c:v>70.141500000000036</c:v>
                </c:pt>
                <c:pt idx="857">
                  <c:v>70.141500000000036</c:v>
                </c:pt>
                <c:pt idx="858">
                  <c:v>70.141500000000036</c:v>
                </c:pt>
                <c:pt idx="859">
                  <c:v>70.141500000000036</c:v>
                </c:pt>
                <c:pt idx="860">
                  <c:v>70.141500000000036</c:v>
                </c:pt>
                <c:pt idx="861">
                  <c:v>70.141500000000036</c:v>
                </c:pt>
                <c:pt idx="862">
                  <c:v>70.141500000000036</c:v>
                </c:pt>
                <c:pt idx="863">
                  <c:v>70.141500000000036</c:v>
                </c:pt>
                <c:pt idx="864">
                  <c:v>70.141500000000036</c:v>
                </c:pt>
                <c:pt idx="865">
                  <c:v>70.141500000000036</c:v>
                </c:pt>
                <c:pt idx="866">
                  <c:v>70.141500000000036</c:v>
                </c:pt>
                <c:pt idx="867">
                  <c:v>70.141500000000036</c:v>
                </c:pt>
                <c:pt idx="868">
                  <c:v>70.141500000000036</c:v>
                </c:pt>
                <c:pt idx="869">
                  <c:v>70.141500000000036</c:v>
                </c:pt>
                <c:pt idx="870">
                  <c:v>70.141500000000036</c:v>
                </c:pt>
                <c:pt idx="871">
                  <c:v>70.141500000000036</c:v>
                </c:pt>
                <c:pt idx="872">
                  <c:v>70.141500000000036</c:v>
                </c:pt>
                <c:pt idx="873">
                  <c:v>70.141500000000036</c:v>
                </c:pt>
                <c:pt idx="874">
                  <c:v>70.141500000000036</c:v>
                </c:pt>
                <c:pt idx="875">
                  <c:v>70.141500000000036</c:v>
                </c:pt>
                <c:pt idx="876">
                  <c:v>70.141500000000036</c:v>
                </c:pt>
                <c:pt idx="877">
                  <c:v>70.141500000000036</c:v>
                </c:pt>
                <c:pt idx="878">
                  <c:v>70.141500000000036</c:v>
                </c:pt>
                <c:pt idx="879">
                  <c:v>70.141500000000036</c:v>
                </c:pt>
                <c:pt idx="880">
                  <c:v>70.141500000000036</c:v>
                </c:pt>
                <c:pt idx="881">
                  <c:v>70.141500000000036</c:v>
                </c:pt>
                <c:pt idx="882">
                  <c:v>70.141500000000036</c:v>
                </c:pt>
                <c:pt idx="883">
                  <c:v>70.141500000000036</c:v>
                </c:pt>
                <c:pt idx="884">
                  <c:v>70.141500000000036</c:v>
                </c:pt>
                <c:pt idx="885">
                  <c:v>70.141500000000036</c:v>
                </c:pt>
                <c:pt idx="886">
                  <c:v>70.141500000000036</c:v>
                </c:pt>
                <c:pt idx="887">
                  <c:v>70.141500000000036</c:v>
                </c:pt>
                <c:pt idx="888">
                  <c:v>70.141500000000036</c:v>
                </c:pt>
                <c:pt idx="889">
                  <c:v>70.141500000000036</c:v>
                </c:pt>
                <c:pt idx="890">
                  <c:v>70.141500000000036</c:v>
                </c:pt>
                <c:pt idx="891">
                  <c:v>70.141500000000036</c:v>
                </c:pt>
                <c:pt idx="892">
                  <c:v>70.141500000000036</c:v>
                </c:pt>
                <c:pt idx="893">
                  <c:v>70.141500000000036</c:v>
                </c:pt>
                <c:pt idx="894">
                  <c:v>70.141500000000036</c:v>
                </c:pt>
                <c:pt idx="895">
                  <c:v>70.141500000000036</c:v>
                </c:pt>
                <c:pt idx="896">
                  <c:v>70.141500000000036</c:v>
                </c:pt>
                <c:pt idx="897">
                  <c:v>70.141500000000036</c:v>
                </c:pt>
                <c:pt idx="898">
                  <c:v>70.141500000000036</c:v>
                </c:pt>
                <c:pt idx="899">
                  <c:v>70.141500000000036</c:v>
                </c:pt>
                <c:pt idx="900">
                  <c:v>70.141500000000036</c:v>
                </c:pt>
                <c:pt idx="901">
                  <c:v>70.141500000000036</c:v>
                </c:pt>
                <c:pt idx="902">
                  <c:v>70.141500000000036</c:v>
                </c:pt>
                <c:pt idx="903">
                  <c:v>70.141500000000036</c:v>
                </c:pt>
                <c:pt idx="904">
                  <c:v>70.141500000000036</c:v>
                </c:pt>
                <c:pt idx="905">
                  <c:v>70.141500000000036</c:v>
                </c:pt>
                <c:pt idx="906">
                  <c:v>70.141500000000036</c:v>
                </c:pt>
                <c:pt idx="907">
                  <c:v>70.141500000000036</c:v>
                </c:pt>
                <c:pt idx="908">
                  <c:v>70.141500000000036</c:v>
                </c:pt>
                <c:pt idx="909">
                  <c:v>70.141500000000036</c:v>
                </c:pt>
                <c:pt idx="910">
                  <c:v>70.141500000000036</c:v>
                </c:pt>
                <c:pt idx="911">
                  <c:v>70.141500000000036</c:v>
                </c:pt>
                <c:pt idx="912">
                  <c:v>70.141500000000036</c:v>
                </c:pt>
                <c:pt idx="913">
                  <c:v>70.141500000000036</c:v>
                </c:pt>
                <c:pt idx="914">
                  <c:v>70.141500000000036</c:v>
                </c:pt>
                <c:pt idx="915">
                  <c:v>70.141500000000036</c:v>
                </c:pt>
                <c:pt idx="916">
                  <c:v>70.141500000000036</c:v>
                </c:pt>
                <c:pt idx="917">
                  <c:v>70.141500000000036</c:v>
                </c:pt>
                <c:pt idx="918">
                  <c:v>70.141500000000036</c:v>
                </c:pt>
                <c:pt idx="919">
                  <c:v>70.141500000000036</c:v>
                </c:pt>
                <c:pt idx="920">
                  <c:v>70.141500000000036</c:v>
                </c:pt>
                <c:pt idx="921">
                  <c:v>70.141500000000036</c:v>
                </c:pt>
                <c:pt idx="922">
                  <c:v>70.141500000000036</c:v>
                </c:pt>
                <c:pt idx="923">
                  <c:v>70.141500000000036</c:v>
                </c:pt>
                <c:pt idx="924">
                  <c:v>70.141500000000036</c:v>
                </c:pt>
                <c:pt idx="925">
                  <c:v>70.141500000000036</c:v>
                </c:pt>
                <c:pt idx="926">
                  <c:v>70.141500000000036</c:v>
                </c:pt>
                <c:pt idx="927">
                  <c:v>70.141500000000036</c:v>
                </c:pt>
                <c:pt idx="928">
                  <c:v>70.141500000000036</c:v>
                </c:pt>
                <c:pt idx="929">
                  <c:v>70.141500000000036</c:v>
                </c:pt>
                <c:pt idx="930">
                  <c:v>70.141500000000036</c:v>
                </c:pt>
                <c:pt idx="931">
                  <c:v>70.141500000000036</c:v>
                </c:pt>
                <c:pt idx="932">
                  <c:v>70.141500000000036</c:v>
                </c:pt>
                <c:pt idx="933">
                  <c:v>70.141500000000036</c:v>
                </c:pt>
                <c:pt idx="934">
                  <c:v>70.141500000000036</c:v>
                </c:pt>
                <c:pt idx="935">
                  <c:v>70.141500000000036</c:v>
                </c:pt>
                <c:pt idx="936">
                  <c:v>70.141500000000036</c:v>
                </c:pt>
                <c:pt idx="937">
                  <c:v>70.141500000000036</c:v>
                </c:pt>
                <c:pt idx="938">
                  <c:v>70.141500000000036</c:v>
                </c:pt>
                <c:pt idx="939">
                  <c:v>70.141500000000036</c:v>
                </c:pt>
                <c:pt idx="940">
                  <c:v>70.141500000000036</c:v>
                </c:pt>
                <c:pt idx="941">
                  <c:v>70.141500000000036</c:v>
                </c:pt>
                <c:pt idx="942">
                  <c:v>70.141500000000036</c:v>
                </c:pt>
                <c:pt idx="943">
                  <c:v>70.141500000000036</c:v>
                </c:pt>
                <c:pt idx="944">
                  <c:v>70.141500000000036</c:v>
                </c:pt>
                <c:pt idx="945">
                  <c:v>70.141500000000036</c:v>
                </c:pt>
                <c:pt idx="946">
                  <c:v>70.141500000000036</c:v>
                </c:pt>
                <c:pt idx="947">
                  <c:v>70.141500000000036</c:v>
                </c:pt>
                <c:pt idx="948">
                  <c:v>70.141500000000036</c:v>
                </c:pt>
                <c:pt idx="949">
                  <c:v>70.141500000000036</c:v>
                </c:pt>
                <c:pt idx="950">
                  <c:v>70.141500000000036</c:v>
                </c:pt>
                <c:pt idx="951">
                  <c:v>70.141500000000036</c:v>
                </c:pt>
                <c:pt idx="952">
                  <c:v>70.141500000000036</c:v>
                </c:pt>
                <c:pt idx="953">
                  <c:v>70.141500000000036</c:v>
                </c:pt>
                <c:pt idx="954">
                  <c:v>70.141500000000036</c:v>
                </c:pt>
                <c:pt idx="955">
                  <c:v>70.141500000000036</c:v>
                </c:pt>
                <c:pt idx="956">
                  <c:v>70.141500000000036</c:v>
                </c:pt>
                <c:pt idx="957">
                  <c:v>70.141500000000036</c:v>
                </c:pt>
                <c:pt idx="958">
                  <c:v>70.141500000000036</c:v>
                </c:pt>
                <c:pt idx="959">
                  <c:v>70.141500000000036</c:v>
                </c:pt>
                <c:pt idx="960">
                  <c:v>70.141500000000036</c:v>
                </c:pt>
                <c:pt idx="961">
                  <c:v>70.141500000000036</c:v>
                </c:pt>
                <c:pt idx="962">
                  <c:v>70.141500000000036</c:v>
                </c:pt>
                <c:pt idx="963">
                  <c:v>70.141500000000036</c:v>
                </c:pt>
                <c:pt idx="964">
                  <c:v>70.141500000000036</c:v>
                </c:pt>
                <c:pt idx="965">
                  <c:v>70.141500000000036</c:v>
                </c:pt>
                <c:pt idx="966">
                  <c:v>70.141500000000036</c:v>
                </c:pt>
                <c:pt idx="967">
                  <c:v>70.141500000000036</c:v>
                </c:pt>
                <c:pt idx="968">
                  <c:v>70.141500000000036</c:v>
                </c:pt>
                <c:pt idx="969">
                  <c:v>70.141500000000036</c:v>
                </c:pt>
                <c:pt idx="970">
                  <c:v>70.141500000000036</c:v>
                </c:pt>
                <c:pt idx="971">
                  <c:v>70.141500000000036</c:v>
                </c:pt>
                <c:pt idx="972">
                  <c:v>70.141500000000036</c:v>
                </c:pt>
                <c:pt idx="973">
                  <c:v>70.141500000000036</c:v>
                </c:pt>
                <c:pt idx="974">
                  <c:v>70.141500000000036</c:v>
                </c:pt>
                <c:pt idx="975">
                  <c:v>70.141500000000036</c:v>
                </c:pt>
                <c:pt idx="976">
                  <c:v>70.141500000000036</c:v>
                </c:pt>
                <c:pt idx="977">
                  <c:v>70.141500000000036</c:v>
                </c:pt>
                <c:pt idx="978">
                  <c:v>70.141500000000036</c:v>
                </c:pt>
                <c:pt idx="979">
                  <c:v>70.141500000000036</c:v>
                </c:pt>
                <c:pt idx="980">
                  <c:v>70.141500000000036</c:v>
                </c:pt>
                <c:pt idx="981">
                  <c:v>70.141500000000036</c:v>
                </c:pt>
                <c:pt idx="982">
                  <c:v>70.141500000000036</c:v>
                </c:pt>
                <c:pt idx="983">
                  <c:v>70.141500000000036</c:v>
                </c:pt>
                <c:pt idx="984">
                  <c:v>70.141500000000036</c:v>
                </c:pt>
                <c:pt idx="985">
                  <c:v>70.141500000000036</c:v>
                </c:pt>
                <c:pt idx="986">
                  <c:v>70.141500000000036</c:v>
                </c:pt>
                <c:pt idx="987">
                  <c:v>70.141500000000036</c:v>
                </c:pt>
                <c:pt idx="988">
                  <c:v>70.141500000000036</c:v>
                </c:pt>
                <c:pt idx="989">
                  <c:v>70.141500000000036</c:v>
                </c:pt>
                <c:pt idx="990">
                  <c:v>70.141500000000036</c:v>
                </c:pt>
                <c:pt idx="991">
                  <c:v>70.141500000000036</c:v>
                </c:pt>
                <c:pt idx="992">
                  <c:v>70.141500000000036</c:v>
                </c:pt>
                <c:pt idx="993">
                  <c:v>70.141500000000036</c:v>
                </c:pt>
                <c:pt idx="994">
                  <c:v>70.141500000000036</c:v>
                </c:pt>
                <c:pt idx="995">
                  <c:v>70.141500000000036</c:v>
                </c:pt>
                <c:pt idx="996">
                  <c:v>70.141500000000036</c:v>
                </c:pt>
                <c:pt idx="997">
                  <c:v>70.141500000000036</c:v>
                </c:pt>
                <c:pt idx="998">
                  <c:v>70.141500000000036</c:v>
                </c:pt>
                <c:pt idx="999">
                  <c:v>70.141500000000036</c:v>
                </c:pt>
                <c:pt idx="1000">
                  <c:v>70.141500000000036</c:v>
                </c:pt>
              </c:numCache>
            </c:numRef>
          </c:yVal>
          <c:smooth val="0"/>
          <c:extLst>
            <c:ext xmlns:c16="http://schemas.microsoft.com/office/drawing/2014/chart" uri="{C3380CC4-5D6E-409C-BE32-E72D297353CC}">
              <c16:uniqueId val="{00000001-B98B-46BB-BB51-DAAA2071230C}"/>
            </c:ext>
          </c:extLst>
        </c:ser>
        <c:ser>
          <c:idx val="0"/>
          <c:order val="2"/>
          <c:tx>
            <c:strRef>
              <c:f>Courbes!$B$133</c:f>
              <c:strCache>
                <c:ptCount val="1"/>
                <c:pt idx="0">
                  <c:v>Traînée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2.1000000000000014</c:v>
                </c:pt>
                <c:pt idx="202">
                  <c:v>2.2000000000000015</c:v>
                </c:pt>
                <c:pt idx="203">
                  <c:v>2.3000000000000016</c:v>
                </c:pt>
                <c:pt idx="204">
                  <c:v>2.4000000000000017</c:v>
                </c:pt>
                <c:pt idx="205">
                  <c:v>2.5000000000000018</c:v>
                </c:pt>
                <c:pt idx="206">
                  <c:v>2.6000000000000019</c:v>
                </c:pt>
                <c:pt idx="207">
                  <c:v>2.700000000000002</c:v>
                </c:pt>
                <c:pt idx="208">
                  <c:v>2.800000000000002</c:v>
                </c:pt>
                <c:pt idx="209">
                  <c:v>2.9000000000000021</c:v>
                </c:pt>
                <c:pt idx="210">
                  <c:v>3.0000000000000022</c:v>
                </c:pt>
                <c:pt idx="211">
                  <c:v>3.1000000000000023</c:v>
                </c:pt>
                <c:pt idx="212">
                  <c:v>3.2000000000000024</c:v>
                </c:pt>
                <c:pt idx="213">
                  <c:v>3.3000000000000025</c:v>
                </c:pt>
                <c:pt idx="214">
                  <c:v>3.4000000000000026</c:v>
                </c:pt>
                <c:pt idx="215">
                  <c:v>3.5000000000000027</c:v>
                </c:pt>
                <c:pt idx="216">
                  <c:v>3.6000000000000028</c:v>
                </c:pt>
                <c:pt idx="217">
                  <c:v>3.7000000000000028</c:v>
                </c:pt>
                <c:pt idx="218">
                  <c:v>3.8000000000000029</c:v>
                </c:pt>
                <c:pt idx="219">
                  <c:v>3.900000000000003</c:v>
                </c:pt>
                <c:pt idx="220">
                  <c:v>4.0000000000000027</c:v>
                </c:pt>
                <c:pt idx="221">
                  <c:v>4.1000000000000023</c:v>
                </c:pt>
                <c:pt idx="222">
                  <c:v>4.200000000000002</c:v>
                </c:pt>
                <c:pt idx="223">
                  <c:v>4.3000000000000016</c:v>
                </c:pt>
                <c:pt idx="224">
                  <c:v>4.4000000000000012</c:v>
                </c:pt>
                <c:pt idx="225">
                  <c:v>4.5000000000000009</c:v>
                </c:pt>
                <c:pt idx="226">
                  <c:v>4.6000000000000005</c:v>
                </c:pt>
                <c:pt idx="227">
                  <c:v>4.7</c:v>
                </c:pt>
                <c:pt idx="228">
                  <c:v>4.8</c:v>
                </c:pt>
                <c:pt idx="229">
                  <c:v>4.8999999999999995</c:v>
                </c:pt>
                <c:pt idx="230">
                  <c:v>4.9999999999999991</c:v>
                </c:pt>
                <c:pt idx="231">
                  <c:v>5.0999999999999988</c:v>
                </c:pt>
                <c:pt idx="232">
                  <c:v>5.1999999999999984</c:v>
                </c:pt>
                <c:pt idx="233">
                  <c:v>5.299999999999998</c:v>
                </c:pt>
                <c:pt idx="234">
                  <c:v>5.3999999999999977</c:v>
                </c:pt>
                <c:pt idx="235">
                  <c:v>5.4999999999999973</c:v>
                </c:pt>
                <c:pt idx="236">
                  <c:v>5.599999999999997</c:v>
                </c:pt>
                <c:pt idx="237">
                  <c:v>5.6999999999999966</c:v>
                </c:pt>
                <c:pt idx="238">
                  <c:v>5.7999999999999963</c:v>
                </c:pt>
                <c:pt idx="239">
                  <c:v>5.8999999999999959</c:v>
                </c:pt>
                <c:pt idx="240">
                  <c:v>5.9999999999999956</c:v>
                </c:pt>
                <c:pt idx="241">
                  <c:v>6.0999999999999952</c:v>
                </c:pt>
                <c:pt idx="242">
                  <c:v>6.1999999999999948</c:v>
                </c:pt>
                <c:pt idx="243">
                  <c:v>6.2999999999999945</c:v>
                </c:pt>
                <c:pt idx="244">
                  <c:v>6.3999999999999941</c:v>
                </c:pt>
                <c:pt idx="245">
                  <c:v>6.4999999999999938</c:v>
                </c:pt>
                <c:pt idx="246">
                  <c:v>6.5999999999999934</c:v>
                </c:pt>
                <c:pt idx="247">
                  <c:v>6.6999999999999931</c:v>
                </c:pt>
                <c:pt idx="248">
                  <c:v>6.7999999999999927</c:v>
                </c:pt>
                <c:pt idx="249">
                  <c:v>6.8999999999999924</c:v>
                </c:pt>
                <c:pt idx="250">
                  <c:v>6.999999999999992</c:v>
                </c:pt>
                <c:pt idx="251">
                  <c:v>7.0999999999999917</c:v>
                </c:pt>
                <c:pt idx="252">
                  <c:v>7.1999999999999913</c:v>
                </c:pt>
                <c:pt idx="253">
                  <c:v>7.2999999999999909</c:v>
                </c:pt>
                <c:pt idx="254">
                  <c:v>7.3999999999999906</c:v>
                </c:pt>
                <c:pt idx="255">
                  <c:v>7.4999999999999902</c:v>
                </c:pt>
                <c:pt idx="256">
                  <c:v>7.5999999999999899</c:v>
                </c:pt>
                <c:pt idx="257">
                  <c:v>7.6999999999999895</c:v>
                </c:pt>
                <c:pt idx="258">
                  <c:v>7.7999999999999892</c:v>
                </c:pt>
                <c:pt idx="259">
                  <c:v>7.8999999999999888</c:v>
                </c:pt>
                <c:pt idx="260">
                  <c:v>7.9999999999999885</c:v>
                </c:pt>
                <c:pt idx="261">
                  <c:v>8.099999999999989</c:v>
                </c:pt>
                <c:pt idx="262">
                  <c:v>8.1999999999999886</c:v>
                </c:pt>
                <c:pt idx="263">
                  <c:v>8.2999999999999883</c:v>
                </c:pt>
                <c:pt idx="264">
                  <c:v>8.3999999999999879</c:v>
                </c:pt>
                <c:pt idx="265">
                  <c:v>8.4999999999999876</c:v>
                </c:pt>
                <c:pt idx="266">
                  <c:v>8.5999999999999872</c:v>
                </c:pt>
                <c:pt idx="267">
                  <c:v>8.6999999999999869</c:v>
                </c:pt>
                <c:pt idx="268">
                  <c:v>8.7999999999999865</c:v>
                </c:pt>
                <c:pt idx="269">
                  <c:v>8.8999999999999861</c:v>
                </c:pt>
                <c:pt idx="270">
                  <c:v>8.9999999999999858</c:v>
                </c:pt>
                <c:pt idx="271">
                  <c:v>9.0999999999999854</c:v>
                </c:pt>
                <c:pt idx="272">
                  <c:v>9.1999999999999851</c:v>
                </c:pt>
                <c:pt idx="273">
                  <c:v>9.2999999999999847</c:v>
                </c:pt>
                <c:pt idx="274">
                  <c:v>9.3999999999999844</c:v>
                </c:pt>
                <c:pt idx="275">
                  <c:v>9.499999999999984</c:v>
                </c:pt>
                <c:pt idx="276">
                  <c:v>9.5999999999999837</c:v>
                </c:pt>
                <c:pt idx="277">
                  <c:v>9.6999999999999833</c:v>
                </c:pt>
                <c:pt idx="278">
                  <c:v>9.7999999999999829</c:v>
                </c:pt>
                <c:pt idx="279">
                  <c:v>9.8999999999999826</c:v>
                </c:pt>
                <c:pt idx="280">
                  <c:v>9.9999999999999822</c:v>
                </c:pt>
                <c:pt idx="281">
                  <c:v>10.099999999999982</c:v>
                </c:pt>
                <c:pt idx="282">
                  <c:v>10.199999999999982</c:v>
                </c:pt>
                <c:pt idx="283">
                  <c:v>10.299999999999981</c:v>
                </c:pt>
                <c:pt idx="284">
                  <c:v>10.399999999999981</c:v>
                </c:pt>
                <c:pt idx="285">
                  <c:v>10.49999999999998</c:v>
                </c:pt>
                <c:pt idx="286">
                  <c:v>10.59999999999998</c:v>
                </c:pt>
                <c:pt idx="287">
                  <c:v>10.69999999999998</c:v>
                </c:pt>
                <c:pt idx="288">
                  <c:v>10.799999999999979</c:v>
                </c:pt>
                <c:pt idx="289">
                  <c:v>10.899999999999979</c:v>
                </c:pt>
                <c:pt idx="290">
                  <c:v>10.999999999999979</c:v>
                </c:pt>
                <c:pt idx="291">
                  <c:v>11.099999999999978</c:v>
                </c:pt>
                <c:pt idx="292">
                  <c:v>11.199999999999978</c:v>
                </c:pt>
                <c:pt idx="293">
                  <c:v>11.299999999999978</c:v>
                </c:pt>
                <c:pt idx="294">
                  <c:v>11.399999999999977</c:v>
                </c:pt>
                <c:pt idx="295">
                  <c:v>11.499999999999977</c:v>
                </c:pt>
                <c:pt idx="296">
                  <c:v>11.599999999999977</c:v>
                </c:pt>
                <c:pt idx="297">
                  <c:v>11.699999999999976</c:v>
                </c:pt>
                <c:pt idx="298">
                  <c:v>11.799999999999976</c:v>
                </c:pt>
                <c:pt idx="299">
                  <c:v>11.899999999999975</c:v>
                </c:pt>
                <c:pt idx="300">
                  <c:v>11.999999999999975</c:v>
                </c:pt>
                <c:pt idx="301">
                  <c:v>12.099999999999975</c:v>
                </c:pt>
                <c:pt idx="302">
                  <c:v>12.199999999999974</c:v>
                </c:pt>
                <c:pt idx="303">
                  <c:v>12.299999999999974</c:v>
                </c:pt>
                <c:pt idx="304">
                  <c:v>12.399999999999974</c:v>
                </c:pt>
                <c:pt idx="305">
                  <c:v>12.499999999999973</c:v>
                </c:pt>
                <c:pt idx="306">
                  <c:v>12.599999999999973</c:v>
                </c:pt>
                <c:pt idx="307">
                  <c:v>12.699999999999973</c:v>
                </c:pt>
                <c:pt idx="308">
                  <c:v>12.799999999999972</c:v>
                </c:pt>
                <c:pt idx="309">
                  <c:v>12.899999999999972</c:v>
                </c:pt>
                <c:pt idx="310">
                  <c:v>12.999999999999972</c:v>
                </c:pt>
                <c:pt idx="311">
                  <c:v>13.099999999999971</c:v>
                </c:pt>
                <c:pt idx="312">
                  <c:v>13.199999999999971</c:v>
                </c:pt>
                <c:pt idx="313">
                  <c:v>13.299999999999971</c:v>
                </c:pt>
                <c:pt idx="314">
                  <c:v>13.39999999999997</c:v>
                </c:pt>
                <c:pt idx="315">
                  <c:v>13.49999999999997</c:v>
                </c:pt>
                <c:pt idx="316">
                  <c:v>13.599999999999969</c:v>
                </c:pt>
                <c:pt idx="317">
                  <c:v>13.699999999999969</c:v>
                </c:pt>
                <c:pt idx="318">
                  <c:v>13.799999999999969</c:v>
                </c:pt>
                <c:pt idx="319">
                  <c:v>13.899999999999968</c:v>
                </c:pt>
                <c:pt idx="320">
                  <c:v>13.999999999999968</c:v>
                </c:pt>
                <c:pt idx="321">
                  <c:v>14.099999999999968</c:v>
                </c:pt>
                <c:pt idx="322">
                  <c:v>14.199999999999967</c:v>
                </c:pt>
                <c:pt idx="323">
                  <c:v>14.299999999999967</c:v>
                </c:pt>
                <c:pt idx="324">
                  <c:v>14.399999999999967</c:v>
                </c:pt>
                <c:pt idx="325">
                  <c:v>14.499999999999966</c:v>
                </c:pt>
                <c:pt idx="326">
                  <c:v>14.599999999999966</c:v>
                </c:pt>
                <c:pt idx="327">
                  <c:v>14.699999999999966</c:v>
                </c:pt>
                <c:pt idx="328">
                  <c:v>14.799999999999965</c:v>
                </c:pt>
                <c:pt idx="329">
                  <c:v>14.899999999999965</c:v>
                </c:pt>
                <c:pt idx="330">
                  <c:v>14.999999999999964</c:v>
                </c:pt>
                <c:pt idx="331">
                  <c:v>15.099999999999964</c:v>
                </c:pt>
                <c:pt idx="332">
                  <c:v>15.199999999999964</c:v>
                </c:pt>
                <c:pt idx="333">
                  <c:v>15.299999999999963</c:v>
                </c:pt>
                <c:pt idx="334">
                  <c:v>15.399999999999963</c:v>
                </c:pt>
                <c:pt idx="335">
                  <c:v>15.499999999999963</c:v>
                </c:pt>
                <c:pt idx="336">
                  <c:v>15.599999999999962</c:v>
                </c:pt>
                <c:pt idx="337">
                  <c:v>15.699999999999962</c:v>
                </c:pt>
                <c:pt idx="338">
                  <c:v>15.799999999999962</c:v>
                </c:pt>
                <c:pt idx="339">
                  <c:v>15.899999999999961</c:v>
                </c:pt>
                <c:pt idx="340">
                  <c:v>15.999999999999961</c:v>
                </c:pt>
                <c:pt idx="341">
                  <c:v>16.099999999999962</c:v>
                </c:pt>
                <c:pt idx="342">
                  <c:v>16.199999999999964</c:v>
                </c:pt>
                <c:pt idx="343">
                  <c:v>16.299999999999965</c:v>
                </c:pt>
                <c:pt idx="344">
                  <c:v>16.399999999999967</c:v>
                </c:pt>
                <c:pt idx="345">
                  <c:v>16.499999999999968</c:v>
                </c:pt>
                <c:pt idx="346">
                  <c:v>16.599999999999969</c:v>
                </c:pt>
                <c:pt idx="347">
                  <c:v>16.699999999999971</c:v>
                </c:pt>
                <c:pt idx="348">
                  <c:v>16.799999999999972</c:v>
                </c:pt>
                <c:pt idx="349">
                  <c:v>16.899999999999974</c:v>
                </c:pt>
                <c:pt idx="350">
                  <c:v>16.999999999999975</c:v>
                </c:pt>
                <c:pt idx="351">
                  <c:v>17.099999999999977</c:v>
                </c:pt>
                <c:pt idx="352">
                  <c:v>17.199999999999978</c:v>
                </c:pt>
                <c:pt idx="353">
                  <c:v>17.299999999999979</c:v>
                </c:pt>
                <c:pt idx="354">
                  <c:v>17.399999999999981</c:v>
                </c:pt>
                <c:pt idx="355">
                  <c:v>17.499999999999982</c:v>
                </c:pt>
                <c:pt idx="356">
                  <c:v>17.599999999999984</c:v>
                </c:pt>
                <c:pt idx="357">
                  <c:v>17.699999999999985</c:v>
                </c:pt>
                <c:pt idx="358">
                  <c:v>17.799999999999986</c:v>
                </c:pt>
                <c:pt idx="359">
                  <c:v>17.899999999999988</c:v>
                </c:pt>
                <c:pt idx="360">
                  <c:v>17.999999999999989</c:v>
                </c:pt>
                <c:pt idx="361">
                  <c:v>18.099999999999991</c:v>
                </c:pt>
                <c:pt idx="362">
                  <c:v>18.199999999999992</c:v>
                </c:pt>
                <c:pt idx="363">
                  <c:v>18.299999999999994</c:v>
                </c:pt>
                <c:pt idx="364">
                  <c:v>18.399999999999995</c:v>
                </c:pt>
                <c:pt idx="365">
                  <c:v>18.499999999999996</c:v>
                </c:pt>
                <c:pt idx="366">
                  <c:v>18.599999999999998</c:v>
                </c:pt>
                <c:pt idx="367">
                  <c:v>18.7</c:v>
                </c:pt>
                <c:pt idx="368">
                  <c:v>18.8</c:v>
                </c:pt>
                <c:pt idx="369">
                  <c:v>18.900000000000002</c:v>
                </c:pt>
                <c:pt idx="370">
                  <c:v>19.000000000000004</c:v>
                </c:pt>
                <c:pt idx="371">
                  <c:v>19.100000000000005</c:v>
                </c:pt>
                <c:pt idx="372">
                  <c:v>19.200000000000006</c:v>
                </c:pt>
                <c:pt idx="373">
                  <c:v>19.300000000000008</c:v>
                </c:pt>
                <c:pt idx="374">
                  <c:v>19.400000000000009</c:v>
                </c:pt>
                <c:pt idx="375">
                  <c:v>19.500000000000011</c:v>
                </c:pt>
                <c:pt idx="376">
                  <c:v>19.600000000000012</c:v>
                </c:pt>
                <c:pt idx="377">
                  <c:v>19.700000000000014</c:v>
                </c:pt>
                <c:pt idx="378">
                  <c:v>19.800000000000015</c:v>
                </c:pt>
                <c:pt idx="379">
                  <c:v>19.900000000000016</c:v>
                </c:pt>
                <c:pt idx="380">
                  <c:v>20.000000000000018</c:v>
                </c:pt>
                <c:pt idx="381">
                  <c:v>20.100000000000019</c:v>
                </c:pt>
                <c:pt idx="382">
                  <c:v>20.200000000000021</c:v>
                </c:pt>
                <c:pt idx="383">
                  <c:v>20.300000000000022</c:v>
                </c:pt>
                <c:pt idx="384">
                  <c:v>20.400000000000023</c:v>
                </c:pt>
                <c:pt idx="385">
                  <c:v>20.500000000000025</c:v>
                </c:pt>
                <c:pt idx="386">
                  <c:v>20.600000000000026</c:v>
                </c:pt>
                <c:pt idx="387">
                  <c:v>20.700000000000028</c:v>
                </c:pt>
                <c:pt idx="388">
                  <c:v>20.800000000000029</c:v>
                </c:pt>
                <c:pt idx="389">
                  <c:v>20.900000000000031</c:v>
                </c:pt>
                <c:pt idx="390">
                  <c:v>21.000000000000032</c:v>
                </c:pt>
                <c:pt idx="391">
                  <c:v>21.100000000000033</c:v>
                </c:pt>
                <c:pt idx="392">
                  <c:v>21.200000000000035</c:v>
                </c:pt>
                <c:pt idx="393">
                  <c:v>21.300000000000036</c:v>
                </c:pt>
                <c:pt idx="394">
                  <c:v>21.400000000000038</c:v>
                </c:pt>
                <c:pt idx="395">
                  <c:v>21.500000000000039</c:v>
                </c:pt>
                <c:pt idx="396">
                  <c:v>21.600000000000041</c:v>
                </c:pt>
                <c:pt idx="397">
                  <c:v>21.700000000000042</c:v>
                </c:pt>
                <c:pt idx="398">
                  <c:v>21.800000000000043</c:v>
                </c:pt>
                <c:pt idx="399">
                  <c:v>21.900000000000045</c:v>
                </c:pt>
                <c:pt idx="400">
                  <c:v>22.000000000000046</c:v>
                </c:pt>
                <c:pt idx="401">
                  <c:v>22.100000000000048</c:v>
                </c:pt>
                <c:pt idx="402">
                  <c:v>22.200000000000049</c:v>
                </c:pt>
                <c:pt idx="403">
                  <c:v>22.30000000000005</c:v>
                </c:pt>
                <c:pt idx="404">
                  <c:v>22.400000000000052</c:v>
                </c:pt>
                <c:pt idx="405">
                  <c:v>22.500000000000053</c:v>
                </c:pt>
                <c:pt idx="406">
                  <c:v>22.600000000000055</c:v>
                </c:pt>
                <c:pt idx="407">
                  <c:v>22.700000000000056</c:v>
                </c:pt>
                <c:pt idx="408">
                  <c:v>22.800000000000058</c:v>
                </c:pt>
                <c:pt idx="409">
                  <c:v>22.900000000000059</c:v>
                </c:pt>
                <c:pt idx="410">
                  <c:v>23.00000000000006</c:v>
                </c:pt>
                <c:pt idx="411">
                  <c:v>23.100000000000062</c:v>
                </c:pt>
                <c:pt idx="412">
                  <c:v>23.200000000000063</c:v>
                </c:pt>
                <c:pt idx="413">
                  <c:v>23.300000000000065</c:v>
                </c:pt>
                <c:pt idx="414">
                  <c:v>23.400000000000066</c:v>
                </c:pt>
                <c:pt idx="415">
                  <c:v>23.500000000000068</c:v>
                </c:pt>
                <c:pt idx="416">
                  <c:v>23.600000000000069</c:v>
                </c:pt>
                <c:pt idx="417">
                  <c:v>23.70000000000007</c:v>
                </c:pt>
                <c:pt idx="418">
                  <c:v>23.800000000000072</c:v>
                </c:pt>
                <c:pt idx="419">
                  <c:v>23.900000000000073</c:v>
                </c:pt>
                <c:pt idx="420">
                  <c:v>24.000000000000075</c:v>
                </c:pt>
                <c:pt idx="421">
                  <c:v>24.100000000000076</c:v>
                </c:pt>
                <c:pt idx="422">
                  <c:v>24.200000000000077</c:v>
                </c:pt>
                <c:pt idx="423">
                  <c:v>24.300000000000079</c:v>
                </c:pt>
                <c:pt idx="424">
                  <c:v>24.40000000000008</c:v>
                </c:pt>
                <c:pt idx="425">
                  <c:v>24.500000000000082</c:v>
                </c:pt>
                <c:pt idx="426">
                  <c:v>24.600000000000083</c:v>
                </c:pt>
                <c:pt idx="427">
                  <c:v>24.700000000000085</c:v>
                </c:pt>
                <c:pt idx="428">
                  <c:v>24.800000000000086</c:v>
                </c:pt>
                <c:pt idx="429">
                  <c:v>24.900000000000087</c:v>
                </c:pt>
                <c:pt idx="430">
                  <c:v>25.000000000000089</c:v>
                </c:pt>
                <c:pt idx="431">
                  <c:v>25.10000000000009</c:v>
                </c:pt>
                <c:pt idx="432">
                  <c:v>25.200000000000092</c:v>
                </c:pt>
                <c:pt idx="433">
                  <c:v>25.300000000000093</c:v>
                </c:pt>
                <c:pt idx="434">
                  <c:v>25.400000000000095</c:v>
                </c:pt>
                <c:pt idx="435">
                  <c:v>25.500000000000096</c:v>
                </c:pt>
                <c:pt idx="436">
                  <c:v>25.600000000000097</c:v>
                </c:pt>
                <c:pt idx="437">
                  <c:v>25.700000000000099</c:v>
                </c:pt>
                <c:pt idx="438">
                  <c:v>25.8000000000001</c:v>
                </c:pt>
                <c:pt idx="439">
                  <c:v>25.900000000000102</c:v>
                </c:pt>
                <c:pt idx="440">
                  <c:v>26.000000000000103</c:v>
                </c:pt>
                <c:pt idx="441">
                  <c:v>26.100000000000104</c:v>
                </c:pt>
                <c:pt idx="442">
                  <c:v>26.200000000000106</c:v>
                </c:pt>
                <c:pt idx="443">
                  <c:v>26.300000000000107</c:v>
                </c:pt>
                <c:pt idx="444">
                  <c:v>26.400000000000109</c:v>
                </c:pt>
                <c:pt idx="445">
                  <c:v>26.50000000000011</c:v>
                </c:pt>
                <c:pt idx="446">
                  <c:v>26.600000000000112</c:v>
                </c:pt>
                <c:pt idx="447">
                  <c:v>26.700000000000113</c:v>
                </c:pt>
                <c:pt idx="448">
                  <c:v>26.800000000000114</c:v>
                </c:pt>
                <c:pt idx="449">
                  <c:v>26.900000000000116</c:v>
                </c:pt>
                <c:pt idx="450">
                  <c:v>27.000000000000117</c:v>
                </c:pt>
                <c:pt idx="451">
                  <c:v>27.100000000000119</c:v>
                </c:pt>
                <c:pt idx="452">
                  <c:v>27.20000000000012</c:v>
                </c:pt>
                <c:pt idx="453">
                  <c:v>27.300000000000122</c:v>
                </c:pt>
                <c:pt idx="454">
                  <c:v>27.400000000000123</c:v>
                </c:pt>
                <c:pt idx="455">
                  <c:v>27.500000000000124</c:v>
                </c:pt>
                <c:pt idx="456">
                  <c:v>27.600000000000126</c:v>
                </c:pt>
                <c:pt idx="457">
                  <c:v>27.700000000000127</c:v>
                </c:pt>
                <c:pt idx="458">
                  <c:v>27.800000000000129</c:v>
                </c:pt>
                <c:pt idx="459">
                  <c:v>27.90000000000013</c:v>
                </c:pt>
                <c:pt idx="460">
                  <c:v>28.000000000000131</c:v>
                </c:pt>
                <c:pt idx="461">
                  <c:v>28.100000000000133</c:v>
                </c:pt>
                <c:pt idx="462">
                  <c:v>28.200000000000134</c:v>
                </c:pt>
                <c:pt idx="463">
                  <c:v>28.300000000000136</c:v>
                </c:pt>
                <c:pt idx="464">
                  <c:v>28.400000000000137</c:v>
                </c:pt>
                <c:pt idx="465">
                  <c:v>28.500000000000139</c:v>
                </c:pt>
                <c:pt idx="466">
                  <c:v>28.60000000000014</c:v>
                </c:pt>
                <c:pt idx="467">
                  <c:v>28.700000000000141</c:v>
                </c:pt>
                <c:pt idx="468">
                  <c:v>28.800000000000143</c:v>
                </c:pt>
                <c:pt idx="469">
                  <c:v>28.900000000000144</c:v>
                </c:pt>
                <c:pt idx="470">
                  <c:v>29.000000000000146</c:v>
                </c:pt>
                <c:pt idx="471">
                  <c:v>29.100000000000147</c:v>
                </c:pt>
                <c:pt idx="472">
                  <c:v>29.200000000000149</c:v>
                </c:pt>
                <c:pt idx="473">
                  <c:v>29.30000000000015</c:v>
                </c:pt>
                <c:pt idx="474">
                  <c:v>29.400000000000151</c:v>
                </c:pt>
                <c:pt idx="475">
                  <c:v>29.500000000000153</c:v>
                </c:pt>
                <c:pt idx="476">
                  <c:v>29.600000000000154</c:v>
                </c:pt>
                <c:pt idx="477">
                  <c:v>29.700000000000156</c:v>
                </c:pt>
                <c:pt idx="478">
                  <c:v>29.800000000000157</c:v>
                </c:pt>
                <c:pt idx="479">
                  <c:v>29.900000000000158</c:v>
                </c:pt>
                <c:pt idx="480">
                  <c:v>30.00000000000016</c:v>
                </c:pt>
                <c:pt idx="481">
                  <c:v>30.100000000000161</c:v>
                </c:pt>
                <c:pt idx="482">
                  <c:v>30.200000000000163</c:v>
                </c:pt>
                <c:pt idx="483">
                  <c:v>30.300000000000164</c:v>
                </c:pt>
                <c:pt idx="484">
                  <c:v>30.400000000000166</c:v>
                </c:pt>
                <c:pt idx="485">
                  <c:v>30.500000000000167</c:v>
                </c:pt>
                <c:pt idx="486">
                  <c:v>30.600000000000168</c:v>
                </c:pt>
                <c:pt idx="487">
                  <c:v>30.70000000000017</c:v>
                </c:pt>
                <c:pt idx="488">
                  <c:v>30.800000000000171</c:v>
                </c:pt>
                <c:pt idx="489">
                  <c:v>30.900000000000173</c:v>
                </c:pt>
                <c:pt idx="490">
                  <c:v>31.000000000000174</c:v>
                </c:pt>
                <c:pt idx="491">
                  <c:v>31.100000000000176</c:v>
                </c:pt>
                <c:pt idx="492">
                  <c:v>31.200000000000177</c:v>
                </c:pt>
                <c:pt idx="493">
                  <c:v>31.300000000000178</c:v>
                </c:pt>
                <c:pt idx="494">
                  <c:v>31.40000000000018</c:v>
                </c:pt>
                <c:pt idx="495">
                  <c:v>31.500000000000181</c:v>
                </c:pt>
                <c:pt idx="496">
                  <c:v>31.600000000000183</c:v>
                </c:pt>
                <c:pt idx="497">
                  <c:v>31.700000000000184</c:v>
                </c:pt>
                <c:pt idx="498">
                  <c:v>31.800000000000185</c:v>
                </c:pt>
                <c:pt idx="499">
                  <c:v>31.900000000000187</c:v>
                </c:pt>
                <c:pt idx="500">
                  <c:v>32.000000000000185</c:v>
                </c:pt>
                <c:pt idx="501">
                  <c:v>32.100000000000186</c:v>
                </c:pt>
                <c:pt idx="502">
                  <c:v>32.200000000000188</c:v>
                </c:pt>
                <c:pt idx="503">
                  <c:v>32.300000000000189</c:v>
                </c:pt>
                <c:pt idx="504">
                  <c:v>32.40000000000019</c:v>
                </c:pt>
                <c:pt idx="505">
                  <c:v>32.500000000000192</c:v>
                </c:pt>
                <c:pt idx="506">
                  <c:v>32.600000000000193</c:v>
                </c:pt>
                <c:pt idx="507">
                  <c:v>32.700000000000195</c:v>
                </c:pt>
                <c:pt idx="508">
                  <c:v>32.800000000000196</c:v>
                </c:pt>
                <c:pt idx="509">
                  <c:v>32.900000000000198</c:v>
                </c:pt>
                <c:pt idx="510">
                  <c:v>33.000000000000199</c:v>
                </c:pt>
                <c:pt idx="511">
                  <c:v>33.1000000000002</c:v>
                </c:pt>
                <c:pt idx="512">
                  <c:v>33.200000000000202</c:v>
                </c:pt>
                <c:pt idx="513">
                  <c:v>33.300000000000203</c:v>
                </c:pt>
                <c:pt idx="514">
                  <c:v>33.400000000000205</c:v>
                </c:pt>
                <c:pt idx="515">
                  <c:v>33.500000000000206</c:v>
                </c:pt>
                <c:pt idx="516">
                  <c:v>33.600000000000207</c:v>
                </c:pt>
                <c:pt idx="517">
                  <c:v>33.700000000000209</c:v>
                </c:pt>
                <c:pt idx="518">
                  <c:v>33.80000000000021</c:v>
                </c:pt>
                <c:pt idx="519">
                  <c:v>33.900000000000212</c:v>
                </c:pt>
                <c:pt idx="520">
                  <c:v>34.000000000000213</c:v>
                </c:pt>
                <c:pt idx="521">
                  <c:v>34.100000000000215</c:v>
                </c:pt>
                <c:pt idx="522">
                  <c:v>34.200000000000216</c:v>
                </c:pt>
                <c:pt idx="523">
                  <c:v>34.300000000000217</c:v>
                </c:pt>
                <c:pt idx="524">
                  <c:v>34.400000000000219</c:v>
                </c:pt>
                <c:pt idx="525">
                  <c:v>34.50000000000022</c:v>
                </c:pt>
                <c:pt idx="526">
                  <c:v>34.600000000000222</c:v>
                </c:pt>
                <c:pt idx="527">
                  <c:v>34.700000000000223</c:v>
                </c:pt>
                <c:pt idx="528">
                  <c:v>34.800000000000225</c:v>
                </c:pt>
                <c:pt idx="529">
                  <c:v>34.900000000000226</c:v>
                </c:pt>
                <c:pt idx="530">
                  <c:v>35.000000000000227</c:v>
                </c:pt>
                <c:pt idx="531">
                  <c:v>35.100000000000229</c:v>
                </c:pt>
                <c:pt idx="532">
                  <c:v>35.20000000000023</c:v>
                </c:pt>
                <c:pt idx="533">
                  <c:v>35.300000000000232</c:v>
                </c:pt>
                <c:pt idx="534">
                  <c:v>35.400000000000233</c:v>
                </c:pt>
                <c:pt idx="535">
                  <c:v>35.500000000000234</c:v>
                </c:pt>
                <c:pt idx="536">
                  <c:v>35.600000000000236</c:v>
                </c:pt>
                <c:pt idx="537">
                  <c:v>35.700000000000237</c:v>
                </c:pt>
                <c:pt idx="538">
                  <c:v>35.800000000000239</c:v>
                </c:pt>
                <c:pt idx="539">
                  <c:v>35.90000000000024</c:v>
                </c:pt>
                <c:pt idx="540">
                  <c:v>36.000000000000242</c:v>
                </c:pt>
                <c:pt idx="541">
                  <c:v>36.100000000000243</c:v>
                </c:pt>
                <c:pt idx="542">
                  <c:v>36.200000000000244</c:v>
                </c:pt>
                <c:pt idx="543">
                  <c:v>36.300000000000246</c:v>
                </c:pt>
                <c:pt idx="544">
                  <c:v>36.400000000000247</c:v>
                </c:pt>
                <c:pt idx="545">
                  <c:v>36.500000000000249</c:v>
                </c:pt>
                <c:pt idx="546">
                  <c:v>36.60000000000025</c:v>
                </c:pt>
                <c:pt idx="547">
                  <c:v>36.700000000000252</c:v>
                </c:pt>
                <c:pt idx="548">
                  <c:v>36.700100000000255</c:v>
                </c:pt>
                <c:pt idx="549">
                  <c:v>36.700200000000258</c:v>
                </c:pt>
                <c:pt idx="550">
                  <c:v>36.700300000000261</c:v>
                </c:pt>
                <c:pt idx="551">
                  <c:v>36.700400000000265</c:v>
                </c:pt>
                <c:pt idx="552">
                  <c:v>36.700500000000268</c:v>
                </c:pt>
                <c:pt idx="553">
                  <c:v>36.700600000000271</c:v>
                </c:pt>
                <c:pt idx="554">
                  <c:v>36.700700000000275</c:v>
                </c:pt>
                <c:pt idx="555">
                  <c:v>36.700800000000278</c:v>
                </c:pt>
                <c:pt idx="556">
                  <c:v>36.700900000000281</c:v>
                </c:pt>
                <c:pt idx="557">
                  <c:v>36.701000000000285</c:v>
                </c:pt>
                <c:pt idx="558">
                  <c:v>36.701100000000288</c:v>
                </c:pt>
                <c:pt idx="559">
                  <c:v>36.701200000000291</c:v>
                </c:pt>
                <c:pt idx="560">
                  <c:v>36.701300000000295</c:v>
                </c:pt>
                <c:pt idx="561">
                  <c:v>36.701400000000298</c:v>
                </c:pt>
                <c:pt idx="562">
                  <c:v>36.701500000000301</c:v>
                </c:pt>
                <c:pt idx="563">
                  <c:v>36.701600000000305</c:v>
                </c:pt>
                <c:pt idx="564">
                  <c:v>36.701700000000308</c:v>
                </c:pt>
                <c:pt idx="565">
                  <c:v>36.701800000000311</c:v>
                </c:pt>
                <c:pt idx="566">
                  <c:v>36.701900000000315</c:v>
                </c:pt>
                <c:pt idx="567">
                  <c:v>36.702000000000318</c:v>
                </c:pt>
                <c:pt idx="568">
                  <c:v>36.702100000000321</c:v>
                </c:pt>
                <c:pt idx="569">
                  <c:v>36.702200000000325</c:v>
                </c:pt>
                <c:pt idx="570">
                  <c:v>36.702300000000328</c:v>
                </c:pt>
                <c:pt idx="571">
                  <c:v>36.702400000000331</c:v>
                </c:pt>
                <c:pt idx="572">
                  <c:v>36.702500000000335</c:v>
                </c:pt>
                <c:pt idx="573">
                  <c:v>36.702600000000338</c:v>
                </c:pt>
                <c:pt idx="574">
                  <c:v>36.702700000000341</c:v>
                </c:pt>
                <c:pt idx="575">
                  <c:v>36.702800000000344</c:v>
                </c:pt>
                <c:pt idx="576">
                  <c:v>36.702900000000348</c:v>
                </c:pt>
                <c:pt idx="577">
                  <c:v>36.703000000000351</c:v>
                </c:pt>
                <c:pt idx="578">
                  <c:v>36.703100000000354</c:v>
                </c:pt>
                <c:pt idx="579">
                  <c:v>36.703200000000358</c:v>
                </c:pt>
                <c:pt idx="580">
                  <c:v>36.703300000000361</c:v>
                </c:pt>
                <c:pt idx="581">
                  <c:v>36.703400000000364</c:v>
                </c:pt>
                <c:pt idx="582">
                  <c:v>36.703500000000368</c:v>
                </c:pt>
                <c:pt idx="583">
                  <c:v>36.703600000000371</c:v>
                </c:pt>
                <c:pt idx="584">
                  <c:v>36.703700000000374</c:v>
                </c:pt>
                <c:pt idx="585">
                  <c:v>36.703800000000378</c:v>
                </c:pt>
                <c:pt idx="586">
                  <c:v>36.703900000000381</c:v>
                </c:pt>
                <c:pt idx="587">
                  <c:v>36.704000000000384</c:v>
                </c:pt>
                <c:pt idx="588">
                  <c:v>36.704100000000388</c:v>
                </c:pt>
                <c:pt idx="589">
                  <c:v>36.704200000000391</c:v>
                </c:pt>
                <c:pt idx="590">
                  <c:v>36.704300000000394</c:v>
                </c:pt>
                <c:pt idx="591">
                  <c:v>36.704400000000398</c:v>
                </c:pt>
                <c:pt idx="592">
                  <c:v>36.704500000000401</c:v>
                </c:pt>
                <c:pt idx="593">
                  <c:v>36.704600000000404</c:v>
                </c:pt>
                <c:pt idx="594">
                  <c:v>36.704700000000408</c:v>
                </c:pt>
                <c:pt idx="595">
                  <c:v>36.704800000000411</c:v>
                </c:pt>
                <c:pt idx="596">
                  <c:v>36.704900000000414</c:v>
                </c:pt>
                <c:pt idx="597">
                  <c:v>36.705000000000418</c:v>
                </c:pt>
                <c:pt idx="598">
                  <c:v>36.705100000000421</c:v>
                </c:pt>
                <c:pt idx="599">
                  <c:v>36.705200000000424</c:v>
                </c:pt>
                <c:pt idx="600">
                  <c:v>36.705300000000427</c:v>
                </c:pt>
                <c:pt idx="601">
                  <c:v>36.705400000000431</c:v>
                </c:pt>
                <c:pt idx="602">
                  <c:v>36.705500000000434</c:v>
                </c:pt>
                <c:pt idx="603">
                  <c:v>36.705600000000437</c:v>
                </c:pt>
                <c:pt idx="604">
                  <c:v>36.705700000000441</c:v>
                </c:pt>
                <c:pt idx="605">
                  <c:v>36.705800000000444</c:v>
                </c:pt>
                <c:pt idx="606">
                  <c:v>36.705900000000447</c:v>
                </c:pt>
                <c:pt idx="607">
                  <c:v>36.706000000000451</c:v>
                </c:pt>
                <c:pt idx="608">
                  <c:v>36.706100000000454</c:v>
                </c:pt>
                <c:pt idx="609">
                  <c:v>36.706200000000457</c:v>
                </c:pt>
                <c:pt idx="610">
                  <c:v>36.706300000000461</c:v>
                </c:pt>
                <c:pt idx="611">
                  <c:v>36.706400000000464</c:v>
                </c:pt>
                <c:pt idx="612">
                  <c:v>36.706500000000467</c:v>
                </c:pt>
                <c:pt idx="613">
                  <c:v>36.706600000000471</c:v>
                </c:pt>
                <c:pt idx="614">
                  <c:v>36.706700000000474</c:v>
                </c:pt>
                <c:pt idx="615">
                  <c:v>36.706800000000477</c:v>
                </c:pt>
                <c:pt idx="616">
                  <c:v>36.706900000000481</c:v>
                </c:pt>
                <c:pt idx="617">
                  <c:v>36.707000000000484</c:v>
                </c:pt>
                <c:pt idx="618">
                  <c:v>36.707100000000487</c:v>
                </c:pt>
                <c:pt idx="619">
                  <c:v>36.707200000000491</c:v>
                </c:pt>
                <c:pt idx="620">
                  <c:v>36.707300000000494</c:v>
                </c:pt>
                <c:pt idx="621">
                  <c:v>36.707400000000497</c:v>
                </c:pt>
                <c:pt idx="622">
                  <c:v>36.707500000000501</c:v>
                </c:pt>
                <c:pt idx="623">
                  <c:v>36.707600000000504</c:v>
                </c:pt>
                <c:pt idx="624">
                  <c:v>36.707700000000507</c:v>
                </c:pt>
                <c:pt idx="625">
                  <c:v>36.70780000000051</c:v>
                </c:pt>
                <c:pt idx="626">
                  <c:v>36.707900000000514</c:v>
                </c:pt>
                <c:pt idx="627">
                  <c:v>36.708000000000517</c:v>
                </c:pt>
                <c:pt idx="628">
                  <c:v>36.70810000000052</c:v>
                </c:pt>
                <c:pt idx="629">
                  <c:v>36.708200000000524</c:v>
                </c:pt>
                <c:pt idx="630">
                  <c:v>36.708300000000527</c:v>
                </c:pt>
                <c:pt idx="631">
                  <c:v>36.70840000000053</c:v>
                </c:pt>
                <c:pt idx="632">
                  <c:v>36.708500000000534</c:v>
                </c:pt>
                <c:pt idx="633">
                  <c:v>36.708600000000537</c:v>
                </c:pt>
                <c:pt idx="634">
                  <c:v>36.70870000000054</c:v>
                </c:pt>
                <c:pt idx="635">
                  <c:v>36.708800000000544</c:v>
                </c:pt>
                <c:pt idx="636">
                  <c:v>36.708900000000547</c:v>
                </c:pt>
                <c:pt idx="637">
                  <c:v>36.70900000000055</c:v>
                </c:pt>
                <c:pt idx="638">
                  <c:v>36.709100000000554</c:v>
                </c:pt>
                <c:pt idx="639">
                  <c:v>36.709200000000557</c:v>
                </c:pt>
                <c:pt idx="640">
                  <c:v>36.70930000000056</c:v>
                </c:pt>
                <c:pt idx="641">
                  <c:v>36.709400000000564</c:v>
                </c:pt>
                <c:pt idx="642">
                  <c:v>36.709500000000567</c:v>
                </c:pt>
                <c:pt idx="643">
                  <c:v>36.70960000000057</c:v>
                </c:pt>
                <c:pt idx="644">
                  <c:v>36.709700000000574</c:v>
                </c:pt>
                <c:pt idx="645">
                  <c:v>36.709800000000577</c:v>
                </c:pt>
                <c:pt idx="646">
                  <c:v>36.70990000000058</c:v>
                </c:pt>
                <c:pt idx="647">
                  <c:v>36.710000000000583</c:v>
                </c:pt>
                <c:pt idx="648">
                  <c:v>36.710100000000587</c:v>
                </c:pt>
                <c:pt idx="649">
                  <c:v>36.71020000000059</c:v>
                </c:pt>
                <c:pt idx="650">
                  <c:v>36.710300000000593</c:v>
                </c:pt>
                <c:pt idx="651">
                  <c:v>36.710400000000597</c:v>
                </c:pt>
                <c:pt idx="652">
                  <c:v>36.7105000000006</c:v>
                </c:pt>
                <c:pt idx="653">
                  <c:v>36.710600000000603</c:v>
                </c:pt>
                <c:pt idx="654">
                  <c:v>36.710700000000607</c:v>
                </c:pt>
                <c:pt idx="655">
                  <c:v>36.71080000000061</c:v>
                </c:pt>
                <c:pt idx="656">
                  <c:v>36.710900000000613</c:v>
                </c:pt>
                <c:pt idx="657">
                  <c:v>36.711000000000617</c:v>
                </c:pt>
                <c:pt idx="658">
                  <c:v>36.71110000000062</c:v>
                </c:pt>
                <c:pt idx="659">
                  <c:v>36.711200000000623</c:v>
                </c:pt>
                <c:pt idx="660">
                  <c:v>36.711300000000627</c:v>
                </c:pt>
                <c:pt idx="661">
                  <c:v>36.71140000000063</c:v>
                </c:pt>
                <c:pt idx="662">
                  <c:v>36.711500000000633</c:v>
                </c:pt>
                <c:pt idx="663">
                  <c:v>36.711600000000637</c:v>
                </c:pt>
                <c:pt idx="664">
                  <c:v>36.71170000000064</c:v>
                </c:pt>
                <c:pt idx="665">
                  <c:v>36.711800000000643</c:v>
                </c:pt>
                <c:pt idx="666">
                  <c:v>36.711900000000647</c:v>
                </c:pt>
                <c:pt idx="667">
                  <c:v>36.71200000000065</c:v>
                </c:pt>
                <c:pt idx="668">
                  <c:v>36.712100000000653</c:v>
                </c:pt>
                <c:pt idx="669">
                  <c:v>36.712200000000657</c:v>
                </c:pt>
                <c:pt idx="670">
                  <c:v>36.71230000000066</c:v>
                </c:pt>
                <c:pt idx="671">
                  <c:v>36.712400000000663</c:v>
                </c:pt>
                <c:pt idx="672">
                  <c:v>36.712500000000666</c:v>
                </c:pt>
                <c:pt idx="673">
                  <c:v>36.71260000000067</c:v>
                </c:pt>
                <c:pt idx="674">
                  <c:v>36.712700000000673</c:v>
                </c:pt>
                <c:pt idx="675">
                  <c:v>36.712800000000676</c:v>
                </c:pt>
                <c:pt idx="676">
                  <c:v>36.71290000000068</c:v>
                </c:pt>
                <c:pt idx="677">
                  <c:v>36.713000000000683</c:v>
                </c:pt>
                <c:pt idx="678">
                  <c:v>36.713100000000686</c:v>
                </c:pt>
                <c:pt idx="679">
                  <c:v>36.71320000000069</c:v>
                </c:pt>
                <c:pt idx="680">
                  <c:v>36.713300000000693</c:v>
                </c:pt>
                <c:pt idx="681">
                  <c:v>36.713400000000696</c:v>
                </c:pt>
                <c:pt idx="682">
                  <c:v>36.7135000000007</c:v>
                </c:pt>
                <c:pt idx="683">
                  <c:v>36.713600000000703</c:v>
                </c:pt>
                <c:pt idx="684">
                  <c:v>36.713700000000706</c:v>
                </c:pt>
                <c:pt idx="685">
                  <c:v>36.71380000000071</c:v>
                </c:pt>
                <c:pt idx="686">
                  <c:v>36.713900000000713</c:v>
                </c:pt>
                <c:pt idx="687">
                  <c:v>36.714000000000716</c:v>
                </c:pt>
                <c:pt idx="688">
                  <c:v>36.71410000000072</c:v>
                </c:pt>
                <c:pt idx="689">
                  <c:v>36.714200000000723</c:v>
                </c:pt>
                <c:pt idx="690">
                  <c:v>36.714300000000726</c:v>
                </c:pt>
                <c:pt idx="691">
                  <c:v>36.71440000000073</c:v>
                </c:pt>
                <c:pt idx="692">
                  <c:v>36.714500000000733</c:v>
                </c:pt>
                <c:pt idx="693">
                  <c:v>36.714600000000736</c:v>
                </c:pt>
                <c:pt idx="694">
                  <c:v>36.71470000000074</c:v>
                </c:pt>
                <c:pt idx="695">
                  <c:v>36.714800000000743</c:v>
                </c:pt>
                <c:pt idx="696">
                  <c:v>36.714900000000746</c:v>
                </c:pt>
                <c:pt idx="697">
                  <c:v>36.715000000000749</c:v>
                </c:pt>
                <c:pt idx="698">
                  <c:v>36.715100000000753</c:v>
                </c:pt>
                <c:pt idx="699">
                  <c:v>36.715200000000756</c:v>
                </c:pt>
                <c:pt idx="700">
                  <c:v>36.715300000000759</c:v>
                </c:pt>
                <c:pt idx="701">
                  <c:v>36.715400000000763</c:v>
                </c:pt>
                <c:pt idx="702">
                  <c:v>36.715500000000766</c:v>
                </c:pt>
                <c:pt idx="703">
                  <c:v>36.715600000000769</c:v>
                </c:pt>
                <c:pt idx="704">
                  <c:v>36.715700000000773</c:v>
                </c:pt>
                <c:pt idx="705">
                  <c:v>36.715800000000776</c:v>
                </c:pt>
                <c:pt idx="706">
                  <c:v>36.715900000000779</c:v>
                </c:pt>
                <c:pt idx="707">
                  <c:v>36.716000000000783</c:v>
                </c:pt>
                <c:pt idx="708">
                  <c:v>36.716100000000786</c:v>
                </c:pt>
                <c:pt idx="709">
                  <c:v>36.716200000000789</c:v>
                </c:pt>
                <c:pt idx="710">
                  <c:v>36.716300000000793</c:v>
                </c:pt>
                <c:pt idx="711">
                  <c:v>36.716400000000796</c:v>
                </c:pt>
                <c:pt idx="712">
                  <c:v>36.716500000000799</c:v>
                </c:pt>
                <c:pt idx="713">
                  <c:v>36.716600000000803</c:v>
                </c:pt>
                <c:pt idx="714">
                  <c:v>36.716700000000806</c:v>
                </c:pt>
                <c:pt idx="715">
                  <c:v>36.716800000000809</c:v>
                </c:pt>
                <c:pt idx="716">
                  <c:v>36.716900000000813</c:v>
                </c:pt>
                <c:pt idx="717">
                  <c:v>36.717000000000816</c:v>
                </c:pt>
                <c:pt idx="718">
                  <c:v>36.717100000000819</c:v>
                </c:pt>
                <c:pt idx="719">
                  <c:v>36.717200000000823</c:v>
                </c:pt>
                <c:pt idx="720">
                  <c:v>36.717300000000826</c:v>
                </c:pt>
                <c:pt idx="721">
                  <c:v>36.717400000000829</c:v>
                </c:pt>
                <c:pt idx="722">
                  <c:v>36.717500000000832</c:v>
                </c:pt>
                <c:pt idx="723">
                  <c:v>36.717600000000836</c:v>
                </c:pt>
                <c:pt idx="724">
                  <c:v>36.717700000000839</c:v>
                </c:pt>
                <c:pt idx="725">
                  <c:v>36.717800000000842</c:v>
                </c:pt>
                <c:pt idx="726">
                  <c:v>36.717900000000846</c:v>
                </c:pt>
                <c:pt idx="727">
                  <c:v>36.718000000000849</c:v>
                </c:pt>
                <c:pt idx="728">
                  <c:v>36.718100000000852</c:v>
                </c:pt>
                <c:pt idx="729">
                  <c:v>36.718200000000856</c:v>
                </c:pt>
                <c:pt idx="730">
                  <c:v>36.718300000000859</c:v>
                </c:pt>
                <c:pt idx="731">
                  <c:v>36.718400000000862</c:v>
                </c:pt>
                <c:pt idx="732">
                  <c:v>36.718500000000866</c:v>
                </c:pt>
                <c:pt idx="733">
                  <c:v>36.718600000000869</c:v>
                </c:pt>
                <c:pt idx="734">
                  <c:v>36.718700000000872</c:v>
                </c:pt>
                <c:pt idx="735">
                  <c:v>36.718800000000876</c:v>
                </c:pt>
                <c:pt idx="736">
                  <c:v>36.718900000000879</c:v>
                </c:pt>
                <c:pt idx="737">
                  <c:v>36.719000000000882</c:v>
                </c:pt>
                <c:pt idx="738">
                  <c:v>36.719100000000886</c:v>
                </c:pt>
                <c:pt idx="739">
                  <c:v>36.719200000000889</c:v>
                </c:pt>
                <c:pt idx="740">
                  <c:v>36.719300000000892</c:v>
                </c:pt>
                <c:pt idx="741">
                  <c:v>36.719400000000896</c:v>
                </c:pt>
                <c:pt idx="742">
                  <c:v>36.719500000000899</c:v>
                </c:pt>
                <c:pt idx="743">
                  <c:v>36.719600000000902</c:v>
                </c:pt>
                <c:pt idx="744">
                  <c:v>36.719700000000906</c:v>
                </c:pt>
                <c:pt idx="745">
                  <c:v>36.719800000000909</c:v>
                </c:pt>
                <c:pt idx="746">
                  <c:v>36.719900000000912</c:v>
                </c:pt>
                <c:pt idx="747">
                  <c:v>36.720000000000915</c:v>
                </c:pt>
                <c:pt idx="748">
                  <c:v>36.720100000000919</c:v>
                </c:pt>
                <c:pt idx="749">
                  <c:v>36.720200000000922</c:v>
                </c:pt>
                <c:pt idx="750">
                  <c:v>36.720300000000925</c:v>
                </c:pt>
                <c:pt idx="751">
                  <c:v>36.720400000000929</c:v>
                </c:pt>
                <c:pt idx="752">
                  <c:v>36.720500000000932</c:v>
                </c:pt>
                <c:pt idx="753">
                  <c:v>36.720600000000935</c:v>
                </c:pt>
                <c:pt idx="754">
                  <c:v>36.720700000000939</c:v>
                </c:pt>
                <c:pt idx="755">
                  <c:v>36.720800000000942</c:v>
                </c:pt>
                <c:pt idx="756">
                  <c:v>36.720900000000945</c:v>
                </c:pt>
                <c:pt idx="757">
                  <c:v>36.721000000000949</c:v>
                </c:pt>
                <c:pt idx="758">
                  <c:v>36.721100000000952</c:v>
                </c:pt>
                <c:pt idx="759">
                  <c:v>36.721200000000955</c:v>
                </c:pt>
                <c:pt idx="760">
                  <c:v>36.721300000000959</c:v>
                </c:pt>
                <c:pt idx="761">
                  <c:v>36.721400000000962</c:v>
                </c:pt>
                <c:pt idx="762">
                  <c:v>36.721500000000965</c:v>
                </c:pt>
                <c:pt idx="763">
                  <c:v>36.721600000000969</c:v>
                </c:pt>
                <c:pt idx="764">
                  <c:v>36.721700000000972</c:v>
                </c:pt>
                <c:pt idx="765">
                  <c:v>36.721800000000975</c:v>
                </c:pt>
                <c:pt idx="766">
                  <c:v>36.721900000000979</c:v>
                </c:pt>
                <c:pt idx="767">
                  <c:v>36.722000000000982</c:v>
                </c:pt>
                <c:pt idx="768">
                  <c:v>36.722100000000985</c:v>
                </c:pt>
                <c:pt idx="769">
                  <c:v>36.722200000000988</c:v>
                </c:pt>
                <c:pt idx="770">
                  <c:v>36.722300000000992</c:v>
                </c:pt>
                <c:pt idx="771">
                  <c:v>36.722400000000995</c:v>
                </c:pt>
                <c:pt idx="772">
                  <c:v>36.722500000000998</c:v>
                </c:pt>
                <c:pt idx="773">
                  <c:v>36.722600000001002</c:v>
                </c:pt>
                <c:pt idx="774">
                  <c:v>36.722700000001005</c:v>
                </c:pt>
                <c:pt idx="775">
                  <c:v>36.722800000001008</c:v>
                </c:pt>
                <c:pt idx="776">
                  <c:v>36.722900000001012</c:v>
                </c:pt>
                <c:pt idx="777">
                  <c:v>36.723000000001015</c:v>
                </c:pt>
                <c:pt idx="778">
                  <c:v>36.723100000001018</c:v>
                </c:pt>
                <c:pt idx="779">
                  <c:v>36.723200000001022</c:v>
                </c:pt>
                <c:pt idx="780">
                  <c:v>36.723300000001025</c:v>
                </c:pt>
                <c:pt idx="781">
                  <c:v>36.723400000001028</c:v>
                </c:pt>
                <c:pt idx="782">
                  <c:v>36.723500000001032</c:v>
                </c:pt>
                <c:pt idx="783">
                  <c:v>36.723600000001035</c:v>
                </c:pt>
                <c:pt idx="784">
                  <c:v>36.723700000001038</c:v>
                </c:pt>
                <c:pt idx="785">
                  <c:v>36.723800000001042</c:v>
                </c:pt>
                <c:pt idx="786">
                  <c:v>36.723900000001045</c:v>
                </c:pt>
                <c:pt idx="787">
                  <c:v>36.724000000001048</c:v>
                </c:pt>
                <c:pt idx="788">
                  <c:v>36.724100000001052</c:v>
                </c:pt>
                <c:pt idx="789">
                  <c:v>36.724200000001055</c:v>
                </c:pt>
                <c:pt idx="790">
                  <c:v>36.724300000001058</c:v>
                </c:pt>
                <c:pt idx="791">
                  <c:v>36.724400000001062</c:v>
                </c:pt>
                <c:pt idx="792">
                  <c:v>36.724500000001065</c:v>
                </c:pt>
                <c:pt idx="793">
                  <c:v>36.724600000001068</c:v>
                </c:pt>
                <c:pt idx="794">
                  <c:v>36.724700000001071</c:v>
                </c:pt>
                <c:pt idx="795">
                  <c:v>36.724800000001075</c:v>
                </c:pt>
                <c:pt idx="796">
                  <c:v>36.724900000001078</c:v>
                </c:pt>
                <c:pt idx="797">
                  <c:v>36.725000000001081</c:v>
                </c:pt>
                <c:pt idx="798">
                  <c:v>36.725100000001085</c:v>
                </c:pt>
                <c:pt idx="799">
                  <c:v>36.725200000001088</c:v>
                </c:pt>
                <c:pt idx="800">
                  <c:v>36.725300000001091</c:v>
                </c:pt>
                <c:pt idx="801">
                  <c:v>36.725400000001095</c:v>
                </c:pt>
                <c:pt idx="802">
                  <c:v>36.725500000001098</c:v>
                </c:pt>
                <c:pt idx="803">
                  <c:v>36.725600000001101</c:v>
                </c:pt>
                <c:pt idx="804">
                  <c:v>36.725700000001105</c:v>
                </c:pt>
                <c:pt idx="805">
                  <c:v>36.725800000001108</c:v>
                </c:pt>
                <c:pt idx="806">
                  <c:v>36.725900000001111</c:v>
                </c:pt>
                <c:pt idx="807">
                  <c:v>36.726000000001115</c:v>
                </c:pt>
                <c:pt idx="808">
                  <c:v>36.726100000001118</c:v>
                </c:pt>
                <c:pt idx="809">
                  <c:v>36.726200000001121</c:v>
                </c:pt>
                <c:pt idx="810">
                  <c:v>36.726300000001125</c:v>
                </c:pt>
                <c:pt idx="811">
                  <c:v>36.726400000001128</c:v>
                </c:pt>
                <c:pt idx="812">
                  <c:v>36.726500000001131</c:v>
                </c:pt>
                <c:pt idx="813">
                  <c:v>36.726600000001135</c:v>
                </c:pt>
                <c:pt idx="814">
                  <c:v>36.726700000001138</c:v>
                </c:pt>
                <c:pt idx="815">
                  <c:v>36.726800000001141</c:v>
                </c:pt>
                <c:pt idx="816">
                  <c:v>36.726900000001145</c:v>
                </c:pt>
                <c:pt idx="817">
                  <c:v>36.727000000001148</c:v>
                </c:pt>
                <c:pt idx="818">
                  <c:v>36.727100000001151</c:v>
                </c:pt>
                <c:pt idx="819">
                  <c:v>36.727200000001154</c:v>
                </c:pt>
                <c:pt idx="820">
                  <c:v>36.727300000001158</c:v>
                </c:pt>
                <c:pt idx="821">
                  <c:v>36.727400000001161</c:v>
                </c:pt>
                <c:pt idx="822">
                  <c:v>36.727500000001164</c:v>
                </c:pt>
                <c:pt idx="823">
                  <c:v>36.727600000001168</c:v>
                </c:pt>
                <c:pt idx="824">
                  <c:v>36.727700000001171</c:v>
                </c:pt>
                <c:pt idx="825">
                  <c:v>36.727800000001174</c:v>
                </c:pt>
                <c:pt idx="826">
                  <c:v>36.727900000001178</c:v>
                </c:pt>
                <c:pt idx="827">
                  <c:v>36.728000000001181</c:v>
                </c:pt>
                <c:pt idx="828">
                  <c:v>36.728100000001184</c:v>
                </c:pt>
                <c:pt idx="829">
                  <c:v>36.728200000001188</c:v>
                </c:pt>
                <c:pt idx="830">
                  <c:v>36.728300000001191</c:v>
                </c:pt>
                <c:pt idx="831">
                  <c:v>36.728400000001194</c:v>
                </c:pt>
                <c:pt idx="832">
                  <c:v>36.728500000001198</c:v>
                </c:pt>
                <c:pt idx="833">
                  <c:v>36.728600000001201</c:v>
                </c:pt>
                <c:pt idx="834">
                  <c:v>36.728700000001204</c:v>
                </c:pt>
                <c:pt idx="835">
                  <c:v>36.728800000001208</c:v>
                </c:pt>
                <c:pt idx="836">
                  <c:v>36.728900000001211</c:v>
                </c:pt>
                <c:pt idx="837">
                  <c:v>36.729000000001214</c:v>
                </c:pt>
                <c:pt idx="838">
                  <c:v>36.729100000001218</c:v>
                </c:pt>
                <c:pt idx="839">
                  <c:v>36.729200000001221</c:v>
                </c:pt>
                <c:pt idx="840">
                  <c:v>36.729300000001224</c:v>
                </c:pt>
                <c:pt idx="841">
                  <c:v>36.729400000001228</c:v>
                </c:pt>
                <c:pt idx="842">
                  <c:v>36.729500000001231</c:v>
                </c:pt>
                <c:pt idx="843">
                  <c:v>36.729600000001234</c:v>
                </c:pt>
                <c:pt idx="844">
                  <c:v>36.729700000001237</c:v>
                </c:pt>
                <c:pt idx="845">
                  <c:v>36.729800000001241</c:v>
                </c:pt>
                <c:pt idx="846">
                  <c:v>36.729900000001244</c:v>
                </c:pt>
                <c:pt idx="847">
                  <c:v>36.730000000001247</c:v>
                </c:pt>
                <c:pt idx="848">
                  <c:v>36.730100000001251</c:v>
                </c:pt>
                <c:pt idx="849">
                  <c:v>36.730200000001254</c:v>
                </c:pt>
                <c:pt idx="850">
                  <c:v>36.730300000001257</c:v>
                </c:pt>
                <c:pt idx="851">
                  <c:v>36.730400000001261</c:v>
                </c:pt>
                <c:pt idx="852">
                  <c:v>36.730500000001264</c:v>
                </c:pt>
                <c:pt idx="853">
                  <c:v>36.730600000001267</c:v>
                </c:pt>
                <c:pt idx="854">
                  <c:v>36.730700000001271</c:v>
                </c:pt>
                <c:pt idx="855">
                  <c:v>36.730800000001274</c:v>
                </c:pt>
                <c:pt idx="856">
                  <c:v>36.730900000001277</c:v>
                </c:pt>
                <c:pt idx="857">
                  <c:v>36.731000000001281</c:v>
                </c:pt>
                <c:pt idx="858">
                  <c:v>36.731100000001284</c:v>
                </c:pt>
                <c:pt idx="859">
                  <c:v>36.731200000001287</c:v>
                </c:pt>
                <c:pt idx="860">
                  <c:v>36.731300000001291</c:v>
                </c:pt>
                <c:pt idx="861">
                  <c:v>36.731400000001294</c:v>
                </c:pt>
                <c:pt idx="862">
                  <c:v>36.731500000001297</c:v>
                </c:pt>
                <c:pt idx="863">
                  <c:v>36.731600000001301</c:v>
                </c:pt>
                <c:pt idx="864">
                  <c:v>36.731700000001304</c:v>
                </c:pt>
                <c:pt idx="865">
                  <c:v>36.731800000001307</c:v>
                </c:pt>
                <c:pt idx="866">
                  <c:v>36.731900000001311</c:v>
                </c:pt>
                <c:pt idx="867">
                  <c:v>36.732000000001314</c:v>
                </c:pt>
                <c:pt idx="868">
                  <c:v>36.732100000001317</c:v>
                </c:pt>
                <c:pt idx="869">
                  <c:v>36.73220000000132</c:v>
                </c:pt>
                <c:pt idx="870">
                  <c:v>36.732300000001324</c:v>
                </c:pt>
                <c:pt idx="871">
                  <c:v>36.732400000001327</c:v>
                </c:pt>
                <c:pt idx="872">
                  <c:v>36.73250000000133</c:v>
                </c:pt>
                <c:pt idx="873">
                  <c:v>36.732600000001334</c:v>
                </c:pt>
                <c:pt idx="874">
                  <c:v>36.732700000001337</c:v>
                </c:pt>
                <c:pt idx="875">
                  <c:v>36.73280000000134</c:v>
                </c:pt>
                <c:pt idx="876">
                  <c:v>36.732900000001344</c:v>
                </c:pt>
                <c:pt idx="877">
                  <c:v>36.733000000001347</c:v>
                </c:pt>
                <c:pt idx="878">
                  <c:v>36.73310000000135</c:v>
                </c:pt>
                <c:pt idx="879">
                  <c:v>36.733200000001354</c:v>
                </c:pt>
                <c:pt idx="880">
                  <c:v>36.733300000001357</c:v>
                </c:pt>
                <c:pt idx="881">
                  <c:v>36.73340000000136</c:v>
                </c:pt>
                <c:pt idx="882">
                  <c:v>36.733500000001364</c:v>
                </c:pt>
                <c:pt idx="883">
                  <c:v>36.733600000001367</c:v>
                </c:pt>
                <c:pt idx="884">
                  <c:v>36.73370000000137</c:v>
                </c:pt>
                <c:pt idx="885">
                  <c:v>36.733800000001374</c:v>
                </c:pt>
                <c:pt idx="886">
                  <c:v>36.733900000001377</c:v>
                </c:pt>
                <c:pt idx="887">
                  <c:v>36.73400000000138</c:v>
                </c:pt>
                <c:pt idx="888">
                  <c:v>36.734100000001384</c:v>
                </c:pt>
                <c:pt idx="889">
                  <c:v>36.734200000001387</c:v>
                </c:pt>
                <c:pt idx="890">
                  <c:v>36.73430000000139</c:v>
                </c:pt>
                <c:pt idx="891">
                  <c:v>36.734400000001393</c:v>
                </c:pt>
                <c:pt idx="892">
                  <c:v>36.734500000001397</c:v>
                </c:pt>
                <c:pt idx="893">
                  <c:v>36.7346000000014</c:v>
                </c:pt>
                <c:pt idx="894">
                  <c:v>36.734700000001403</c:v>
                </c:pt>
                <c:pt idx="895">
                  <c:v>36.734800000001407</c:v>
                </c:pt>
                <c:pt idx="896">
                  <c:v>36.73490000000141</c:v>
                </c:pt>
                <c:pt idx="897">
                  <c:v>36.735000000001413</c:v>
                </c:pt>
                <c:pt idx="898">
                  <c:v>36.735100000001417</c:v>
                </c:pt>
                <c:pt idx="899">
                  <c:v>36.73520000000142</c:v>
                </c:pt>
                <c:pt idx="900">
                  <c:v>36.735300000001423</c:v>
                </c:pt>
                <c:pt idx="901">
                  <c:v>36.735400000001427</c:v>
                </c:pt>
                <c:pt idx="902">
                  <c:v>36.73550000000143</c:v>
                </c:pt>
                <c:pt idx="903">
                  <c:v>36.735600000001433</c:v>
                </c:pt>
                <c:pt idx="904">
                  <c:v>36.735700000001437</c:v>
                </c:pt>
                <c:pt idx="905">
                  <c:v>36.73580000000144</c:v>
                </c:pt>
                <c:pt idx="906">
                  <c:v>36.735900000001443</c:v>
                </c:pt>
                <c:pt idx="907">
                  <c:v>36.736000000001447</c:v>
                </c:pt>
                <c:pt idx="908">
                  <c:v>36.73610000000145</c:v>
                </c:pt>
                <c:pt idx="909">
                  <c:v>36.736200000001453</c:v>
                </c:pt>
                <c:pt idx="910">
                  <c:v>36.736300000001457</c:v>
                </c:pt>
                <c:pt idx="911">
                  <c:v>36.73640000000146</c:v>
                </c:pt>
                <c:pt idx="912">
                  <c:v>36.736500000001463</c:v>
                </c:pt>
                <c:pt idx="913">
                  <c:v>36.736600000001467</c:v>
                </c:pt>
                <c:pt idx="914">
                  <c:v>36.73670000000147</c:v>
                </c:pt>
                <c:pt idx="915">
                  <c:v>36.736800000001473</c:v>
                </c:pt>
                <c:pt idx="916">
                  <c:v>36.736900000001476</c:v>
                </c:pt>
                <c:pt idx="917">
                  <c:v>36.73700000000148</c:v>
                </c:pt>
                <c:pt idx="918">
                  <c:v>36.737100000001483</c:v>
                </c:pt>
                <c:pt idx="919">
                  <c:v>36.737200000001486</c:v>
                </c:pt>
                <c:pt idx="920">
                  <c:v>36.73730000000149</c:v>
                </c:pt>
                <c:pt idx="921">
                  <c:v>36.737400000001493</c:v>
                </c:pt>
                <c:pt idx="922">
                  <c:v>36.737500000001496</c:v>
                </c:pt>
                <c:pt idx="923">
                  <c:v>36.7376000000015</c:v>
                </c:pt>
                <c:pt idx="924">
                  <c:v>36.737700000001503</c:v>
                </c:pt>
                <c:pt idx="925">
                  <c:v>36.737800000001506</c:v>
                </c:pt>
                <c:pt idx="926">
                  <c:v>36.73790000000151</c:v>
                </c:pt>
                <c:pt idx="927">
                  <c:v>36.738000000001513</c:v>
                </c:pt>
                <c:pt idx="928">
                  <c:v>36.738100000001516</c:v>
                </c:pt>
                <c:pt idx="929">
                  <c:v>36.73820000000152</c:v>
                </c:pt>
                <c:pt idx="930">
                  <c:v>36.738300000001523</c:v>
                </c:pt>
                <c:pt idx="931">
                  <c:v>36.738400000001526</c:v>
                </c:pt>
                <c:pt idx="932">
                  <c:v>36.73850000000153</c:v>
                </c:pt>
                <c:pt idx="933">
                  <c:v>36.738600000001533</c:v>
                </c:pt>
                <c:pt idx="934">
                  <c:v>36.738700000001536</c:v>
                </c:pt>
                <c:pt idx="935">
                  <c:v>36.73880000000154</c:v>
                </c:pt>
                <c:pt idx="936">
                  <c:v>36.738900000001543</c:v>
                </c:pt>
                <c:pt idx="937">
                  <c:v>36.739000000001546</c:v>
                </c:pt>
                <c:pt idx="938">
                  <c:v>36.73910000000155</c:v>
                </c:pt>
                <c:pt idx="939">
                  <c:v>36.739200000001553</c:v>
                </c:pt>
                <c:pt idx="940">
                  <c:v>36.739300000001556</c:v>
                </c:pt>
                <c:pt idx="941">
                  <c:v>36.739400000001559</c:v>
                </c:pt>
                <c:pt idx="942">
                  <c:v>36.739500000001563</c:v>
                </c:pt>
                <c:pt idx="943">
                  <c:v>36.739600000001566</c:v>
                </c:pt>
                <c:pt idx="944">
                  <c:v>36.739700000001569</c:v>
                </c:pt>
                <c:pt idx="945">
                  <c:v>36.739800000001573</c:v>
                </c:pt>
                <c:pt idx="946">
                  <c:v>36.739900000001576</c:v>
                </c:pt>
                <c:pt idx="947">
                  <c:v>36.740000000001579</c:v>
                </c:pt>
                <c:pt idx="948">
                  <c:v>36.740100000001583</c:v>
                </c:pt>
                <c:pt idx="949">
                  <c:v>36.740200000001586</c:v>
                </c:pt>
                <c:pt idx="950">
                  <c:v>36.740300000001589</c:v>
                </c:pt>
                <c:pt idx="951">
                  <c:v>36.740400000001593</c:v>
                </c:pt>
                <c:pt idx="952">
                  <c:v>36.740500000001596</c:v>
                </c:pt>
                <c:pt idx="953">
                  <c:v>36.740600000001599</c:v>
                </c:pt>
                <c:pt idx="954">
                  <c:v>36.740700000001603</c:v>
                </c:pt>
                <c:pt idx="955">
                  <c:v>36.740800000001606</c:v>
                </c:pt>
                <c:pt idx="956">
                  <c:v>36.740900000001609</c:v>
                </c:pt>
                <c:pt idx="957">
                  <c:v>36.741000000001613</c:v>
                </c:pt>
                <c:pt idx="958">
                  <c:v>36.741100000001616</c:v>
                </c:pt>
                <c:pt idx="959">
                  <c:v>36.741200000001619</c:v>
                </c:pt>
                <c:pt idx="960">
                  <c:v>36.741300000001623</c:v>
                </c:pt>
                <c:pt idx="961">
                  <c:v>36.741400000001626</c:v>
                </c:pt>
                <c:pt idx="962">
                  <c:v>36.741500000001629</c:v>
                </c:pt>
                <c:pt idx="963">
                  <c:v>36.741600000001633</c:v>
                </c:pt>
                <c:pt idx="964">
                  <c:v>36.741700000001636</c:v>
                </c:pt>
                <c:pt idx="965">
                  <c:v>36.741800000001639</c:v>
                </c:pt>
                <c:pt idx="966">
                  <c:v>36.741900000001642</c:v>
                </c:pt>
                <c:pt idx="967">
                  <c:v>36.742000000001646</c:v>
                </c:pt>
                <c:pt idx="968">
                  <c:v>36.742100000001649</c:v>
                </c:pt>
                <c:pt idx="969">
                  <c:v>36.742200000001652</c:v>
                </c:pt>
                <c:pt idx="970">
                  <c:v>36.742300000001656</c:v>
                </c:pt>
                <c:pt idx="971">
                  <c:v>36.742400000001659</c:v>
                </c:pt>
                <c:pt idx="972">
                  <c:v>36.742500000001662</c:v>
                </c:pt>
                <c:pt idx="973">
                  <c:v>36.742600000001666</c:v>
                </c:pt>
                <c:pt idx="974">
                  <c:v>36.742700000001669</c:v>
                </c:pt>
                <c:pt idx="975">
                  <c:v>36.742800000001672</c:v>
                </c:pt>
                <c:pt idx="976">
                  <c:v>36.742900000001676</c:v>
                </c:pt>
                <c:pt idx="977">
                  <c:v>36.743000000001679</c:v>
                </c:pt>
                <c:pt idx="978">
                  <c:v>36.743100000001682</c:v>
                </c:pt>
                <c:pt idx="979">
                  <c:v>36.743200000001686</c:v>
                </c:pt>
                <c:pt idx="980">
                  <c:v>36.743300000001689</c:v>
                </c:pt>
                <c:pt idx="981">
                  <c:v>36.743400000001692</c:v>
                </c:pt>
                <c:pt idx="982">
                  <c:v>36.743500000001696</c:v>
                </c:pt>
                <c:pt idx="983">
                  <c:v>36.743600000001699</c:v>
                </c:pt>
                <c:pt idx="984">
                  <c:v>36.743700000001702</c:v>
                </c:pt>
                <c:pt idx="985">
                  <c:v>36.743800000001706</c:v>
                </c:pt>
                <c:pt idx="986">
                  <c:v>36.743900000001709</c:v>
                </c:pt>
                <c:pt idx="987">
                  <c:v>36.744000000001712</c:v>
                </c:pt>
                <c:pt idx="988">
                  <c:v>36.744100000001716</c:v>
                </c:pt>
                <c:pt idx="989">
                  <c:v>36.744200000001719</c:v>
                </c:pt>
                <c:pt idx="990">
                  <c:v>36.744300000001722</c:v>
                </c:pt>
                <c:pt idx="991">
                  <c:v>36.744400000001725</c:v>
                </c:pt>
                <c:pt idx="992">
                  <c:v>36.744500000001729</c:v>
                </c:pt>
                <c:pt idx="993">
                  <c:v>36.744600000001732</c:v>
                </c:pt>
                <c:pt idx="994">
                  <c:v>36.744700000001735</c:v>
                </c:pt>
                <c:pt idx="995">
                  <c:v>36.744800000001739</c:v>
                </c:pt>
                <c:pt idx="996">
                  <c:v>36.744900000001742</c:v>
                </c:pt>
                <c:pt idx="997">
                  <c:v>36.745000000001745</c:v>
                </c:pt>
                <c:pt idx="998">
                  <c:v>36.745100000001749</c:v>
                </c:pt>
                <c:pt idx="999">
                  <c:v>36.745200000001752</c:v>
                </c:pt>
                <c:pt idx="1000">
                  <c:v>36.745300000001755</c:v>
                </c:pt>
              </c:numCache>
            </c:numRef>
          </c:xVal>
          <c:yVal>
            <c:numRef>
              <c:f>Calculs!$W$4:$W$1004</c:f>
              <c:numCache>
                <c:formatCode>0.00</c:formatCode>
                <c:ptCount val="1001"/>
                <c:pt idx="0">
                  <c:v>0</c:v>
                </c:pt>
                <c:pt idx="1">
                  <c:v>1.3580375881029031E-4</c:v>
                </c:pt>
                <c:pt idx="2">
                  <c:v>5.0354890401197979E-3</c:v>
                </c:pt>
                <c:pt idx="3">
                  <c:v>2.538159629965938E-2</c:v>
                </c:pt>
                <c:pt idx="4">
                  <c:v>5.9850168782874101E-2</c:v>
                </c:pt>
                <c:pt idx="5">
                  <c:v>0.1068855934529664</c:v>
                </c:pt>
                <c:pt idx="6">
                  <c:v>0.16649440744542857</c:v>
                </c:pt>
                <c:pt idx="7">
                  <c:v>0.23991252363674478</c:v>
                </c:pt>
                <c:pt idx="8">
                  <c:v>0.32746793905167298</c:v>
                </c:pt>
                <c:pt idx="9">
                  <c:v>0.42949152364206128</c:v>
                </c:pt>
                <c:pt idx="10">
                  <c:v>0.54631701092688556</c:v>
                </c:pt>
                <c:pt idx="11">
                  <c:v>0.67796340422028545</c:v>
                </c:pt>
                <c:pt idx="12">
                  <c:v>0.82432064500683577</c:v>
                </c:pt>
                <c:pt idx="13">
                  <c:v>0.98553107276954799</c:v>
                </c:pt>
                <c:pt idx="14">
                  <c:v>1.1617370706812056</c:v>
                </c:pt>
                <c:pt idx="15">
                  <c:v>1.3530810523859862</c:v>
                </c:pt>
                <c:pt idx="16">
                  <c:v>1.5597054486552053</c:v>
                </c:pt>
                <c:pt idx="17">
                  <c:v>1.78175269391824</c:v>
                </c:pt>
                <c:pt idx="18">
                  <c:v>2.0193652126697041</c:v>
                </c:pt>
                <c:pt idx="19">
                  <c:v>2.2726854057540185</c:v>
                </c:pt>
                <c:pt idx="20">
                  <c:v>2.5418556365285512</c:v>
                </c:pt>
                <c:pt idx="21">
                  <c:v>2.8267577542383582</c:v>
                </c:pt>
                <c:pt idx="22">
                  <c:v>3.1272186999804585</c:v>
                </c:pt>
                <c:pt idx="23">
                  <c:v>3.4432979707375262</c:v>
                </c:pt>
                <c:pt idx="24">
                  <c:v>3.7750543933041474</c:v>
                </c:pt>
                <c:pt idx="25">
                  <c:v>4.1225461158975829</c:v>
                </c:pt>
                <c:pt idx="26">
                  <c:v>4.4858314988011854</c:v>
                </c:pt>
                <c:pt idx="27">
                  <c:v>4.8649683986403218</c:v>
                </c:pt>
                <c:pt idx="28">
                  <c:v>5.2600130408752417</c:v>
                </c:pt>
                <c:pt idx="29">
                  <c:v>5.6710209346166813</c:v>
                </c:pt>
                <c:pt idx="30">
                  <c:v>6.0980468647656787</c:v>
                </c:pt>
                <c:pt idx="31">
                  <c:v>6.5411448841832209</c:v>
                </c:pt>
                <c:pt idx="32">
                  <c:v>7.0003683058765791</c:v>
                </c:pt>
                <c:pt idx="33">
                  <c:v>7.4757696952079264</c:v>
                </c:pt>
                <c:pt idx="34">
                  <c:v>7.9674008621302317</c:v>
                </c:pt>
                <c:pt idx="35">
                  <c:v>8.47531285345495</c:v>
                </c:pt>
                <c:pt idx="36">
                  <c:v>8.9995559451555085</c:v>
                </c:pt>
                <c:pt idx="37">
                  <c:v>9.5401796347103929</c:v>
                </c:pt>
                <c:pt idx="38">
                  <c:v>10.097232633489229</c:v>
                </c:pt>
                <c:pt idx="39">
                  <c:v>10.670762859185073</c:v>
                </c:pt>
                <c:pt idx="40">
                  <c:v>11.26081742829594</c:v>
                </c:pt>
                <c:pt idx="41">
                  <c:v>11.867026388585877</c:v>
                </c:pt>
                <c:pt idx="42">
                  <c:v>12.488974712490023</c:v>
                </c:pt>
                <c:pt idx="43">
                  <c:v>13.126640649367856</c:v>
                </c:pt>
                <c:pt idx="44">
                  <c:v>13.780001443815046</c:v>
                </c:pt>
                <c:pt idx="45">
                  <c:v>14.44903333614737</c:v>
                </c:pt>
                <c:pt idx="46">
                  <c:v>15.133711563010788</c:v>
                </c:pt>
                <c:pt idx="47">
                  <c:v>15.834010358118865</c:v>
                </c:pt>
                <c:pt idx="48">
                  <c:v>16.549902953118096</c:v>
                </c:pt>
                <c:pt idx="49">
                  <c:v>17.281361578581926</c:v>
                </c:pt>
                <c:pt idx="50">
                  <c:v>18.028357465134068</c:v>
                </c:pt>
                <c:pt idx="51">
                  <c:v>18.790860844701605</c:v>
                </c:pt>
                <c:pt idx="52">
                  <c:v>19.568840951898391</c:v>
                </c:pt>
                <c:pt idx="53">
                  <c:v>20.362266025539135</c:v>
                </c:pt>
                <c:pt idx="54">
                  <c:v>21.171103310284458</c:v>
                </c:pt>
                <c:pt idx="55">
                  <c:v>21.99531905841717</c:v>
                </c:pt>
                <c:pt idx="56">
                  <c:v>22.834878531750196</c:v>
                </c:pt>
                <c:pt idx="57">
                  <c:v>23.689746003665881</c:v>
                </c:pt>
                <c:pt idx="58">
                  <c:v>24.5598847612874</c:v>
                </c:pt>
                <c:pt idx="59">
                  <c:v>25.445257107781593</c:v>
                </c:pt>
                <c:pt idx="60">
                  <c:v>26.345824364793973</c:v>
                </c:pt>
                <c:pt idx="61">
                  <c:v>27.26154687501532</c:v>
                </c:pt>
                <c:pt idx="62">
                  <c:v>28.192384004880072</c:v>
                </c:pt>
                <c:pt idx="63">
                  <c:v>29.138294147396351</c:v>
                </c:pt>
                <c:pt idx="64">
                  <c:v>30.09923472510739</c:v>
                </c:pt>
                <c:pt idx="65">
                  <c:v>31.075162193184205</c:v>
                </c:pt>
                <c:pt idx="66">
                  <c:v>32.066032042649304</c:v>
                </c:pt>
                <c:pt idx="67">
                  <c:v>33.07179880373112</c:v>
                </c:pt>
                <c:pt idx="68">
                  <c:v>34.092416049348842</c:v>
                </c:pt>
                <c:pt idx="69">
                  <c:v>35.12783639872724</c:v>
                </c:pt>
                <c:pt idx="70">
                  <c:v>36.1780115211413</c:v>
                </c:pt>
                <c:pt idx="71">
                  <c:v>37.242892139789973</c:v>
                </c:pt>
                <c:pt idx="72">
                  <c:v>38.322428035798659</c:v>
                </c:pt>
                <c:pt idx="73">
                  <c:v>39.416568052350193</c:v>
                </c:pt>
                <c:pt idx="74">
                  <c:v>40.525260098943207</c:v>
                </c:pt>
                <c:pt idx="75">
                  <c:v>41.648451155778027</c:v>
                </c:pt>
                <c:pt idx="76">
                  <c:v>42.786087278268923</c:v>
                </c:pt>
                <c:pt idx="77">
                  <c:v>43.93811360168224</c:v>
                </c:pt>
                <c:pt idx="78">
                  <c:v>45.104474345900101</c:v>
                </c:pt>
                <c:pt idx="79">
                  <c:v>46.285112820308306</c:v>
                </c:pt>
                <c:pt idx="80">
                  <c:v>47.479971428808284</c:v>
                </c:pt>
                <c:pt idx="81">
                  <c:v>48.688131562174469</c:v>
                </c:pt>
                <c:pt idx="82">
                  <c:v>49.908629086349229</c:v>
                </c:pt>
                <c:pt idx="83">
                  <c:v>51.141337392396096</c:v>
                </c:pt>
                <c:pt idx="84">
                  <c:v>52.386129188563807</c:v>
                </c:pt>
                <c:pt idx="85">
                  <c:v>53.642876515393539</c:v>
                </c:pt>
                <c:pt idx="86">
                  <c:v>54.911450760900138</c:v>
                </c:pt>
                <c:pt idx="87">
                  <c:v>56.191722675824082</c:v>
                </c:pt>
                <c:pt idx="88">
                  <c:v>57.483562388951157</c:v>
                </c:pt>
                <c:pt idx="89">
                  <c:v>58.786839422495994</c:v>
                </c:pt>
                <c:pt idx="90">
                  <c:v>60.101422707546917</c:v>
                </c:pt>
                <c:pt idx="91">
                  <c:v>61.426753305406194</c:v>
                </c:pt>
                <c:pt idx="92">
                  <c:v>62.76225246699088</c:v>
                </c:pt>
                <c:pt idx="93">
                  <c:v>64.107758962855442</c:v>
                </c:pt>
                <c:pt idx="94">
                  <c:v>65.4631112093155</c:v>
                </c:pt>
                <c:pt idx="95">
                  <c:v>66.828147288446061</c:v>
                </c:pt>
                <c:pt idx="96">
                  <c:v>68.20270496807197</c:v>
                </c:pt>
                <c:pt idx="97">
                  <c:v>69.586621721746695</c:v>
                </c:pt>
                <c:pt idx="98">
                  <c:v>70.979734748714449</c:v>
                </c:pt>
                <c:pt idx="99">
                  <c:v>72.381880993851709</c:v>
                </c:pt>
                <c:pt idx="100">
                  <c:v>73.792897167584087</c:v>
                </c:pt>
                <c:pt idx="101">
                  <c:v>75.212544067718085</c:v>
                </c:pt>
                <c:pt idx="102">
                  <c:v>76.640579319484715</c:v>
                </c:pt>
                <c:pt idx="103">
                  <c:v>78.076834661286782</c:v>
                </c:pt>
                <c:pt idx="104">
                  <c:v>79.5211417115258</c:v>
                </c:pt>
                <c:pt idx="105">
                  <c:v>80.973331988977435</c:v>
                </c:pt>
                <c:pt idx="106">
                  <c:v>82.4332369331064</c:v>
                </c:pt>
                <c:pt idx="107">
                  <c:v>83.900687924317026</c:v>
                </c:pt>
                <c:pt idx="108">
                  <c:v>85.375516304135274</c:v>
                </c:pt>
                <c:pt idx="109">
                  <c:v>86.857553395318348</c:v>
                </c:pt>
                <c:pt idx="110">
                  <c:v>88.346630521886652</c:v>
                </c:pt>
                <c:pt idx="111">
                  <c:v>89.843532394301505</c:v>
                </c:pt>
                <c:pt idx="112">
                  <c:v>91.349076797661283</c:v>
                </c:pt>
                <c:pt idx="113">
                  <c:v>92.86314370782938</c:v>
                </c:pt>
                <c:pt idx="114">
                  <c:v>94.385612799092343</c:v>
                </c:pt>
                <c:pt idx="115">
                  <c:v>95.916363457219958</c:v>
                </c:pt>
                <c:pt idx="116">
                  <c:v>97.455274792528442</c:v>
                </c:pt>
                <c:pt idx="117">
                  <c:v>99.002225652943551</c:v>
                </c:pt>
                <c:pt idx="118">
                  <c:v>100.55709463706199</c:v>
                </c:pt>
                <c:pt idx="119">
                  <c:v>102.11976010720822</c:v>
                </c:pt>
                <c:pt idx="120">
                  <c:v>103.69010020248371</c:v>
                </c:pt>
                <c:pt idx="121">
                  <c:v>105.26627992726098</c:v>
                </c:pt>
                <c:pt idx="122">
                  <c:v>106.84641088522274</c:v>
                </c:pt>
                <c:pt idx="123">
                  <c:v>108.43029283793039</c:v>
                </c:pt>
                <c:pt idx="124">
                  <c:v>110.01772613738208</c:v>
                </c:pt>
                <c:pt idx="125">
                  <c:v>111.60851174904595</c:v>
                </c:pt>
                <c:pt idx="126">
                  <c:v>113.2024512746611</c:v>
                </c:pt>
                <c:pt idx="127">
                  <c:v>114.79934697479976</c:v>
                </c:pt>
                <c:pt idx="128">
                  <c:v>116.39900179118858</c:v>
                </c:pt>
                <c:pt idx="129">
                  <c:v>118.00121936878519</c:v>
                </c:pt>
                <c:pt idx="130">
                  <c:v>119.60580407760511</c:v>
                </c:pt>
                <c:pt idx="131">
                  <c:v>121.21207950278713</c:v>
                </c:pt>
                <c:pt idx="132">
                  <c:v>122.81935686087168</c:v>
                </c:pt>
                <c:pt idx="133">
                  <c:v>124.42742376822261</c:v>
                </c:pt>
                <c:pt idx="134">
                  <c:v>126.03606892489844</c:v>
                </c:pt>
                <c:pt idx="135">
                  <c:v>127.64508213746906</c:v>
                </c:pt>
                <c:pt idx="136">
                  <c:v>129.25425434148366</c:v>
                </c:pt>
                <c:pt idx="137">
                  <c:v>130.8633776235865</c:v>
                </c:pt>
                <c:pt idx="138">
                  <c:v>132.47224524327819</c:v>
                </c:pt>
                <c:pt idx="139">
                  <c:v>134.08065165431941</c:v>
                </c:pt>
                <c:pt idx="140">
                  <c:v>135.68839252577422</c:v>
                </c:pt>
                <c:pt idx="141">
                  <c:v>137.28913389641696</c:v>
                </c:pt>
                <c:pt idx="142">
                  <c:v>138.87639753599854</c:v>
                </c:pt>
                <c:pt idx="143">
                  <c:v>140.44977468516484</c:v>
                </c:pt>
                <c:pt idx="144">
                  <c:v>142.00886325982307</c:v>
                </c:pt>
                <c:pt idx="145">
                  <c:v>143.553267890917</c:v>
                </c:pt>
                <c:pt idx="146">
                  <c:v>145.08259996198407</c:v>
                </c:pt>
                <c:pt idx="147">
                  <c:v>146.5964776445071</c:v>
                </c:pt>
                <c:pt idx="148">
                  <c:v>148.09452593107306</c:v>
                </c:pt>
                <c:pt idx="149">
                  <c:v>149.57637666635571</c:v>
                </c:pt>
                <c:pt idx="150">
                  <c:v>151.0416685759366</c:v>
                </c:pt>
                <c:pt idx="151">
                  <c:v>152.49004729298136</c:v>
                </c:pt>
                <c:pt idx="152">
                  <c:v>153.92116538278779</c:v>
                </c:pt>
                <c:pt idx="153">
                  <c:v>155.3346823652262</c:v>
                </c:pt>
                <c:pt idx="154">
                  <c:v>156.73026473508853</c:v>
                </c:pt>
                <c:pt idx="155">
                  <c:v>158.10758598036841</c:v>
                </c:pt>
                <c:pt idx="156">
                  <c:v>159.43502209067233</c:v>
                </c:pt>
                <c:pt idx="157">
                  <c:v>160.68045665463953</c:v>
                </c:pt>
                <c:pt idx="158">
                  <c:v>161.84292539810036</c:v>
                </c:pt>
                <c:pt idx="159">
                  <c:v>162.92154640636139</c:v>
                </c:pt>
                <c:pt idx="160">
                  <c:v>163.91551994592629</c:v>
                </c:pt>
                <c:pt idx="161">
                  <c:v>164.78366903102301</c:v>
                </c:pt>
                <c:pt idx="162">
                  <c:v>165.48456872095335</c:v>
                </c:pt>
                <c:pt idx="163">
                  <c:v>166.02124423515204</c:v>
                </c:pt>
                <c:pt idx="164">
                  <c:v>166.39702429404429</c:v>
                </c:pt>
                <c:pt idx="165">
                  <c:v>166.65049300710814</c:v>
                </c:pt>
                <c:pt idx="166">
                  <c:v>166.82047299022668</c:v>
                </c:pt>
                <c:pt idx="167">
                  <c:v>166.8774386463877</c:v>
                </c:pt>
                <c:pt idx="168">
                  <c:v>166.81339076121242</c:v>
                </c:pt>
                <c:pt idx="169">
                  <c:v>166.56768291618084</c:v>
                </c:pt>
                <c:pt idx="170">
                  <c:v>166.12292421679203</c:v>
                </c:pt>
                <c:pt idx="171">
                  <c:v>165.61203027032661</c:v>
                </c:pt>
                <c:pt idx="172">
                  <c:v>165.10311714335555</c:v>
                </c:pt>
                <c:pt idx="173">
                  <c:v>164.59617461891074</c:v>
                </c:pt>
                <c:pt idx="174">
                  <c:v>164.09119254649116</c:v>
                </c:pt>
                <c:pt idx="175">
                  <c:v>163.58816084154233</c:v>
                </c:pt>
                <c:pt idx="176">
                  <c:v>163.08706948494103</c:v>
                </c:pt>
                <c:pt idx="177">
                  <c:v>162.58790852248407</c:v>
                </c:pt>
                <c:pt idx="178">
                  <c:v>162.09066806438193</c:v>
                </c:pt>
                <c:pt idx="179">
                  <c:v>161.59533828475736</c:v>
                </c:pt>
                <c:pt idx="180">
                  <c:v>161.10190942114841</c:v>
                </c:pt>
                <c:pt idx="181">
                  <c:v>160.61037177401525</c:v>
                </c:pt>
                <c:pt idx="182">
                  <c:v>160.12071570625298</c:v>
                </c:pt>
                <c:pt idx="183">
                  <c:v>159.63293164270709</c:v>
                </c:pt>
                <c:pt idx="184">
                  <c:v>159.14701006969494</c:v>
                </c:pt>
                <c:pt idx="185">
                  <c:v>158.66294153453018</c:v>
                </c:pt>
                <c:pt idx="186">
                  <c:v>158.18071664505246</c:v>
                </c:pt>
                <c:pt idx="187">
                  <c:v>157.70032606916101</c:v>
                </c:pt>
                <c:pt idx="188">
                  <c:v>157.22176053435223</c:v>
                </c:pt>
                <c:pt idx="189">
                  <c:v>156.74501082726195</c:v>
                </c:pt>
                <c:pt idx="190">
                  <c:v>156.2700677932111</c:v>
                </c:pt>
                <c:pt idx="191">
                  <c:v>155.79692233575636</c:v>
                </c:pt>
                <c:pt idx="192">
                  <c:v>155.32556541624373</c:v>
                </c:pt>
                <c:pt idx="193">
                  <c:v>154.85598805336724</c:v>
                </c:pt>
                <c:pt idx="194">
                  <c:v>154.38818132273065</c:v>
                </c:pt>
                <c:pt idx="195">
                  <c:v>153.92213635641397</c:v>
                </c:pt>
                <c:pt idx="196">
                  <c:v>153.45784434254276</c:v>
                </c:pt>
                <c:pt idx="197">
                  <c:v>152.99529652486228</c:v>
                </c:pt>
                <c:pt idx="198">
                  <c:v>152.53448420231487</c:v>
                </c:pt>
                <c:pt idx="199">
                  <c:v>152.07539872862111</c:v>
                </c:pt>
                <c:pt idx="200">
                  <c:v>151.61803151186501</c:v>
                </c:pt>
                <c:pt idx="201">
                  <c:v>147.09865376862822</c:v>
                </c:pt>
                <c:pt idx="202">
                  <c:v>142.74538567429104</c:v>
                </c:pt>
                <c:pt idx="203">
                  <c:v>138.55019869069434</c:v>
                </c:pt>
                <c:pt idx="204">
                  <c:v>134.50554957619428</c:v>
                </c:pt>
                <c:pt idx="205">
                  <c:v>130.60434542279737</c:v>
                </c:pt>
                <c:pt idx="206">
                  <c:v>126.83991161025551</c:v>
                </c:pt>
                <c:pt idx="207">
                  <c:v>123.20596240135626</c:v>
                </c:pt>
                <c:pt idx="208">
                  <c:v>119.69657393171246</c:v>
                </c:pt>
                <c:pt idx="209">
                  <c:v>116.30615937304361</c:v>
                </c:pt>
                <c:pt idx="210">
                  <c:v>113.0294460716887</c:v>
                </c:pt>
                <c:pt idx="211">
                  <c:v>109.86145448426194</c:v>
                </c:pt>
                <c:pt idx="212">
                  <c:v>106.79747875027064</c:v>
                </c:pt>
                <c:pt idx="213">
                  <c:v>103.83306875744174</c:v>
                </c:pt>
                <c:pt idx="214">
                  <c:v>100.96401356968623</c:v>
                </c:pt>
                <c:pt idx="215">
                  <c:v>98.186326100277412</c:v>
                </c:pt>
                <c:pt idx="216">
                  <c:v>95.496228924111293</c:v>
                </c:pt>
                <c:pt idx="217">
                  <c:v>92.890141133011838</c:v>
                </c:pt>
                <c:pt idx="218">
                  <c:v>90.36466614708398</c:v>
                </c:pt>
                <c:pt idx="219">
                  <c:v>87.916580403215065</c:v>
                </c:pt>
                <c:pt idx="220">
                  <c:v>85.542822849096211</c:v>
                </c:pt>
                <c:pt idx="221">
                  <c:v>83.240485177665605</c:v>
                </c:pt>
                <c:pt idx="222">
                  <c:v>81.006802742750622</c:v>
                </c:pt>
                <c:pt idx="223">
                  <c:v>78.839146101975544</c:v>
                </c:pt>
                <c:pt idx="224">
                  <c:v>76.735013137770892</c:v>
                </c:pt>
                <c:pt idx="225">
                  <c:v>74.692021711625046</c:v>
                </c:pt>
                <c:pt idx="226">
                  <c:v>72.707902810607237</c:v>
                </c:pt>
                <c:pt idx="227">
                  <c:v>70.78049414870793</c:v>
                </c:pt>
                <c:pt idx="228">
                  <c:v>68.907734188725868</c:v>
                </c:pt>
                <c:pt idx="229">
                  <c:v>67.08765655331878</c:v>
                </c:pt>
                <c:pt idx="230">
                  <c:v>65.318384796449266</c:v>
                </c:pt>
                <c:pt idx="231">
                  <c:v>63.598127508835887</c:v>
                </c:pt>
                <c:pt idx="232">
                  <c:v>61.925173733179548</c:v>
                </c:pt>
                <c:pt idx="233">
                  <c:v>60.297888666898849</c:v>
                </c:pt>
                <c:pt idx="234">
                  <c:v>58.714709631898629</c:v>
                </c:pt>
                <c:pt idx="235">
                  <c:v>57.174142292526028</c:v>
                </c:pt>
                <c:pt idx="236">
                  <c:v>55.674757104354605</c:v>
                </c:pt>
                <c:pt idx="237">
                  <c:v>54.215185977796516</c:v>
                </c:pt>
                <c:pt idx="238">
                  <c:v>52.794119141781756</c:v>
                </c:pt>
                <c:pt idx="239">
                  <c:v>51.410302193878401</c:v>
                </c:pt>
                <c:pt idx="240">
                  <c:v>50.062533324265587</c:v>
                </c:pt>
                <c:pt idx="241">
                  <c:v>48.749660701922799</c:v>
                </c:pt>
                <c:pt idx="242">
                  <c:v>47.470580012268378</c:v>
                </c:pt>
                <c:pt idx="243">
                  <c:v>46.224232136282176</c:v>
                </c:pt>
                <c:pt idx="244">
                  <c:v>45.009600961879364</c:v>
                </c:pt>
                <c:pt idx="245">
                  <c:v>43.825711318977341</c:v>
                </c:pt>
                <c:pt idx="246">
                  <c:v>42.671627030317261</c:v>
                </c:pt>
                <c:pt idx="247">
                  <c:v>41.546449070672644</c:v>
                </c:pt>
                <c:pt idx="248">
                  <c:v>40.449313827601415</c:v>
                </c:pt>
                <c:pt idx="249">
                  <c:v>39.37939145738266</c:v>
                </c:pt>
                <c:pt idx="250">
                  <c:v>38.335884330224268</c:v>
                </c:pt>
                <c:pt idx="251">
                  <c:v>37.318025559240006</c:v>
                </c:pt>
                <c:pt idx="252">
                  <c:v>36.325077608073634</c:v>
                </c:pt>
                <c:pt idx="253">
                  <c:v>35.356330972398673</c:v>
                </c:pt>
                <c:pt idx="254">
                  <c:v>34.411102930847065</c:v>
                </c:pt>
                <c:pt idx="255">
                  <c:v>33.48873636121953</c:v>
                </c:pt>
                <c:pt idx="256">
                  <c:v>32.588598618108072</c:v>
                </c:pt>
                <c:pt idx="257">
                  <c:v>31.710080468318466</c:v>
                </c:pt>
                <c:pt idx="258">
                  <c:v>30.852595080718132</c:v>
                </c:pt>
                <c:pt idx="259">
                  <c:v>30.015577067356467</c:v>
                </c:pt>
                <c:pt idx="260">
                  <c:v>29.198481572908708</c:v>
                </c:pt>
                <c:pt idx="261">
                  <c:v>28.4007834096853</c:v>
                </c:pt>
                <c:pt idx="262">
                  <c:v>27.621976235624945</c:v>
                </c:pt>
                <c:pt idx="263">
                  <c:v>26.861571772853647</c:v>
                </c:pt>
                <c:pt idx="264">
                  <c:v>26.119099064544784</c:v>
                </c:pt>
                <c:pt idx="265">
                  <c:v>25.39410376795724</c:v>
                </c:pt>
                <c:pt idx="266">
                  <c:v>24.686147481660456</c:v>
                </c:pt>
                <c:pt idx="267">
                  <c:v>23.994807105078575</c:v>
                </c:pt>
                <c:pt idx="268">
                  <c:v>23.319674228600274</c:v>
                </c:pt>
                <c:pt idx="269">
                  <c:v>22.66035455260791</c:v>
                </c:pt>
                <c:pt idx="270">
                  <c:v>22.016467333879106</c:v>
                </c:pt>
                <c:pt idx="271">
                  <c:v>21.387644857906899</c:v>
                </c:pt>
                <c:pt idx="272">
                  <c:v>20.773531935771391</c:v>
                </c:pt>
                <c:pt idx="273">
                  <c:v>20.173785424276996</c:v>
                </c:pt>
                <c:pt idx="274">
                  <c:v>19.588073768144902</c:v>
                </c:pt>
                <c:pt idx="275">
                  <c:v>19.016076563121374</c:v>
                </c:pt>
                <c:pt idx="276">
                  <c:v>18.457484138928645</c:v>
                </c:pt>
                <c:pt idx="277">
                  <c:v>17.911997161047047</c:v>
                </c:pt>
                <c:pt idx="278">
                  <c:v>17.379326250375172</c:v>
                </c:pt>
                <c:pt idx="279">
                  <c:v>16.859191619868962</c:v>
                </c:pt>
                <c:pt idx="280">
                  <c:v>16.351322727311587</c:v>
                </c:pt>
                <c:pt idx="281">
                  <c:v>15.855457943413599</c:v>
                </c:pt>
                <c:pt idx="282">
                  <c:v>15.371344234487546</c:v>
                </c:pt>
                <c:pt idx="283">
                  <c:v>14.898736858983117</c:v>
                </c:pt>
                <c:pt idx="284">
                  <c:v>14.437399077208116</c:v>
                </c:pt>
                <c:pt idx="285">
                  <c:v>13.987101873597448</c:v>
                </c:pt>
                <c:pt idx="286">
                  <c:v>13.547623690927121</c:v>
                </c:pt>
                <c:pt idx="287">
                  <c:v>13.118750175902276</c:v>
                </c:pt>
                <c:pt idx="288">
                  <c:v>12.700273935579306</c:v>
                </c:pt>
                <c:pt idx="289">
                  <c:v>12.291994304110341</c:v>
                </c:pt>
                <c:pt idx="290">
                  <c:v>11.893717119325437</c:v>
                </c:pt>
                <c:pt idx="291">
                  <c:v>11.505254508693181</c:v>
                </c:pt>
                <c:pt idx="292">
                  <c:v>11.126424684223831</c:v>
                </c:pt>
                <c:pt idx="293">
                  <c:v>10.757051745901785</c:v>
                </c:pt>
                <c:pt idx="294">
                  <c:v>10.396965493254795</c:v>
                </c:pt>
                <c:pt idx="295">
                  <c:v>10.046001244687007</c:v>
                </c:pt>
                <c:pt idx="296">
                  <c:v>9.7039996642214934</c:v>
                </c:pt>
                <c:pt idx="297">
                  <c:v>9.3708065953150808</c:v>
                </c:pt>
                <c:pt idx="298">
                  <c:v>9.0462729014243841</c:v>
                </c:pt>
                <c:pt idx="299">
                  <c:v>8.7302543130172587</c:v>
                </c:pt>
                <c:pt idx="300">
                  <c:v>8.4226112807379039</c:v>
                </c:pt>
                <c:pt idx="301">
                  <c:v>8.1232088344470323</c:v>
                </c:pt>
                <c:pt idx="302">
                  <c:v>7.8319164478709</c:v>
                </c:pt>
                <c:pt idx="303">
                  <c:v>7.5486079086041968</c:v>
                </c:pt>
                <c:pt idx="304">
                  <c:v>7.2731611932225508</c:v>
                </c:pt>
                <c:pt idx="305">
                  <c:v>7.0054583472698901</c:v>
                </c:pt>
                <c:pt idx="306">
                  <c:v>6.7453853698949189</c:v>
                </c:pt>
                <c:pt idx="307">
                  <c:v>6.4928321029189604</c:v>
                </c:pt>
                <c:pt idx="308">
                  <c:v>6.247692124124737</c:v>
                </c:pt>
                <c:pt idx="309">
                  <c:v>6.0098626445620518</c:v>
                </c:pt>
                <c:pt idx="310">
                  <c:v>5.7792444096721169</c:v>
                </c:pt>
                <c:pt idx="311">
                  <c:v>5.5557416040369576</c:v>
                </c:pt>
                <c:pt idx="312">
                  <c:v>5.3392617595645442</c:v>
                </c:pt>
                <c:pt idx="313">
                  <c:v>5.1297156669232766</c:v>
                </c:pt>
                <c:pt idx="314">
                  <c:v>4.9270172900419293</c:v>
                </c:pt>
                <c:pt idx="315">
                  <c:v>4.7310836834924581</c:v>
                </c:pt>
                <c:pt idx="316">
                  <c:v>4.5418349125736315</c:v>
                </c:pt>
                <c:pt idx="317">
                  <c:v>4.3591939759129339</c:v>
                </c:pt>
                <c:pt idx="318">
                  <c:v>4.1830867304027723</c:v>
                </c:pt>
                <c:pt idx="319">
                  <c:v>4.0134418182845062</c:v>
                </c:pt>
                <c:pt idx="320">
                  <c:v>3.8501905961903398</c:v>
                </c:pt>
                <c:pt idx="321">
                  <c:v>3.693267065948485</c:v>
                </c:pt>
                <c:pt idx="322">
                  <c:v>3.5426078069514562</c:v>
                </c:pt>
                <c:pt idx="323">
                  <c:v>3.3981519098806108</c:v>
                </c:pt>
                <c:pt idx="324">
                  <c:v>3.2598409115724389</c:v>
                </c:pt>
                <c:pt idx="325">
                  <c:v>3.1276187308035657</c:v>
                </c:pt>
                <c:pt idx="326">
                  <c:v>3.0014316047621392</c:v>
                </c:pt>
                <c:pt idx="327">
                  <c:v>2.8812280259634266</c:v>
                </c:pt>
                <c:pt idx="328">
                  <c:v>2.7669586793574612</c:v>
                </c:pt>
                <c:pt idx="329">
                  <c:v>2.6585763793665294</c:v>
                </c:pt>
                <c:pt idx="330">
                  <c:v>2.5560360065812278</c:v>
                </c:pt>
                <c:pt idx="331">
                  <c:v>2.4592944438357232</c:v>
                </c:pt>
                <c:pt idx="332">
                  <c:v>2.3683105113771052</c:v>
                </c:pt>
                <c:pt idx="333">
                  <c:v>2.2830449008409186</c:v>
                </c:pt>
                <c:pt idx="334">
                  <c:v>2.2034601077462881</c:v>
                </c:pt>
                <c:pt idx="335">
                  <c:v>2.1295203622307635</c:v>
                </c:pt>
                <c:pt idx="336">
                  <c:v>2.0611915577583555</c:v>
                </c:pt>
                <c:pt idx="337">
                  <c:v>1.9984411775555695</c:v>
                </c:pt>
                <c:pt idx="338">
                  <c:v>1.9412382185607657</c:v>
                </c:pt>
                <c:pt idx="339">
                  <c:v>1.8895531127130611</c:v>
                </c:pt>
                <c:pt idx="340">
                  <c:v>1.8433576454587395</c:v>
                </c:pt>
                <c:pt idx="341">
                  <c:v>1.8026248714161461</c:v>
                </c:pt>
                <c:pt idx="342">
                  <c:v>1.7673290272136817</c:v>
                </c:pt>
                <c:pt idx="343">
                  <c:v>1.7374454415984817</c:v>
                </c:pt>
                <c:pt idx="344">
                  <c:v>1.7129504430034999</c:v>
                </c:pt>
                <c:pt idx="345">
                  <c:v>1.6938212648547086</c:v>
                </c:pt>
                <c:pt idx="346">
                  <c:v>1.6800359489941294</c:v>
                </c:pt>
                <c:pt idx="347">
                  <c:v>1.6715732476836436</c:v>
                </c:pt>
                <c:pt idx="348">
                  <c:v>1.6684125247342754</c:v>
                </c:pt>
                <c:pt idx="349">
                  <c:v>1.6705336563709234</c:v>
                </c:pt>
                <c:pt idx="350">
                  <c:v>1.6779169324894312</c:v>
                </c:pt>
                <c:pt idx="351">
                  <c:v>1.6905429589880743</c:v>
                </c:pt>
                <c:pt idx="352">
                  <c:v>1.7083925618575624</c:v>
                </c:pt>
                <c:pt idx="353">
                  <c:v>1.73144669369212</c:v>
                </c:pt>
                <c:pt idx="354">
                  <c:v>1.7596863432409382</c:v>
                </c:pt>
                <c:pt idx="355">
                  <c:v>1.7930924485568935</c:v>
                </c:pt>
                <c:pt idx="356">
                  <c:v>1.8316458142223317</c:v>
                </c:pt>
                <c:pt idx="357">
                  <c:v>1.875327033044268</c:v>
                </c:pt>
                <c:pt idx="358">
                  <c:v>1.9241164125189012</c:v>
                </c:pt>
                <c:pt idx="359">
                  <c:v>1.977993906272224</c:v>
                </c:pt>
                <c:pt idx="360">
                  <c:v>2.0369390505942149</c:v>
                </c:pt>
                <c:pt idx="361">
                  <c:v>2.1009309061016279</c:v>
                </c:pt>
                <c:pt idx="362">
                  <c:v>2.1699480044914154</c:v>
                </c:pt>
                <c:pt idx="363">
                  <c:v>2.2439683002845641</c:v>
                </c:pt>
                <c:pt idx="364">
                  <c:v>2.3229691274092792</c:v>
                </c:pt>
                <c:pt idx="365">
                  <c:v>2.4069271604329354</c:v>
                </c:pt>
                <c:pt idx="366">
                  <c:v>2.495818380223219</c:v>
                </c:pt>
                <c:pt idx="367">
                  <c:v>2.5896180437994913</c:v>
                </c:pt>
                <c:pt idx="368">
                  <c:v>2.6883006581243936</c:v>
                </c:pt>
                <c:pt idx="369">
                  <c:v>2.7918399575814679</c:v>
                </c:pt>
                <c:pt idx="370">
                  <c:v>2.9002088848861725</c:v>
                </c:pt>
                <c:pt idx="371">
                  <c:v>3.0133795751835044</c:v>
                </c:pt>
                <c:pt idx="372">
                  <c:v>3.1313233430945306</c:v>
                </c:pt>
                <c:pt idx="373">
                  <c:v>3.2540106724856712</c:v>
                </c:pt>
                <c:pt idx="374">
                  <c:v>3.3814112087473425</c:v>
                </c:pt>
                <c:pt idx="375">
                  <c:v>3.513493753382396</c:v>
                </c:pt>
                <c:pt idx="376">
                  <c:v>3.6502262607187466</c:v>
                </c:pt>
                <c:pt idx="377">
                  <c:v>3.7915758365745633</c:v>
                </c:pt>
                <c:pt idx="378">
                  <c:v>3.9375087387178511</c:v>
                </c:pt>
                <c:pt idx="379">
                  <c:v>4.087990378975304</c:v>
                </c:pt>
                <c:pt idx="380">
                  <c:v>4.242985326857398</c:v>
                </c:pt>
                <c:pt idx="381">
                  <c:v>4.4024573145781813</c:v>
                </c:pt>
                <c:pt idx="382">
                  <c:v>4.5663692433587357</c:v>
                </c:pt>
                <c:pt idx="383">
                  <c:v>4.7346831909129534</c:v>
                </c:pt>
                <c:pt idx="384">
                  <c:v>4.9073604200231875</c:v>
                </c:pt>
                <c:pt idx="385">
                  <c:v>5.0843613881213381</c:v>
                </c:pt>
                <c:pt idx="386">
                  <c:v>5.2656457577982367</c:v>
                </c:pt>
                <c:pt idx="387">
                  <c:v>5.4511724081708186</c:v>
                </c:pt>
                <c:pt idx="388">
                  <c:v>5.6408994470424281</c:v>
                </c:pt>
                <c:pt idx="389">
                  <c:v>5.834784223796988</c:v>
                </c:pt>
                <c:pt idx="390">
                  <c:v>6.0327833429725031</c:v>
                </c:pt>
                <c:pt idx="391">
                  <c:v>6.2348526784636391</c:v>
                </c:pt>
                <c:pt idx="392">
                  <c:v>6.4409473883069976</c:v>
                </c:pt>
                <c:pt idx="393">
                  <c:v>6.6510219300060367</c:v>
                </c:pt>
                <c:pt idx="394">
                  <c:v>6.8650300763557031</c:v>
                </c:pt>
                <c:pt idx="395">
                  <c:v>7.0829249317296465</c:v>
                </c:pt>
                <c:pt idx="396">
                  <c:v>7.3046589487951348</c:v>
                </c:pt>
                <c:pt idx="397">
                  <c:v>7.5301839456231825</c:v>
                </c:pt>
                <c:pt idx="398">
                  <c:v>7.7594511231632479</c:v>
                </c:pt>
                <c:pt idx="399">
                  <c:v>7.9924110830536623</c:v>
                </c:pt>
                <c:pt idx="400">
                  <c:v>8.2290138457404538</c:v>
                </c:pt>
                <c:pt idx="401">
                  <c:v>8.4692088688788392</c:v>
                </c:pt>
                <c:pt idx="402">
                  <c:v>8.7129450659926029</c:v>
                </c:pt>
                <c:pt idx="403">
                  <c:v>8.9601708253681274</c:v>
                </c:pt>
                <c:pt idx="404">
                  <c:v>9.2108340291605888</c:v>
                </c:pt>
                <c:pt idx="405">
                  <c:v>9.4648820726909015</c:v>
                </c:pt>
                <c:pt idx="406">
                  <c:v>9.7222618839128518</c:v>
                </c:pt>
                <c:pt idx="407">
                  <c:v>9.982919943030657</c:v>
                </c:pt>
                <c:pt idx="408">
                  <c:v>10.246802302247858</c:v>
                </c:pt>
                <c:pt idx="409">
                  <c:v>10.513854605629218</c:v>
                </c:pt>
                <c:pt idx="410">
                  <c:v>10.78402210905778</c:v>
                </c:pt>
                <c:pt idx="411">
                  <c:v>11.057249700269969</c:v>
                </c:pt>
                <c:pt idx="412">
                  <c:v>11.333481918952016</c:v>
                </c:pt>
                <c:pt idx="413">
                  <c:v>11.612662976881591</c:v>
                </c:pt>
                <c:pt idx="414">
                  <c:v>11.894736778098931</c:v>
                </c:pt>
                <c:pt idx="415">
                  <c:v>12.179646939092223</c:v>
                </c:pt>
                <c:pt idx="416">
                  <c:v>12.467336808982452</c:v>
                </c:pt>
                <c:pt idx="417">
                  <c:v>12.757749489693287</c:v>
                </c:pt>
                <c:pt idx="418">
                  <c:v>13.050827856091992</c:v>
                </c:pt>
                <c:pt idx="419">
                  <c:v>13.346514576087731</c:v>
                </c:pt>
                <c:pt idx="420">
                  <c:v>13.644752130673975</c:v>
                </c:pt>
                <c:pt idx="421">
                  <c:v>13.945482833902105</c:v>
                </c:pt>
                <c:pt idx="422">
                  <c:v>14.248648852773609</c:v>
                </c:pt>
                <c:pt idx="423">
                  <c:v>14.554192227038691</c:v>
                </c:pt>
                <c:pt idx="424">
                  <c:v>14.86205488888929</c:v>
                </c:pt>
                <c:pt idx="425">
                  <c:v>15.172178682534989</c:v>
                </c:pt>
                <c:pt idx="426">
                  <c:v>15.484505383650582</c:v>
                </c:pt>
                <c:pt idx="427">
                  <c:v>15.79897671868428</c:v>
                </c:pt>
                <c:pt idx="428">
                  <c:v>16.115534384016012</c:v>
                </c:pt>
                <c:pt idx="429">
                  <c:v>16.434120064955344</c:v>
                </c:pt>
                <c:pt idx="430">
                  <c:v>16.754675454569362</c:v>
                </c:pt>
                <c:pt idx="431">
                  <c:v>17.077142272330324</c:v>
                </c:pt>
                <c:pt idx="432">
                  <c:v>17.401462282574165</c:v>
                </c:pt>
                <c:pt idx="433">
                  <c:v>17.727577312760513</c:v>
                </c:pt>
                <c:pt idx="434">
                  <c:v>18.055429271525487</c:v>
                </c:pt>
                <c:pt idx="435">
                  <c:v>18.384960166518841</c:v>
                </c:pt>
                <c:pt idx="436">
                  <c:v>18.716112122017329</c:v>
                </c:pt>
                <c:pt idx="437">
                  <c:v>19.048827396306294</c:v>
                </c:pt>
                <c:pt idx="438">
                  <c:v>19.383048398822062</c:v>
                </c:pt>
                <c:pt idx="439">
                  <c:v>19.718717707047826</c:v>
                </c:pt>
                <c:pt idx="440">
                  <c:v>20.055778083156063</c:v>
                </c:pt>
                <c:pt idx="441">
                  <c:v>20.394172490390815</c:v>
                </c:pt>
                <c:pt idx="442">
                  <c:v>20.733844109183611</c:v>
                </c:pt>
                <c:pt idx="443">
                  <c:v>21.07473635299667</c:v>
                </c:pt>
                <c:pt idx="444">
                  <c:v>21.416792883888071</c:v>
                </c:pt>
                <c:pt idx="445">
                  <c:v>21.759957627792968</c:v>
                </c:pt>
                <c:pt idx="446">
                  <c:v>22.104174789516037</c:v>
                </c:pt>
                <c:pt idx="447">
                  <c:v>22.449388867430109</c:v>
                </c:pt>
                <c:pt idx="448">
                  <c:v>22.795544667876463</c:v>
                </c:pt>
                <c:pt idx="449">
                  <c:v>23.142587319262432</c:v>
                </c:pt>
                <c:pt idx="450">
                  <c:v>23.490462285852391</c:v>
                </c:pt>
                <c:pt idx="451">
                  <c:v>23.839115381248476</c:v>
                </c:pt>
                <c:pt idx="452">
                  <c:v>24.188492781557361</c:v>
                </c:pt>
                <c:pt idx="453">
                  <c:v>24.538541038240165</c:v>
                </c:pt>
                <c:pt idx="454">
                  <c:v>24.889207090642632</c:v>
                </c:pt>
                <c:pt idx="455">
                  <c:v>25.24043827820276</c:v>
                </c:pt>
                <c:pt idx="456">
                  <c:v>25.592182352333793</c:v>
                </c:pt>
                <c:pt idx="457">
                  <c:v>25.944387487980425</c:v>
                </c:pt>
                <c:pt idx="458">
                  <c:v>26.297002294846433</c:v>
                </c:pt>
                <c:pt idx="459">
                  <c:v>26.649975828292163</c:v>
                </c:pt>
                <c:pt idx="460">
                  <c:v>27.003257599900738</c:v>
                </c:pt>
                <c:pt idx="461">
                  <c:v>27.356797587711874</c:v>
                </c:pt>
                <c:pt idx="462">
                  <c:v>27.710546246122508</c:v>
                </c:pt>
                <c:pt idx="463">
                  <c:v>28.064454515453871</c:v>
                </c:pt>
                <c:pt idx="464">
                  <c:v>28.418473831184567</c:v>
                </c:pt>
                <c:pt idx="465">
                  <c:v>28.772556132849772</c:v>
                </c:pt>
                <c:pt idx="466">
                  <c:v>29.126653872606635</c:v>
                </c:pt>
                <c:pt idx="467">
                  <c:v>29.480720023466425</c:v>
                </c:pt>
                <c:pt idx="468">
                  <c:v>29.834708087193924</c:v>
                </c:pt>
                <c:pt idx="469">
                  <c:v>30.188572101875142</c:v>
                </c:pt>
                <c:pt idx="470">
                  <c:v>30.542266649154197</c:v>
                </c:pt>
                <c:pt idx="471">
                  <c:v>30.895746861140996</c:v>
                </c:pt>
                <c:pt idx="472">
                  <c:v>31.248968426990761</c:v>
                </c:pt>
                <c:pt idx="473">
                  <c:v>31.601887599157511</c:v>
                </c:pt>
                <c:pt idx="474">
                  <c:v>31.954461199323219</c:v>
                </c:pt>
                <c:pt idx="475">
                  <c:v>32.306646624004621</c:v>
                </c:pt>
                <c:pt idx="476">
                  <c:v>32.658401849840274</c:v>
                </c:pt>
                <c:pt idx="477">
                  <c:v>33.009685438559735</c:v>
                </c:pt>
                <c:pt idx="478">
                  <c:v>33.360456541638172</c:v>
                </c:pt>
                <c:pt idx="479">
                  <c:v>33.710674904638573</c:v>
                </c:pt>
                <c:pt idx="480">
                  <c:v>34.060300871244898</c:v>
                </c:pt>
                <c:pt idx="481">
                  <c:v>34.409295386988866</c:v>
                </c:pt>
                <c:pt idx="482">
                  <c:v>34.757620002674173</c:v>
                </c:pt>
                <c:pt idx="483">
                  <c:v>35.1052368775009</c:v>
                </c:pt>
                <c:pt idx="484">
                  <c:v>35.45210878189409</c:v>
                </c:pt>
                <c:pt idx="485">
                  <c:v>35.798199100039874</c:v>
                </c:pt>
                <c:pt idx="486">
                  <c:v>36.143471832133088</c:v>
                </c:pt>
                <c:pt idx="487">
                  <c:v>36.487891596340141</c:v>
                </c:pt>
                <c:pt idx="488">
                  <c:v>36.83142363048119</c:v>
                </c:pt>
                <c:pt idx="489">
                  <c:v>37.17403379343574</c:v>
                </c:pt>
                <c:pt idx="490">
                  <c:v>37.515688566275983</c:v>
                </c:pt>
                <c:pt idx="491">
                  <c:v>37.856355053131878</c:v>
                </c:pt>
                <c:pt idx="492">
                  <c:v>38.196000981792785</c:v>
                </c:pt>
                <c:pt idx="493">
                  <c:v>38.534594704049809</c:v>
                </c:pt>
                <c:pt idx="494">
                  <c:v>38.872105195783604</c:v>
                </c:pt>
                <c:pt idx="495">
                  <c:v>39.208502056802224</c:v>
                </c:pt>
                <c:pt idx="496">
                  <c:v>39.543755510433677</c:v>
                </c:pt>
                <c:pt idx="497">
                  <c:v>39.87783640287816</c:v>
                </c:pt>
                <c:pt idx="498">
                  <c:v>40.210716202324427</c:v>
                </c:pt>
                <c:pt idx="499">
                  <c:v>40.542366997835742</c:v>
                </c:pt>
                <c:pt idx="500">
                  <c:v>40.872761498009631</c:v>
                </c:pt>
                <c:pt idx="501">
                  <c:v>41.201873029417222</c:v>
                </c:pt>
                <c:pt idx="502">
                  <c:v>41.52967553482631</c:v>
                </c:pt>
                <c:pt idx="503">
                  <c:v>41.856143571214247</c:v>
                </c:pt>
                <c:pt idx="504">
                  <c:v>42.18125230757456</c:v>
                </c:pt>
                <c:pt idx="505">
                  <c:v>42.504977522523347</c:v>
                </c:pt>
                <c:pt idx="506">
                  <c:v>42.827295601710198</c:v>
                </c:pt>
                <c:pt idx="507">
                  <c:v>43.148183535038648</c:v>
                </c:pt>
                <c:pt idx="508">
                  <c:v>43.467618913701607</c:v>
                </c:pt>
                <c:pt idx="509">
                  <c:v>43.785579927036622</c:v>
                </c:pt>
                <c:pt idx="510">
                  <c:v>44.102045359206549</c:v>
                </c:pt>
                <c:pt idx="511">
                  <c:v>44.416994585710206</c:v>
                </c:pt>
                <c:pt idx="512">
                  <c:v>44.730407569728712</c:v>
                </c:pt>
                <c:pt idx="513">
                  <c:v>45.04226485831223</c:v>
                </c:pt>
                <c:pt idx="514">
                  <c:v>45.352547578412597</c:v>
                </c:pt>
                <c:pt idx="515">
                  <c:v>45.66123743276664</c:v>
                </c:pt>
                <c:pt idx="516">
                  <c:v>45.968316695635508</c:v>
                </c:pt>
                <c:pt idx="517">
                  <c:v>46.273768208404761</c:v>
                </c:pt>
                <c:pt idx="518">
                  <c:v>46.57757537505077</c:v>
                </c:pt>
                <c:pt idx="519">
                  <c:v>46.879722157477758</c:v>
                </c:pt>
                <c:pt idx="520">
                  <c:v>47.180193070731292</c:v>
                </c:pt>
                <c:pt idx="521">
                  <c:v>47.478973178092147</c:v>
                </c:pt>
                <c:pt idx="522">
                  <c:v>47.77604808605637</c:v>
                </c:pt>
                <c:pt idx="523">
                  <c:v>48.071403939205915</c:v>
                </c:pt>
                <c:pt idx="524">
                  <c:v>48.365027414974556</c:v>
                </c:pt>
                <c:pt idx="525">
                  <c:v>48.656905718314292</c:v>
                </c:pt>
                <c:pt idx="526">
                  <c:v>48.947026576266538</c:v>
                </c:pt>
                <c:pt idx="527">
                  <c:v>49.235378232442883</c:v>
                </c:pt>
                <c:pt idx="528">
                  <c:v>49.521949441420155</c:v>
                </c:pt>
                <c:pt idx="529">
                  <c:v>49.806729463054211</c:v>
                </c:pt>
                <c:pt idx="530">
                  <c:v>50.089708056716731</c:v>
                </c:pt>
                <c:pt idx="531">
                  <c:v>50.37087547546006</c:v>
                </c:pt>
                <c:pt idx="532">
                  <c:v>50.650222460113802</c:v>
                </c:pt>
                <c:pt idx="533">
                  <c:v>50.927740233317877</c:v>
                </c:pt>
                <c:pt idx="534">
                  <c:v>51.203420493495948</c:v>
                </c:pt>
                <c:pt idx="535">
                  <c:v>51.477255408773892</c:v>
                </c:pt>
                <c:pt idx="536">
                  <c:v>51.749237610846919</c:v>
                </c:pt>
                <c:pt idx="537">
                  <c:v>52.019360188799538</c:v>
                </c:pt>
                <c:pt idx="538">
                  <c:v>52.287616682882522</c:v>
                </c:pt>
                <c:pt idx="539">
                  <c:v>52.554001078250607</c:v>
                </c:pt>
                <c:pt idx="540">
                  <c:v>52.818507798664413</c:v>
                </c:pt>
                <c:pt idx="541">
                  <c:v>53.081131700161322</c:v>
                </c:pt>
                <c:pt idx="542">
                  <c:v>53.3418680646976</c:v>
                </c:pt>
                <c:pt idx="543">
                  <c:v>53.600712593766708</c:v>
                </c:pt>
                <c:pt idx="544">
                  <c:v>53.857661401996339</c:v>
                </c:pt>
                <c:pt idx="545">
                  <c:v>54.112711010728255</c:v>
                </c:pt>
                <c:pt idx="546">
                  <c:v>54.365858341583873</c:v>
                </c:pt>
                <c:pt idx="547">
                  <c:v>54.617100710019194</c:v>
                </c:pt>
                <c:pt idx="548">
                  <c:v>54.617349534595334</c:v>
                </c:pt>
                <c:pt idx="549">
                  <c:v>54.617598357282681</c:v>
                </c:pt>
                <c:pt idx="550">
                  <c:v>54.617847178081256</c:v>
                </c:pt>
                <c:pt idx="551">
                  <c:v>54.618095996991073</c:v>
                </c:pt>
                <c:pt idx="552">
                  <c:v>54.618344814012147</c:v>
                </c:pt>
                <c:pt idx="553">
                  <c:v>54.618593629144399</c:v>
                </c:pt>
                <c:pt idx="554">
                  <c:v>54.618842442387916</c:v>
                </c:pt>
                <c:pt idx="555">
                  <c:v>54.619091253742646</c:v>
                </c:pt>
                <c:pt idx="556">
                  <c:v>54.619340063208625</c:v>
                </c:pt>
                <c:pt idx="557">
                  <c:v>54.619588870785797</c:v>
                </c:pt>
                <c:pt idx="558">
                  <c:v>54.619837676474177</c:v>
                </c:pt>
                <c:pt idx="559">
                  <c:v>54.62008648027377</c:v>
                </c:pt>
                <c:pt idx="560">
                  <c:v>54.620335282184605</c:v>
                </c:pt>
                <c:pt idx="561">
                  <c:v>54.620584082206648</c:v>
                </c:pt>
                <c:pt idx="562">
                  <c:v>54.620832880339897</c:v>
                </c:pt>
                <c:pt idx="563">
                  <c:v>54.62108167658436</c:v>
                </c:pt>
                <c:pt idx="564">
                  <c:v>54.62133047094003</c:v>
                </c:pt>
                <c:pt idx="565">
                  <c:v>54.6215792634069</c:v>
                </c:pt>
                <c:pt idx="566">
                  <c:v>54.621828053984991</c:v>
                </c:pt>
                <c:pt idx="567">
                  <c:v>54.622076842674261</c:v>
                </c:pt>
                <c:pt idx="568">
                  <c:v>54.622325629474716</c:v>
                </c:pt>
                <c:pt idx="569">
                  <c:v>54.622574414386385</c:v>
                </c:pt>
                <c:pt idx="570">
                  <c:v>54.622823197409254</c:v>
                </c:pt>
                <c:pt idx="571">
                  <c:v>54.623071978543351</c:v>
                </c:pt>
                <c:pt idx="572">
                  <c:v>54.623320757788626</c:v>
                </c:pt>
                <c:pt idx="573">
                  <c:v>54.623569535145045</c:v>
                </c:pt>
                <c:pt idx="574">
                  <c:v>54.623818310612648</c:v>
                </c:pt>
                <c:pt idx="575">
                  <c:v>54.624067084191466</c:v>
                </c:pt>
                <c:pt idx="576">
                  <c:v>54.624315855881491</c:v>
                </c:pt>
                <c:pt idx="577">
                  <c:v>54.624564625682645</c:v>
                </c:pt>
                <c:pt idx="578">
                  <c:v>54.624813393595012</c:v>
                </c:pt>
                <c:pt idx="579">
                  <c:v>54.625062159618551</c:v>
                </c:pt>
                <c:pt idx="580">
                  <c:v>54.625310923753247</c:v>
                </c:pt>
                <c:pt idx="581">
                  <c:v>54.625559685999164</c:v>
                </c:pt>
                <c:pt idx="582">
                  <c:v>54.62580844635621</c:v>
                </c:pt>
                <c:pt idx="583">
                  <c:v>54.626057204824427</c:v>
                </c:pt>
                <c:pt idx="584">
                  <c:v>54.626305961403823</c:v>
                </c:pt>
                <c:pt idx="585">
                  <c:v>54.626554716094368</c:v>
                </c:pt>
                <c:pt idx="586">
                  <c:v>54.626803468896107</c:v>
                </c:pt>
                <c:pt idx="587">
                  <c:v>54.627052219808967</c:v>
                </c:pt>
                <c:pt idx="588">
                  <c:v>54.627300968833012</c:v>
                </c:pt>
                <c:pt idx="589">
                  <c:v>54.627549715968193</c:v>
                </c:pt>
                <c:pt idx="590">
                  <c:v>54.627798461214553</c:v>
                </c:pt>
                <c:pt idx="591">
                  <c:v>54.62804720457207</c:v>
                </c:pt>
                <c:pt idx="592">
                  <c:v>54.628295946040737</c:v>
                </c:pt>
                <c:pt idx="593">
                  <c:v>54.628544685620547</c:v>
                </c:pt>
                <c:pt idx="594">
                  <c:v>54.628793423311507</c:v>
                </c:pt>
                <c:pt idx="595">
                  <c:v>54.629042159113652</c:v>
                </c:pt>
                <c:pt idx="596">
                  <c:v>54.629290893026855</c:v>
                </c:pt>
                <c:pt idx="597">
                  <c:v>54.629539625051258</c:v>
                </c:pt>
                <c:pt idx="598">
                  <c:v>54.62978835518684</c:v>
                </c:pt>
                <c:pt idx="599">
                  <c:v>54.630037083433493</c:v>
                </c:pt>
                <c:pt idx="600">
                  <c:v>54.630285809791289</c:v>
                </c:pt>
                <c:pt idx="601">
                  <c:v>54.630534534260242</c:v>
                </c:pt>
                <c:pt idx="602">
                  <c:v>54.630783256840303</c:v>
                </c:pt>
                <c:pt idx="603">
                  <c:v>54.631031977531499</c:v>
                </c:pt>
                <c:pt idx="604">
                  <c:v>54.631280696333853</c:v>
                </c:pt>
                <c:pt idx="605">
                  <c:v>54.631529413247314</c:v>
                </c:pt>
                <c:pt idx="606">
                  <c:v>54.631778128271883</c:v>
                </c:pt>
                <c:pt idx="607">
                  <c:v>54.632026841407587</c:v>
                </c:pt>
                <c:pt idx="608">
                  <c:v>54.632275552654406</c:v>
                </c:pt>
                <c:pt idx="609">
                  <c:v>54.632524262012367</c:v>
                </c:pt>
                <c:pt idx="610">
                  <c:v>54.632772969481444</c:v>
                </c:pt>
                <c:pt idx="611">
                  <c:v>54.633021675061634</c:v>
                </c:pt>
                <c:pt idx="612">
                  <c:v>54.633270378752925</c:v>
                </c:pt>
                <c:pt idx="613">
                  <c:v>54.633519080555331</c:v>
                </c:pt>
                <c:pt idx="614">
                  <c:v>54.633767780468865</c:v>
                </c:pt>
                <c:pt idx="615">
                  <c:v>54.634016478493464</c:v>
                </c:pt>
                <c:pt idx="616">
                  <c:v>54.634265174629178</c:v>
                </c:pt>
                <c:pt idx="617">
                  <c:v>54.634513868876034</c:v>
                </c:pt>
                <c:pt idx="618">
                  <c:v>54.634762561233948</c:v>
                </c:pt>
                <c:pt idx="619">
                  <c:v>54.635011251702991</c:v>
                </c:pt>
                <c:pt idx="620">
                  <c:v>54.635259940283099</c:v>
                </c:pt>
                <c:pt idx="621">
                  <c:v>54.635508626974364</c:v>
                </c:pt>
                <c:pt idx="622">
                  <c:v>54.635757311776679</c:v>
                </c:pt>
                <c:pt idx="623">
                  <c:v>54.636005994690088</c:v>
                </c:pt>
                <c:pt idx="624">
                  <c:v>54.636254675714568</c:v>
                </c:pt>
                <c:pt idx="625">
                  <c:v>54.63650335485017</c:v>
                </c:pt>
                <c:pt idx="626">
                  <c:v>54.63675203209683</c:v>
                </c:pt>
                <c:pt idx="627">
                  <c:v>54.637000707454611</c:v>
                </c:pt>
                <c:pt idx="628">
                  <c:v>54.637249380923443</c:v>
                </c:pt>
                <c:pt idx="629">
                  <c:v>54.637498052503361</c:v>
                </c:pt>
                <c:pt idx="630">
                  <c:v>54.637746722194322</c:v>
                </c:pt>
                <c:pt idx="631">
                  <c:v>54.637995389996419</c:v>
                </c:pt>
                <c:pt idx="632">
                  <c:v>54.638244055909567</c:v>
                </c:pt>
                <c:pt idx="633">
                  <c:v>54.638492719933794</c:v>
                </c:pt>
                <c:pt idx="634">
                  <c:v>54.638741382069071</c:v>
                </c:pt>
                <c:pt idx="635">
                  <c:v>54.638990042315434</c:v>
                </c:pt>
                <c:pt idx="636">
                  <c:v>54.639238700672855</c:v>
                </c:pt>
                <c:pt idx="637">
                  <c:v>54.639487357141334</c:v>
                </c:pt>
                <c:pt idx="638">
                  <c:v>54.639736011720885</c:v>
                </c:pt>
                <c:pt idx="639">
                  <c:v>54.639984664411507</c:v>
                </c:pt>
                <c:pt idx="640">
                  <c:v>54.640233315213145</c:v>
                </c:pt>
                <c:pt idx="641">
                  <c:v>54.640481964125861</c:v>
                </c:pt>
                <c:pt idx="642">
                  <c:v>54.640730611149678</c:v>
                </c:pt>
                <c:pt idx="643">
                  <c:v>54.640979256284545</c:v>
                </c:pt>
                <c:pt idx="644">
                  <c:v>54.641227899530378</c:v>
                </c:pt>
                <c:pt idx="645">
                  <c:v>54.641476540887332</c:v>
                </c:pt>
                <c:pt idx="646">
                  <c:v>54.641725180355309</c:v>
                </c:pt>
                <c:pt idx="647">
                  <c:v>54.641973817934336</c:v>
                </c:pt>
                <c:pt idx="648">
                  <c:v>54.642222453624406</c:v>
                </c:pt>
                <c:pt idx="649">
                  <c:v>54.642471087425548</c:v>
                </c:pt>
                <c:pt idx="650">
                  <c:v>54.642719719337677</c:v>
                </c:pt>
                <c:pt idx="651">
                  <c:v>54.642968349360864</c:v>
                </c:pt>
                <c:pt idx="652">
                  <c:v>54.643216977495094</c:v>
                </c:pt>
                <c:pt idx="653">
                  <c:v>54.643465603740346</c:v>
                </c:pt>
                <c:pt idx="654">
                  <c:v>54.643714228096599</c:v>
                </c:pt>
                <c:pt idx="655">
                  <c:v>54.643962850563923</c:v>
                </c:pt>
                <c:pt idx="656">
                  <c:v>54.644211471142263</c:v>
                </c:pt>
                <c:pt idx="657">
                  <c:v>54.644460089831632</c:v>
                </c:pt>
                <c:pt idx="658">
                  <c:v>54.644708706631995</c:v>
                </c:pt>
                <c:pt idx="659">
                  <c:v>54.644957321543444</c:v>
                </c:pt>
                <c:pt idx="660">
                  <c:v>54.645205934565865</c:v>
                </c:pt>
                <c:pt idx="661">
                  <c:v>54.64545454569933</c:v>
                </c:pt>
                <c:pt idx="662">
                  <c:v>54.645703154943789</c:v>
                </c:pt>
                <c:pt idx="663">
                  <c:v>54.645951762299291</c:v>
                </c:pt>
                <c:pt idx="664">
                  <c:v>54.646200367765793</c:v>
                </c:pt>
                <c:pt idx="665">
                  <c:v>54.646448971343325</c:v>
                </c:pt>
                <c:pt idx="666">
                  <c:v>54.646697573031787</c:v>
                </c:pt>
                <c:pt idx="667">
                  <c:v>54.646946172831314</c:v>
                </c:pt>
                <c:pt idx="668">
                  <c:v>54.647194770741876</c:v>
                </c:pt>
                <c:pt idx="669">
                  <c:v>54.64744336676339</c:v>
                </c:pt>
                <c:pt idx="670">
                  <c:v>54.647691960895919</c:v>
                </c:pt>
                <c:pt idx="671">
                  <c:v>54.647940553139442</c:v>
                </c:pt>
                <c:pt idx="672">
                  <c:v>54.648189143493966</c:v>
                </c:pt>
                <c:pt idx="673">
                  <c:v>54.648437731959525</c:v>
                </c:pt>
                <c:pt idx="674">
                  <c:v>54.648686318536022</c:v>
                </c:pt>
                <c:pt idx="675">
                  <c:v>54.648934903223534</c:v>
                </c:pt>
                <c:pt idx="676">
                  <c:v>54.649183486022032</c:v>
                </c:pt>
                <c:pt idx="677">
                  <c:v>54.649432066931496</c:v>
                </c:pt>
                <c:pt idx="678">
                  <c:v>54.649680645951975</c:v>
                </c:pt>
                <c:pt idx="679">
                  <c:v>54.649929223083447</c:v>
                </c:pt>
                <c:pt idx="680">
                  <c:v>54.650177798325856</c:v>
                </c:pt>
                <c:pt idx="681">
                  <c:v>54.650426371679281</c:v>
                </c:pt>
                <c:pt idx="682">
                  <c:v>54.650674943143663</c:v>
                </c:pt>
                <c:pt idx="683">
                  <c:v>54.650923512718997</c:v>
                </c:pt>
                <c:pt idx="684">
                  <c:v>54.651172080405345</c:v>
                </c:pt>
                <c:pt idx="685">
                  <c:v>54.651420646202666</c:v>
                </c:pt>
                <c:pt idx="686">
                  <c:v>54.651669210110938</c:v>
                </c:pt>
                <c:pt idx="687">
                  <c:v>54.651917772130204</c:v>
                </c:pt>
                <c:pt idx="688">
                  <c:v>54.652166332260435</c:v>
                </c:pt>
                <c:pt idx="689">
                  <c:v>54.652414890501603</c:v>
                </c:pt>
                <c:pt idx="690">
                  <c:v>54.652663446853758</c:v>
                </c:pt>
                <c:pt idx="691">
                  <c:v>54.652912001316849</c:v>
                </c:pt>
                <c:pt idx="692">
                  <c:v>54.653160553890906</c:v>
                </c:pt>
                <c:pt idx="693">
                  <c:v>54.653409104575914</c:v>
                </c:pt>
                <c:pt idx="694">
                  <c:v>54.653657653371873</c:v>
                </c:pt>
                <c:pt idx="695">
                  <c:v>54.653906200278826</c:v>
                </c:pt>
                <c:pt idx="696">
                  <c:v>54.654154745296687</c:v>
                </c:pt>
                <c:pt idx="697">
                  <c:v>54.654403288425506</c:v>
                </c:pt>
                <c:pt idx="698">
                  <c:v>54.654651829665255</c:v>
                </c:pt>
                <c:pt idx="699">
                  <c:v>54.654900369015969</c:v>
                </c:pt>
                <c:pt idx="700">
                  <c:v>54.655148906477649</c:v>
                </c:pt>
                <c:pt idx="701">
                  <c:v>54.655397442050244</c:v>
                </c:pt>
                <c:pt idx="702">
                  <c:v>54.655645975733769</c:v>
                </c:pt>
                <c:pt idx="703">
                  <c:v>54.655894507528238</c:v>
                </c:pt>
                <c:pt idx="704">
                  <c:v>54.656143037433651</c:v>
                </c:pt>
                <c:pt idx="705">
                  <c:v>54.656391565449987</c:v>
                </c:pt>
                <c:pt idx="706">
                  <c:v>54.656640091577273</c:v>
                </c:pt>
                <c:pt idx="707">
                  <c:v>54.656888615815475</c:v>
                </c:pt>
                <c:pt idx="708">
                  <c:v>54.657137138164586</c:v>
                </c:pt>
                <c:pt idx="709">
                  <c:v>54.657385658624641</c:v>
                </c:pt>
                <c:pt idx="710">
                  <c:v>54.657634177195646</c:v>
                </c:pt>
                <c:pt idx="711">
                  <c:v>54.657882693877539</c:v>
                </c:pt>
                <c:pt idx="712">
                  <c:v>54.658131208670341</c:v>
                </c:pt>
                <c:pt idx="713">
                  <c:v>54.658379721574072</c:v>
                </c:pt>
                <c:pt idx="714">
                  <c:v>54.65862823258874</c:v>
                </c:pt>
                <c:pt idx="715">
                  <c:v>54.658876741714316</c:v>
                </c:pt>
                <c:pt idx="716">
                  <c:v>54.659125248950815</c:v>
                </c:pt>
                <c:pt idx="717">
                  <c:v>54.659373754298208</c:v>
                </c:pt>
                <c:pt idx="718">
                  <c:v>54.659622257756517</c:v>
                </c:pt>
                <c:pt idx="719">
                  <c:v>54.65987075932577</c:v>
                </c:pt>
                <c:pt idx="720">
                  <c:v>54.660119259005846</c:v>
                </c:pt>
                <c:pt idx="721">
                  <c:v>54.660367756796887</c:v>
                </c:pt>
                <c:pt idx="722">
                  <c:v>54.660616252698816</c:v>
                </c:pt>
                <c:pt idx="723">
                  <c:v>54.660864746711617</c:v>
                </c:pt>
                <c:pt idx="724">
                  <c:v>54.661113238835334</c:v>
                </c:pt>
                <c:pt idx="725">
                  <c:v>54.661361729069917</c:v>
                </c:pt>
                <c:pt idx="726">
                  <c:v>54.661610217415465</c:v>
                </c:pt>
                <c:pt idx="727">
                  <c:v>54.66185870387185</c:v>
                </c:pt>
                <c:pt idx="728">
                  <c:v>54.662107188439144</c:v>
                </c:pt>
                <c:pt idx="729">
                  <c:v>54.662355671117311</c:v>
                </c:pt>
                <c:pt idx="730">
                  <c:v>54.662604151906386</c:v>
                </c:pt>
                <c:pt idx="731">
                  <c:v>54.66285263080632</c:v>
                </c:pt>
                <c:pt idx="732">
                  <c:v>54.663101107817148</c:v>
                </c:pt>
                <c:pt idx="733">
                  <c:v>54.663349582938835</c:v>
                </c:pt>
                <c:pt idx="734">
                  <c:v>54.663598056171445</c:v>
                </c:pt>
                <c:pt idx="735">
                  <c:v>54.663846527514927</c:v>
                </c:pt>
                <c:pt idx="736">
                  <c:v>54.664094996969247</c:v>
                </c:pt>
                <c:pt idx="737">
                  <c:v>54.664343464534447</c:v>
                </c:pt>
                <c:pt idx="738">
                  <c:v>54.664591930210527</c:v>
                </c:pt>
                <c:pt idx="739">
                  <c:v>54.664840393997494</c:v>
                </c:pt>
                <c:pt idx="740">
                  <c:v>54.665088855895284</c:v>
                </c:pt>
                <c:pt idx="741">
                  <c:v>54.665337315903969</c:v>
                </c:pt>
                <c:pt idx="742">
                  <c:v>54.665585774023484</c:v>
                </c:pt>
                <c:pt idx="743">
                  <c:v>54.665834230253907</c:v>
                </c:pt>
                <c:pt idx="744">
                  <c:v>54.666082684595168</c:v>
                </c:pt>
                <c:pt idx="745">
                  <c:v>54.666331137047308</c:v>
                </c:pt>
                <c:pt idx="746">
                  <c:v>54.666579587610251</c:v>
                </c:pt>
                <c:pt idx="747">
                  <c:v>54.666828036284095</c:v>
                </c:pt>
                <c:pt idx="748">
                  <c:v>54.667076483068747</c:v>
                </c:pt>
                <c:pt idx="749">
                  <c:v>54.66732492796428</c:v>
                </c:pt>
                <c:pt idx="750">
                  <c:v>54.667573370970658</c:v>
                </c:pt>
                <c:pt idx="751">
                  <c:v>54.667821812087858</c:v>
                </c:pt>
                <c:pt idx="752">
                  <c:v>54.668070251315967</c:v>
                </c:pt>
                <c:pt idx="753">
                  <c:v>54.668318688654843</c:v>
                </c:pt>
                <c:pt idx="754">
                  <c:v>54.668567124104584</c:v>
                </c:pt>
                <c:pt idx="755">
                  <c:v>54.668815557665162</c:v>
                </c:pt>
                <c:pt idx="756">
                  <c:v>54.669063989336586</c:v>
                </c:pt>
                <c:pt idx="757">
                  <c:v>54.669312419118825</c:v>
                </c:pt>
                <c:pt idx="758">
                  <c:v>54.669560847011944</c:v>
                </c:pt>
                <c:pt idx="759">
                  <c:v>54.669809273015851</c:v>
                </c:pt>
                <c:pt idx="760">
                  <c:v>54.670057697130602</c:v>
                </c:pt>
                <c:pt idx="761">
                  <c:v>54.670306119356191</c:v>
                </c:pt>
                <c:pt idx="762">
                  <c:v>54.670554539692588</c:v>
                </c:pt>
                <c:pt idx="763">
                  <c:v>54.670802958139802</c:v>
                </c:pt>
                <c:pt idx="764">
                  <c:v>54.671051374697861</c:v>
                </c:pt>
                <c:pt idx="765">
                  <c:v>54.671299789366714</c:v>
                </c:pt>
                <c:pt idx="766">
                  <c:v>54.671548202146397</c:v>
                </c:pt>
                <c:pt idx="767">
                  <c:v>54.671796613036882</c:v>
                </c:pt>
                <c:pt idx="768">
                  <c:v>54.672045022038191</c:v>
                </c:pt>
                <c:pt idx="769">
                  <c:v>54.672293429150322</c:v>
                </c:pt>
                <c:pt idx="770">
                  <c:v>54.672541834373234</c:v>
                </c:pt>
                <c:pt idx="771">
                  <c:v>54.672790237706963</c:v>
                </c:pt>
                <c:pt idx="772">
                  <c:v>54.673038639151507</c:v>
                </c:pt>
                <c:pt idx="773">
                  <c:v>54.67328703870686</c:v>
                </c:pt>
                <c:pt idx="774">
                  <c:v>54.673535436373029</c:v>
                </c:pt>
                <c:pt idx="775">
                  <c:v>54.673783832149965</c:v>
                </c:pt>
                <c:pt idx="776">
                  <c:v>54.674032226037724</c:v>
                </c:pt>
                <c:pt idx="777">
                  <c:v>54.674280618036256</c:v>
                </c:pt>
                <c:pt idx="778">
                  <c:v>54.674529008145633</c:v>
                </c:pt>
                <c:pt idx="779">
                  <c:v>54.674777396365741</c:v>
                </c:pt>
                <c:pt idx="780">
                  <c:v>54.675025782696686</c:v>
                </c:pt>
                <c:pt idx="781">
                  <c:v>54.675274167138376</c:v>
                </c:pt>
                <c:pt idx="782">
                  <c:v>54.675522549690889</c:v>
                </c:pt>
                <c:pt idx="783">
                  <c:v>54.675770930354162</c:v>
                </c:pt>
                <c:pt idx="784">
                  <c:v>54.676019309128257</c:v>
                </c:pt>
                <c:pt idx="785">
                  <c:v>54.676267686013105</c:v>
                </c:pt>
                <c:pt idx="786">
                  <c:v>54.676516061008741</c:v>
                </c:pt>
                <c:pt idx="787">
                  <c:v>54.676764434115185</c:v>
                </c:pt>
                <c:pt idx="788">
                  <c:v>54.677012805332375</c:v>
                </c:pt>
                <c:pt idx="789">
                  <c:v>54.67726117466033</c:v>
                </c:pt>
                <c:pt idx="790">
                  <c:v>54.67750954209906</c:v>
                </c:pt>
                <c:pt idx="791">
                  <c:v>54.677757907648562</c:v>
                </c:pt>
                <c:pt idx="792">
                  <c:v>54.67800627130881</c:v>
                </c:pt>
                <c:pt idx="793">
                  <c:v>54.678254633079867</c:v>
                </c:pt>
                <c:pt idx="794">
                  <c:v>54.678502992961683</c:v>
                </c:pt>
                <c:pt idx="795">
                  <c:v>54.678751350954236</c:v>
                </c:pt>
                <c:pt idx="796">
                  <c:v>54.67899970705755</c:v>
                </c:pt>
                <c:pt idx="797">
                  <c:v>54.679248061271672</c:v>
                </c:pt>
                <c:pt idx="798">
                  <c:v>54.679496413596524</c:v>
                </c:pt>
                <c:pt idx="799">
                  <c:v>54.67974476403208</c:v>
                </c:pt>
                <c:pt idx="800">
                  <c:v>54.679993112578437</c:v>
                </c:pt>
                <c:pt idx="801">
                  <c:v>54.680241459235525</c:v>
                </c:pt>
                <c:pt idx="802">
                  <c:v>54.680489804003358</c:v>
                </c:pt>
                <c:pt idx="803">
                  <c:v>54.680738146881936</c:v>
                </c:pt>
                <c:pt idx="804">
                  <c:v>54.680986487871287</c:v>
                </c:pt>
                <c:pt idx="805">
                  <c:v>54.681234826971377</c:v>
                </c:pt>
                <c:pt idx="806">
                  <c:v>54.681483164182218</c:v>
                </c:pt>
                <c:pt idx="807">
                  <c:v>54.681731499503798</c:v>
                </c:pt>
                <c:pt idx="808">
                  <c:v>54.681979832936101</c:v>
                </c:pt>
                <c:pt idx="809">
                  <c:v>54.68222816447917</c:v>
                </c:pt>
                <c:pt idx="810">
                  <c:v>54.682476494132928</c:v>
                </c:pt>
                <c:pt idx="811">
                  <c:v>54.682724821897473</c:v>
                </c:pt>
                <c:pt idx="812">
                  <c:v>54.682973147772692</c:v>
                </c:pt>
                <c:pt idx="813">
                  <c:v>54.683221471758692</c:v>
                </c:pt>
                <c:pt idx="814">
                  <c:v>54.683469793855387</c:v>
                </c:pt>
                <c:pt idx="815">
                  <c:v>54.683718114062792</c:v>
                </c:pt>
                <c:pt idx="816">
                  <c:v>54.68396643238097</c:v>
                </c:pt>
                <c:pt idx="817">
                  <c:v>54.68421474880985</c:v>
                </c:pt>
                <c:pt idx="818">
                  <c:v>54.684463063349405</c:v>
                </c:pt>
                <c:pt idx="819">
                  <c:v>54.68471137599974</c:v>
                </c:pt>
                <c:pt idx="820">
                  <c:v>54.684959686760777</c:v>
                </c:pt>
                <c:pt idx="821">
                  <c:v>54.68520799563251</c:v>
                </c:pt>
                <c:pt idx="822">
                  <c:v>54.685456302614966</c:v>
                </c:pt>
                <c:pt idx="823">
                  <c:v>54.685704607708125</c:v>
                </c:pt>
                <c:pt idx="824">
                  <c:v>54.685952910912</c:v>
                </c:pt>
                <c:pt idx="825">
                  <c:v>54.686201212226564</c:v>
                </c:pt>
                <c:pt idx="826">
                  <c:v>54.686449511651858</c:v>
                </c:pt>
                <c:pt idx="827">
                  <c:v>54.686697809187834</c:v>
                </c:pt>
                <c:pt idx="828">
                  <c:v>54.686946104834512</c:v>
                </c:pt>
                <c:pt idx="829">
                  <c:v>54.687194398591892</c:v>
                </c:pt>
                <c:pt idx="830">
                  <c:v>54.687442690459982</c:v>
                </c:pt>
                <c:pt idx="831">
                  <c:v>54.687690980438767</c:v>
                </c:pt>
                <c:pt idx="832">
                  <c:v>54.687939268528226</c:v>
                </c:pt>
                <c:pt idx="833">
                  <c:v>54.68818755472838</c:v>
                </c:pt>
                <c:pt idx="834">
                  <c:v>54.688435839039244</c:v>
                </c:pt>
                <c:pt idx="835">
                  <c:v>54.68868412146076</c:v>
                </c:pt>
                <c:pt idx="836">
                  <c:v>54.688932401992965</c:v>
                </c:pt>
                <c:pt idx="837">
                  <c:v>54.689180680635893</c:v>
                </c:pt>
                <c:pt idx="838">
                  <c:v>54.689428957389467</c:v>
                </c:pt>
                <c:pt idx="839">
                  <c:v>54.689677232253743</c:v>
                </c:pt>
                <c:pt idx="840">
                  <c:v>54.6899255052287</c:v>
                </c:pt>
                <c:pt idx="841">
                  <c:v>54.690173776314346</c:v>
                </c:pt>
                <c:pt idx="842">
                  <c:v>54.690422045510672</c:v>
                </c:pt>
                <c:pt idx="843">
                  <c:v>54.69067031281763</c:v>
                </c:pt>
                <c:pt idx="844">
                  <c:v>54.690918578235255</c:v>
                </c:pt>
                <c:pt idx="845">
                  <c:v>54.691166841763561</c:v>
                </c:pt>
                <c:pt idx="846">
                  <c:v>54.691415103402576</c:v>
                </c:pt>
                <c:pt idx="847">
                  <c:v>54.69166336315223</c:v>
                </c:pt>
                <c:pt idx="848">
                  <c:v>54.691911621012522</c:v>
                </c:pt>
                <c:pt idx="849">
                  <c:v>54.692159876983489</c:v>
                </c:pt>
                <c:pt idx="850">
                  <c:v>54.692408131065122</c:v>
                </c:pt>
                <c:pt idx="851">
                  <c:v>54.692656383257415</c:v>
                </c:pt>
                <c:pt idx="852">
                  <c:v>54.692904633560346</c:v>
                </c:pt>
                <c:pt idx="853">
                  <c:v>54.693152881973958</c:v>
                </c:pt>
                <c:pt idx="854">
                  <c:v>54.693401128498195</c:v>
                </c:pt>
                <c:pt idx="855">
                  <c:v>54.693649373133105</c:v>
                </c:pt>
                <c:pt idx="856">
                  <c:v>54.693897615878655</c:v>
                </c:pt>
                <c:pt idx="857">
                  <c:v>54.694145856734835</c:v>
                </c:pt>
                <c:pt idx="858">
                  <c:v>54.694394095701703</c:v>
                </c:pt>
                <c:pt idx="859">
                  <c:v>54.694642332779189</c:v>
                </c:pt>
                <c:pt idx="860">
                  <c:v>54.694890567967299</c:v>
                </c:pt>
                <c:pt idx="861">
                  <c:v>54.69513880126609</c:v>
                </c:pt>
                <c:pt idx="862">
                  <c:v>54.695387032675512</c:v>
                </c:pt>
                <c:pt idx="863">
                  <c:v>54.695635262195545</c:v>
                </c:pt>
                <c:pt idx="864">
                  <c:v>54.695883489826208</c:v>
                </c:pt>
                <c:pt idx="865">
                  <c:v>54.69613171556756</c:v>
                </c:pt>
                <c:pt idx="866">
                  <c:v>54.696379939419479</c:v>
                </c:pt>
                <c:pt idx="867">
                  <c:v>54.696628161382073</c:v>
                </c:pt>
                <c:pt idx="868">
                  <c:v>54.696876381455269</c:v>
                </c:pt>
                <c:pt idx="869">
                  <c:v>54.697124599639075</c:v>
                </c:pt>
                <c:pt idx="870">
                  <c:v>54.697372815933534</c:v>
                </c:pt>
                <c:pt idx="871">
                  <c:v>54.697621030338603</c:v>
                </c:pt>
                <c:pt idx="872">
                  <c:v>54.697869242854281</c:v>
                </c:pt>
                <c:pt idx="873">
                  <c:v>54.698117453480577</c:v>
                </c:pt>
                <c:pt idx="874">
                  <c:v>54.698365662217476</c:v>
                </c:pt>
                <c:pt idx="875">
                  <c:v>54.698613869065021</c:v>
                </c:pt>
                <c:pt idx="876">
                  <c:v>54.69886207402314</c:v>
                </c:pt>
                <c:pt idx="877">
                  <c:v>54.699110277091911</c:v>
                </c:pt>
                <c:pt idx="878">
                  <c:v>54.699358478271257</c:v>
                </c:pt>
                <c:pt idx="879">
                  <c:v>54.699606677561228</c:v>
                </c:pt>
                <c:pt idx="880">
                  <c:v>54.699854874961801</c:v>
                </c:pt>
                <c:pt idx="881">
                  <c:v>54.700103070472949</c:v>
                </c:pt>
                <c:pt idx="882">
                  <c:v>54.700351264094742</c:v>
                </c:pt>
                <c:pt idx="883">
                  <c:v>54.700599455827088</c:v>
                </c:pt>
                <c:pt idx="884">
                  <c:v>54.700847645670066</c:v>
                </c:pt>
                <c:pt idx="885">
                  <c:v>54.701095833623647</c:v>
                </c:pt>
                <c:pt idx="886">
                  <c:v>54.701344019687802</c:v>
                </c:pt>
                <c:pt idx="887">
                  <c:v>54.701592203862553</c:v>
                </c:pt>
                <c:pt idx="888">
                  <c:v>54.701840386147936</c:v>
                </c:pt>
                <c:pt idx="889">
                  <c:v>54.702088566543814</c:v>
                </c:pt>
                <c:pt idx="890">
                  <c:v>54.702336745050346</c:v>
                </c:pt>
                <c:pt idx="891">
                  <c:v>54.702584921667444</c:v>
                </c:pt>
                <c:pt idx="892">
                  <c:v>54.702833096395139</c:v>
                </c:pt>
                <c:pt idx="893">
                  <c:v>54.703081269233401</c:v>
                </c:pt>
                <c:pt idx="894">
                  <c:v>54.703329440182202</c:v>
                </c:pt>
                <c:pt idx="895">
                  <c:v>54.703577609241613</c:v>
                </c:pt>
                <c:pt idx="896">
                  <c:v>54.703825776411598</c:v>
                </c:pt>
                <c:pt idx="897">
                  <c:v>54.704073941692187</c:v>
                </c:pt>
                <c:pt idx="898">
                  <c:v>54.7043221050833</c:v>
                </c:pt>
                <c:pt idx="899">
                  <c:v>54.704570266585016</c:v>
                </c:pt>
                <c:pt idx="900">
                  <c:v>54.704818426197271</c:v>
                </c:pt>
                <c:pt idx="901">
                  <c:v>54.705066583920065</c:v>
                </c:pt>
                <c:pt idx="902">
                  <c:v>54.705314739753483</c:v>
                </c:pt>
                <c:pt idx="903">
                  <c:v>54.705562893697412</c:v>
                </c:pt>
                <c:pt idx="904">
                  <c:v>54.705811045751936</c:v>
                </c:pt>
                <c:pt idx="905">
                  <c:v>54.706059195917042</c:v>
                </c:pt>
                <c:pt idx="906">
                  <c:v>54.70630734419268</c:v>
                </c:pt>
                <c:pt idx="907">
                  <c:v>54.706555490578872</c:v>
                </c:pt>
                <c:pt idx="908">
                  <c:v>54.706803635075588</c:v>
                </c:pt>
                <c:pt idx="909">
                  <c:v>54.707051777682871</c:v>
                </c:pt>
                <c:pt idx="910">
                  <c:v>54.707299918400736</c:v>
                </c:pt>
                <c:pt idx="911">
                  <c:v>54.707548057229097</c:v>
                </c:pt>
                <c:pt idx="912">
                  <c:v>54.707796194168033</c:v>
                </c:pt>
                <c:pt idx="913">
                  <c:v>54.708044329217522</c:v>
                </c:pt>
                <c:pt idx="914">
                  <c:v>54.708292462377536</c:v>
                </c:pt>
                <c:pt idx="915">
                  <c:v>54.708540593648074</c:v>
                </c:pt>
                <c:pt idx="916">
                  <c:v>54.70878872302918</c:v>
                </c:pt>
                <c:pt idx="917">
                  <c:v>54.709036850520789</c:v>
                </c:pt>
                <c:pt idx="918">
                  <c:v>54.709284976122973</c:v>
                </c:pt>
                <c:pt idx="919">
                  <c:v>54.709533099835674</c:v>
                </c:pt>
                <c:pt idx="920">
                  <c:v>54.709781221658893</c:v>
                </c:pt>
                <c:pt idx="921">
                  <c:v>54.710029341592652</c:v>
                </c:pt>
                <c:pt idx="922">
                  <c:v>54.710277459636977</c:v>
                </c:pt>
                <c:pt idx="923">
                  <c:v>54.710525575791742</c:v>
                </c:pt>
                <c:pt idx="924">
                  <c:v>54.710773690057074</c:v>
                </c:pt>
                <c:pt idx="925">
                  <c:v>54.711021802432938</c:v>
                </c:pt>
                <c:pt idx="926">
                  <c:v>54.711269912919306</c:v>
                </c:pt>
                <c:pt idx="927">
                  <c:v>54.711518021516191</c:v>
                </c:pt>
                <c:pt idx="928">
                  <c:v>54.711766128223601</c:v>
                </c:pt>
                <c:pt idx="929">
                  <c:v>54.712014233041543</c:v>
                </c:pt>
                <c:pt idx="930">
                  <c:v>54.712262335969982</c:v>
                </c:pt>
                <c:pt idx="931">
                  <c:v>54.712510437008916</c:v>
                </c:pt>
                <c:pt idx="932">
                  <c:v>54.712758536158383</c:v>
                </c:pt>
                <c:pt idx="933">
                  <c:v>54.713006633418331</c:v>
                </c:pt>
                <c:pt idx="934">
                  <c:v>54.713254728788826</c:v>
                </c:pt>
                <c:pt idx="935">
                  <c:v>54.713502822269803</c:v>
                </c:pt>
                <c:pt idx="936">
                  <c:v>54.713750913861269</c:v>
                </c:pt>
                <c:pt idx="937">
                  <c:v>54.71399900356321</c:v>
                </c:pt>
                <c:pt idx="938">
                  <c:v>54.714247091375711</c:v>
                </c:pt>
                <c:pt idx="939">
                  <c:v>54.714495177298666</c:v>
                </c:pt>
                <c:pt idx="940">
                  <c:v>54.714743261332131</c:v>
                </c:pt>
                <c:pt idx="941">
                  <c:v>54.714991343476079</c:v>
                </c:pt>
                <c:pt idx="942">
                  <c:v>54.715239423730516</c:v>
                </c:pt>
                <c:pt idx="943">
                  <c:v>54.715487502095449</c:v>
                </c:pt>
                <c:pt idx="944">
                  <c:v>54.715735578570836</c:v>
                </c:pt>
                <c:pt idx="945">
                  <c:v>54.715983653156734</c:v>
                </c:pt>
                <c:pt idx="946">
                  <c:v>54.716231725853106</c:v>
                </c:pt>
                <c:pt idx="947">
                  <c:v>54.716479796660018</c:v>
                </c:pt>
                <c:pt idx="948">
                  <c:v>54.716727865577333</c:v>
                </c:pt>
                <c:pt idx="949">
                  <c:v>54.716975932605138</c:v>
                </c:pt>
                <c:pt idx="950">
                  <c:v>54.717223997743453</c:v>
                </c:pt>
                <c:pt idx="951">
                  <c:v>54.717472060992186</c:v>
                </c:pt>
                <c:pt idx="952">
                  <c:v>54.717720122351416</c:v>
                </c:pt>
                <c:pt idx="953">
                  <c:v>54.717968181821156</c:v>
                </c:pt>
                <c:pt idx="954">
                  <c:v>54.718216239401322</c:v>
                </c:pt>
                <c:pt idx="955">
                  <c:v>54.718464295091984</c:v>
                </c:pt>
                <c:pt idx="956">
                  <c:v>54.718712348893092</c:v>
                </c:pt>
                <c:pt idx="957">
                  <c:v>54.718960400804669</c:v>
                </c:pt>
                <c:pt idx="958">
                  <c:v>54.719208450826699</c:v>
                </c:pt>
                <c:pt idx="959">
                  <c:v>54.719456498959232</c:v>
                </c:pt>
                <c:pt idx="960">
                  <c:v>54.719704545202163</c:v>
                </c:pt>
                <c:pt idx="961">
                  <c:v>54.719952589555582</c:v>
                </c:pt>
                <c:pt idx="962">
                  <c:v>54.720200632019434</c:v>
                </c:pt>
                <c:pt idx="963">
                  <c:v>54.720448672593768</c:v>
                </c:pt>
                <c:pt idx="964">
                  <c:v>54.720696711278535</c:v>
                </c:pt>
                <c:pt idx="965">
                  <c:v>54.720944748073755</c:v>
                </c:pt>
                <c:pt idx="966">
                  <c:v>54.721192782979443</c:v>
                </c:pt>
                <c:pt idx="967">
                  <c:v>54.721440815995557</c:v>
                </c:pt>
                <c:pt idx="968">
                  <c:v>54.721688847122124</c:v>
                </c:pt>
                <c:pt idx="969">
                  <c:v>54.721936876359109</c:v>
                </c:pt>
                <c:pt idx="970">
                  <c:v>54.722184903706548</c:v>
                </c:pt>
                <c:pt idx="971">
                  <c:v>54.722432929164405</c:v>
                </c:pt>
                <c:pt idx="972">
                  <c:v>54.722680952732716</c:v>
                </c:pt>
                <c:pt idx="973">
                  <c:v>54.722928974411445</c:v>
                </c:pt>
                <c:pt idx="974">
                  <c:v>54.723176994200614</c:v>
                </c:pt>
                <c:pt idx="975">
                  <c:v>54.723425012100222</c:v>
                </c:pt>
                <c:pt idx="976">
                  <c:v>54.723673028110262</c:v>
                </c:pt>
                <c:pt idx="977">
                  <c:v>54.723921042230728</c:v>
                </c:pt>
                <c:pt idx="978">
                  <c:v>54.724169054461576</c:v>
                </c:pt>
                <c:pt idx="979">
                  <c:v>54.7244170648029</c:v>
                </c:pt>
                <c:pt idx="980">
                  <c:v>54.724665073254634</c:v>
                </c:pt>
                <c:pt idx="981">
                  <c:v>54.724913079816773</c:v>
                </c:pt>
                <c:pt idx="982">
                  <c:v>54.725161084489329</c:v>
                </c:pt>
                <c:pt idx="983">
                  <c:v>54.725409087272283</c:v>
                </c:pt>
                <c:pt idx="984">
                  <c:v>54.725657088165661</c:v>
                </c:pt>
                <c:pt idx="985">
                  <c:v>54.725905087169458</c:v>
                </c:pt>
                <c:pt idx="986">
                  <c:v>54.726153084283688</c:v>
                </c:pt>
                <c:pt idx="987">
                  <c:v>54.726401079508314</c:v>
                </c:pt>
                <c:pt idx="988">
                  <c:v>54.726649072843365</c:v>
                </c:pt>
                <c:pt idx="989">
                  <c:v>54.726897064288778</c:v>
                </c:pt>
                <c:pt idx="990">
                  <c:v>54.727145053844623</c:v>
                </c:pt>
                <c:pt idx="991">
                  <c:v>54.727393041510872</c:v>
                </c:pt>
                <c:pt idx="992">
                  <c:v>54.727641027287511</c:v>
                </c:pt>
                <c:pt idx="993">
                  <c:v>54.72788901117454</c:v>
                </c:pt>
                <c:pt idx="994">
                  <c:v>54.728136993171979</c:v>
                </c:pt>
                <c:pt idx="995">
                  <c:v>54.728384973279802</c:v>
                </c:pt>
                <c:pt idx="996">
                  <c:v>54.728632951498021</c:v>
                </c:pt>
                <c:pt idx="997">
                  <c:v>54.728880927826637</c:v>
                </c:pt>
                <c:pt idx="998">
                  <c:v>54.729128902265636</c:v>
                </c:pt>
                <c:pt idx="999">
                  <c:v>54.729376874815024</c:v>
                </c:pt>
                <c:pt idx="1000">
                  <c:v>54.729624845474802</c:v>
                </c:pt>
              </c:numCache>
            </c:numRef>
          </c:yVal>
          <c:smooth val="0"/>
          <c:extLst>
            <c:ext xmlns:c16="http://schemas.microsoft.com/office/drawing/2014/chart" uri="{C3380CC4-5D6E-409C-BE32-E72D297353CC}">
              <c16:uniqueId val="{00000002-B98B-46BB-BB51-DAAA2071230C}"/>
            </c:ext>
          </c:extLst>
        </c:ser>
        <c:dLbls>
          <c:showLegendKey val="0"/>
          <c:showVal val="0"/>
          <c:showCatName val="0"/>
          <c:showSerName val="0"/>
          <c:showPercent val="0"/>
          <c:showBubbleSize val="0"/>
        </c:dLbls>
        <c:axId val="149500672"/>
        <c:axId val="149502592"/>
      </c:scatterChart>
      <c:valAx>
        <c:axId val="149500672"/>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1"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fr-FR"/>
          </a:p>
        </c:txPr>
        <c:crossAx val="149502592"/>
        <c:crosses val="autoZero"/>
        <c:crossBetween val="midCat"/>
      </c:valAx>
      <c:valAx>
        <c:axId val="149502592"/>
        <c:scaling>
          <c:orientation val="minMax"/>
        </c:scaling>
        <c:delete val="0"/>
        <c:axPos val="l"/>
        <c:majorGridlines>
          <c:spPr>
            <a:ln w="3175">
              <a:solidFill>
                <a:srgbClr val="000000"/>
              </a:solidFill>
              <a:prstDash val="sysDash"/>
            </a:ln>
          </c:spPr>
        </c:majorGridlines>
        <c:title>
          <c:tx>
            <c:rich>
              <a:bodyPr/>
              <a:lstStyle/>
              <a:p>
                <a:pPr>
                  <a:defRPr sz="1200" b="1" i="0" u="none" strike="noStrike" baseline="0">
                    <a:solidFill>
                      <a:srgbClr val="000000"/>
                    </a:solidFill>
                    <a:latin typeface="Arial"/>
                    <a:ea typeface="Arial"/>
                    <a:cs typeface="Arial"/>
                  </a:defRPr>
                </a:pPr>
                <a:r>
                  <a:rPr lang="fr-FR"/>
                  <a:t>Forces [N]</a:t>
                </a:r>
              </a:p>
            </c:rich>
          </c:tx>
          <c:layout>
            <c:manualLayout>
              <c:xMode val="edge"/>
              <c:yMode val="edge"/>
              <c:x val="2.0047169811320761E-2"/>
              <c:y val="0.333334383202099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fr-FR"/>
          </a:p>
        </c:txPr>
        <c:crossAx val="149500672"/>
        <c:crosses val="autoZero"/>
        <c:crossBetween val="midCat"/>
      </c:valAx>
      <c:spPr>
        <a:noFill/>
        <a:ln w="12700">
          <a:solidFill>
            <a:srgbClr val="808080"/>
          </a:solidFill>
          <a:prstDash val="solid"/>
        </a:ln>
      </c:spPr>
    </c:plotArea>
    <c:legend>
      <c:legendPos val="r"/>
      <c:layout>
        <c:manualLayout>
          <c:xMode val="edge"/>
          <c:yMode val="edge"/>
          <c:x val="0.83018929827167842"/>
          <c:y val="0.34444479440069992"/>
          <c:w val="0.13050326845936713"/>
          <c:h val="0.22888888888888886"/>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Courbes!$B$140</c:f>
          <c:strCache>
            <c:ptCount val="1"/>
            <c:pt idx="0">
              <c:v>Vitesse</c:v>
            </c:pt>
          </c:strCache>
        </c:strRef>
      </c:tx>
      <c:overlay val="1"/>
      <c:txPr>
        <a:bodyPr/>
        <a:lstStyle/>
        <a:p>
          <a:pPr>
            <a:defRPr sz="1200" b="1" i="0" u="none" strike="noStrike" baseline="0">
              <a:solidFill>
                <a:srgbClr val="000000"/>
              </a:solidFill>
              <a:latin typeface="Arial"/>
              <a:ea typeface="Arial"/>
              <a:cs typeface="Arial"/>
            </a:defRPr>
          </a:pPr>
          <a:endParaRPr lang="fr-FR"/>
        </a:p>
      </c:txPr>
    </c:title>
    <c:autoTitleDeleted val="0"/>
    <c:plotArea>
      <c:layout>
        <c:manualLayout>
          <c:layoutTarget val="inner"/>
          <c:xMode val="edge"/>
          <c:yMode val="edge"/>
          <c:x val="0.10495283018867926"/>
          <c:y val="9.4771544282144501E-2"/>
          <c:w val="0.87617924528302116"/>
          <c:h val="0.74183243282920064"/>
        </c:manualLayout>
      </c:layout>
      <c:scatterChart>
        <c:scatterStyle val="lineMarker"/>
        <c:varyColors val="0"/>
        <c:ser>
          <c:idx val="0"/>
          <c:order val="0"/>
          <c:tx>
            <c:strRef>
              <c:f>Courbes!$B$140</c:f>
              <c:strCache>
                <c:ptCount val="1"/>
                <c:pt idx="0">
                  <c:v>Vitesse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2.1000000000000014</c:v>
                </c:pt>
                <c:pt idx="202">
                  <c:v>2.2000000000000015</c:v>
                </c:pt>
                <c:pt idx="203">
                  <c:v>2.3000000000000016</c:v>
                </c:pt>
                <c:pt idx="204">
                  <c:v>2.4000000000000017</c:v>
                </c:pt>
                <c:pt idx="205">
                  <c:v>2.5000000000000018</c:v>
                </c:pt>
                <c:pt idx="206">
                  <c:v>2.6000000000000019</c:v>
                </c:pt>
                <c:pt idx="207">
                  <c:v>2.700000000000002</c:v>
                </c:pt>
                <c:pt idx="208">
                  <c:v>2.800000000000002</c:v>
                </c:pt>
                <c:pt idx="209">
                  <c:v>2.9000000000000021</c:v>
                </c:pt>
                <c:pt idx="210">
                  <c:v>3.0000000000000022</c:v>
                </c:pt>
                <c:pt idx="211">
                  <c:v>3.1000000000000023</c:v>
                </c:pt>
                <c:pt idx="212">
                  <c:v>3.2000000000000024</c:v>
                </c:pt>
                <c:pt idx="213">
                  <c:v>3.3000000000000025</c:v>
                </c:pt>
                <c:pt idx="214">
                  <c:v>3.4000000000000026</c:v>
                </c:pt>
                <c:pt idx="215">
                  <c:v>3.5000000000000027</c:v>
                </c:pt>
                <c:pt idx="216">
                  <c:v>3.6000000000000028</c:v>
                </c:pt>
                <c:pt idx="217">
                  <c:v>3.7000000000000028</c:v>
                </c:pt>
                <c:pt idx="218">
                  <c:v>3.8000000000000029</c:v>
                </c:pt>
                <c:pt idx="219">
                  <c:v>3.900000000000003</c:v>
                </c:pt>
                <c:pt idx="220">
                  <c:v>4.0000000000000027</c:v>
                </c:pt>
                <c:pt idx="221">
                  <c:v>4.1000000000000023</c:v>
                </c:pt>
                <c:pt idx="222">
                  <c:v>4.200000000000002</c:v>
                </c:pt>
                <c:pt idx="223">
                  <c:v>4.3000000000000016</c:v>
                </c:pt>
                <c:pt idx="224">
                  <c:v>4.4000000000000012</c:v>
                </c:pt>
                <c:pt idx="225">
                  <c:v>4.5000000000000009</c:v>
                </c:pt>
                <c:pt idx="226">
                  <c:v>4.6000000000000005</c:v>
                </c:pt>
                <c:pt idx="227">
                  <c:v>4.7</c:v>
                </c:pt>
                <c:pt idx="228">
                  <c:v>4.8</c:v>
                </c:pt>
                <c:pt idx="229">
                  <c:v>4.8999999999999995</c:v>
                </c:pt>
                <c:pt idx="230">
                  <c:v>4.9999999999999991</c:v>
                </c:pt>
                <c:pt idx="231">
                  <c:v>5.0999999999999988</c:v>
                </c:pt>
                <c:pt idx="232">
                  <c:v>5.1999999999999984</c:v>
                </c:pt>
                <c:pt idx="233">
                  <c:v>5.299999999999998</c:v>
                </c:pt>
                <c:pt idx="234">
                  <c:v>5.3999999999999977</c:v>
                </c:pt>
                <c:pt idx="235">
                  <c:v>5.4999999999999973</c:v>
                </c:pt>
                <c:pt idx="236">
                  <c:v>5.599999999999997</c:v>
                </c:pt>
                <c:pt idx="237">
                  <c:v>5.6999999999999966</c:v>
                </c:pt>
                <c:pt idx="238">
                  <c:v>5.7999999999999963</c:v>
                </c:pt>
                <c:pt idx="239">
                  <c:v>5.8999999999999959</c:v>
                </c:pt>
                <c:pt idx="240">
                  <c:v>5.9999999999999956</c:v>
                </c:pt>
                <c:pt idx="241">
                  <c:v>6.0999999999999952</c:v>
                </c:pt>
                <c:pt idx="242">
                  <c:v>6.1999999999999948</c:v>
                </c:pt>
                <c:pt idx="243">
                  <c:v>6.2999999999999945</c:v>
                </c:pt>
                <c:pt idx="244">
                  <c:v>6.3999999999999941</c:v>
                </c:pt>
                <c:pt idx="245">
                  <c:v>6.4999999999999938</c:v>
                </c:pt>
                <c:pt idx="246">
                  <c:v>6.5999999999999934</c:v>
                </c:pt>
                <c:pt idx="247">
                  <c:v>6.6999999999999931</c:v>
                </c:pt>
                <c:pt idx="248">
                  <c:v>6.7999999999999927</c:v>
                </c:pt>
                <c:pt idx="249">
                  <c:v>6.8999999999999924</c:v>
                </c:pt>
                <c:pt idx="250">
                  <c:v>6.999999999999992</c:v>
                </c:pt>
                <c:pt idx="251">
                  <c:v>7.0999999999999917</c:v>
                </c:pt>
                <c:pt idx="252">
                  <c:v>7.1999999999999913</c:v>
                </c:pt>
                <c:pt idx="253">
                  <c:v>7.2999999999999909</c:v>
                </c:pt>
                <c:pt idx="254">
                  <c:v>7.3999999999999906</c:v>
                </c:pt>
                <c:pt idx="255">
                  <c:v>7.4999999999999902</c:v>
                </c:pt>
                <c:pt idx="256">
                  <c:v>7.5999999999999899</c:v>
                </c:pt>
                <c:pt idx="257">
                  <c:v>7.6999999999999895</c:v>
                </c:pt>
                <c:pt idx="258">
                  <c:v>7.7999999999999892</c:v>
                </c:pt>
                <c:pt idx="259">
                  <c:v>7.8999999999999888</c:v>
                </c:pt>
                <c:pt idx="260">
                  <c:v>7.9999999999999885</c:v>
                </c:pt>
                <c:pt idx="261">
                  <c:v>8.099999999999989</c:v>
                </c:pt>
                <c:pt idx="262">
                  <c:v>8.1999999999999886</c:v>
                </c:pt>
                <c:pt idx="263">
                  <c:v>8.2999999999999883</c:v>
                </c:pt>
                <c:pt idx="264">
                  <c:v>8.3999999999999879</c:v>
                </c:pt>
                <c:pt idx="265">
                  <c:v>8.4999999999999876</c:v>
                </c:pt>
                <c:pt idx="266">
                  <c:v>8.5999999999999872</c:v>
                </c:pt>
                <c:pt idx="267">
                  <c:v>8.6999999999999869</c:v>
                </c:pt>
                <c:pt idx="268">
                  <c:v>8.7999999999999865</c:v>
                </c:pt>
                <c:pt idx="269">
                  <c:v>8.8999999999999861</c:v>
                </c:pt>
                <c:pt idx="270">
                  <c:v>8.9999999999999858</c:v>
                </c:pt>
                <c:pt idx="271">
                  <c:v>9.0999999999999854</c:v>
                </c:pt>
                <c:pt idx="272">
                  <c:v>9.1999999999999851</c:v>
                </c:pt>
                <c:pt idx="273">
                  <c:v>9.2999999999999847</c:v>
                </c:pt>
                <c:pt idx="274">
                  <c:v>9.3999999999999844</c:v>
                </c:pt>
                <c:pt idx="275">
                  <c:v>9.499999999999984</c:v>
                </c:pt>
                <c:pt idx="276">
                  <c:v>9.5999999999999837</c:v>
                </c:pt>
                <c:pt idx="277">
                  <c:v>9.6999999999999833</c:v>
                </c:pt>
                <c:pt idx="278">
                  <c:v>9.7999999999999829</c:v>
                </c:pt>
                <c:pt idx="279">
                  <c:v>9.8999999999999826</c:v>
                </c:pt>
                <c:pt idx="280">
                  <c:v>9.9999999999999822</c:v>
                </c:pt>
                <c:pt idx="281">
                  <c:v>10.099999999999982</c:v>
                </c:pt>
                <c:pt idx="282">
                  <c:v>10.199999999999982</c:v>
                </c:pt>
                <c:pt idx="283">
                  <c:v>10.299999999999981</c:v>
                </c:pt>
                <c:pt idx="284">
                  <c:v>10.399999999999981</c:v>
                </c:pt>
                <c:pt idx="285">
                  <c:v>10.49999999999998</c:v>
                </c:pt>
                <c:pt idx="286">
                  <c:v>10.59999999999998</c:v>
                </c:pt>
                <c:pt idx="287">
                  <c:v>10.69999999999998</c:v>
                </c:pt>
                <c:pt idx="288">
                  <c:v>10.799999999999979</c:v>
                </c:pt>
                <c:pt idx="289">
                  <c:v>10.899999999999979</c:v>
                </c:pt>
                <c:pt idx="290">
                  <c:v>10.999999999999979</c:v>
                </c:pt>
                <c:pt idx="291">
                  <c:v>11.099999999999978</c:v>
                </c:pt>
                <c:pt idx="292">
                  <c:v>11.199999999999978</c:v>
                </c:pt>
                <c:pt idx="293">
                  <c:v>11.299999999999978</c:v>
                </c:pt>
                <c:pt idx="294">
                  <c:v>11.399999999999977</c:v>
                </c:pt>
                <c:pt idx="295">
                  <c:v>11.499999999999977</c:v>
                </c:pt>
                <c:pt idx="296">
                  <c:v>11.599999999999977</c:v>
                </c:pt>
                <c:pt idx="297">
                  <c:v>11.699999999999976</c:v>
                </c:pt>
                <c:pt idx="298">
                  <c:v>11.799999999999976</c:v>
                </c:pt>
                <c:pt idx="299">
                  <c:v>11.899999999999975</c:v>
                </c:pt>
                <c:pt idx="300">
                  <c:v>11.999999999999975</c:v>
                </c:pt>
                <c:pt idx="301">
                  <c:v>12.099999999999975</c:v>
                </c:pt>
                <c:pt idx="302">
                  <c:v>12.199999999999974</c:v>
                </c:pt>
                <c:pt idx="303">
                  <c:v>12.299999999999974</c:v>
                </c:pt>
                <c:pt idx="304">
                  <c:v>12.399999999999974</c:v>
                </c:pt>
                <c:pt idx="305">
                  <c:v>12.499999999999973</c:v>
                </c:pt>
                <c:pt idx="306">
                  <c:v>12.599999999999973</c:v>
                </c:pt>
                <c:pt idx="307">
                  <c:v>12.699999999999973</c:v>
                </c:pt>
                <c:pt idx="308">
                  <c:v>12.799999999999972</c:v>
                </c:pt>
                <c:pt idx="309">
                  <c:v>12.899999999999972</c:v>
                </c:pt>
                <c:pt idx="310">
                  <c:v>12.999999999999972</c:v>
                </c:pt>
                <c:pt idx="311">
                  <c:v>13.099999999999971</c:v>
                </c:pt>
                <c:pt idx="312">
                  <c:v>13.199999999999971</c:v>
                </c:pt>
                <c:pt idx="313">
                  <c:v>13.299999999999971</c:v>
                </c:pt>
                <c:pt idx="314">
                  <c:v>13.39999999999997</c:v>
                </c:pt>
                <c:pt idx="315">
                  <c:v>13.49999999999997</c:v>
                </c:pt>
                <c:pt idx="316">
                  <c:v>13.599999999999969</c:v>
                </c:pt>
                <c:pt idx="317">
                  <c:v>13.699999999999969</c:v>
                </c:pt>
                <c:pt idx="318">
                  <c:v>13.799999999999969</c:v>
                </c:pt>
                <c:pt idx="319">
                  <c:v>13.899999999999968</c:v>
                </c:pt>
                <c:pt idx="320">
                  <c:v>13.999999999999968</c:v>
                </c:pt>
                <c:pt idx="321">
                  <c:v>14.099999999999968</c:v>
                </c:pt>
                <c:pt idx="322">
                  <c:v>14.199999999999967</c:v>
                </c:pt>
                <c:pt idx="323">
                  <c:v>14.299999999999967</c:v>
                </c:pt>
                <c:pt idx="324">
                  <c:v>14.399999999999967</c:v>
                </c:pt>
                <c:pt idx="325">
                  <c:v>14.499999999999966</c:v>
                </c:pt>
                <c:pt idx="326">
                  <c:v>14.599999999999966</c:v>
                </c:pt>
                <c:pt idx="327">
                  <c:v>14.699999999999966</c:v>
                </c:pt>
                <c:pt idx="328">
                  <c:v>14.799999999999965</c:v>
                </c:pt>
                <c:pt idx="329">
                  <c:v>14.899999999999965</c:v>
                </c:pt>
                <c:pt idx="330">
                  <c:v>14.999999999999964</c:v>
                </c:pt>
                <c:pt idx="331">
                  <c:v>15.099999999999964</c:v>
                </c:pt>
                <c:pt idx="332">
                  <c:v>15.199999999999964</c:v>
                </c:pt>
                <c:pt idx="333">
                  <c:v>15.299999999999963</c:v>
                </c:pt>
                <c:pt idx="334">
                  <c:v>15.399999999999963</c:v>
                </c:pt>
                <c:pt idx="335">
                  <c:v>15.499999999999963</c:v>
                </c:pt>
                <c:pt idx="336">
                  <c:v>15.599999999999962</c:v>
                </c:pt>
                <c:pt idx="337">
                  <c:v>15.699999999999962</c:v>
                </c:pt>
                <c:pt idx="338">
                  <c:v>15.799999999999962</c:v>
                </c:pt>
                <c:pt idx="339">
                  <c:v>15.899999999999961</c:v>
                </c:pt>
                <c:pt idx="340">
                  <c:v>15.999999999999961</c:v>
                </c:pt>
                <c:pt idx="341">
                  <c:v>16.099999999999962</c:v>
                </c:pt>
                <c:pt idx="342">
                  <c:v>16.199999999999964</c:v>
                </c:pt>
                <c:pt idx="343">
                  <c:v>16.299999999999965</c:v>
                </c:pt>
                <c:pt idx="344">
                  <c:v>16.399999999999967</c:v>
                </c:pt>
                <c:pt idx="345">
                  <c:v>16.499999999999968</c:v>
                </c:pt>
                <c:pt idx="346">
                  <c:v>16.599999999999969</c:v>
                </c:pt>
                <c:pt idx="347">
                  <c:v>16.699999999999971</c:v>
                </c:pt>
                <c:pt idx="348">
                  <c:v>16.799999999999972</c:v>
                </c:pt>
                <c:pt idx="349">
                  <c:v>16.899999999999974</c:v>
                </c:pt>
                <c:pt idx="350">
                  <c:v>16.999999999999975</c:v>
                </c:pt>
                <c:pt idx="351">
                  <c:v>17.099999999999977</c:v>
                </c:pt>
                <c:pt idx="352">
                  <c:v>17.199999999999978</c:v>
                </c:pt>
                <c:pt idx="353">
                  <c:v>17.299999999999979</c:v>
                </c:pt>
                <c:pt idx="354">
                  <c:v>17.399999999999981</c:v>
                </c:pt>
                <c:pt idx="355">
                  <c:v>17.499999999999982</c:v>
                </c:pt>
                <c:pt idx="356">
                  <c:v>17.599999999999984</c:v>
                </c:pt>
                <c:pt idx="357">
                  <c:v>17.699999999999985</c:v>
                </c:pt>
                <c:pt idx="358">
                  <c:v>17.799999999999986</c:v>
                </c:pt>
                <c:pt idx="359">
                  <c:v>17.899999999999988</c:v>
                </c:pt>
                <c:pt idx="360">
                  <c:v>17.999999999999989</c:v>
                </c:pt>
                <c:pt idx="361">
                  <c:v>18.099999999999991</c:v>
                </c:pt>
                <c:pt idx="362">
                  <c:v>18.199999999999992</c:v>
                </c:pt>
                <c:pt idx="363">
                  <c:v>18.299999999999994</c:v>
                </c:pt>
                <c:pt idx="364">
                  <c:v>18.399999999999995</c:v>
                </c:pt>
                <c:pt idx="365">
                  <c:v>18.499999999999996</c:v>
                </c:pt>
                <c:pt idx="366">
                  <c:v>18.599999999999998</c:v>
                </c:pt>
                <c:pt idx="367">
                  <c:v>18.7</c:v>
                </c:pt>
                <c:pt idx="368">
                  <c:v>18.8</c:v>
                </c:pt>
                <c:pt idx="369">
                  <c:v>18.900000000000002</c:v>
                </c:pt>
                <c:pt idx="370">
                  <c:v>19.000000000000004</c:v>
                </c:pt>
                <c:pt idx="371">
                  <c:v>19.100000000000005</c:v>
                </c:pt>
                <c:pt idx="372">
                  <c:v>19.200000000000006</c:v>
                </c:pt>
                <c:pt idx="373">
                  <c:v>19.300000000000008</c:v>
                </c:pt>
                <c:pt idx="374">
                  <c:v>19.400000000000009</c:v>
                </c:pt>
                <c:pt idx="375">
                  <c:v>19.500000000000011</c:v>
                </c:pt>
                <c:pt idx="376">
                  <c:v>19.600000000000012</c:v>
                </c:pt>
                <c:pt idx="377">
                  <c:v>19.700000000000014</c:v>
                </c:pt>
                <c:pt idx="378">
                  <c:v>19.800000000000015</c:v>
                </c:pt>
                <c:pt idx="379">
                  <c:v>19.900000000000016</c:v>
                </c:pt>
                <c:pt idx="380">
                  <c:v>20.000000000000018</c:v>
                </c:pt>
                <c:pt idx="381">
                  <c:v>20.100000000000019</c:v>
                </c:pt>
                <c:pt idx="382">
                  <c:v>20.200000000000021</c:v>
                </c:pt>
                <c:pt idx="383">
                  <c:v>20.300000000000022</c:v>
                </c:pt>
                <c:pt idx="384">
                  <c:v>20.400000000000023</c:v>
                </c:pt>
                <c:pt idx="385">
                  <c:v>20.500000000000025</c:v>
                </c:pt>
                <c:pt idx="386">
                  <c:v>20.600000000000026</c:v>
                </c:pt>
                <c:pt idx="387">
                  <c:v>20.700000000000028</c:v>
                </c:pt>
                <c:pt idx="388">
                  <c:v>20.800000000000029</c:v>
                </c:pt>
                <c:pt idx="389">
                  <c:v>20.900000000000031</c:v>
                </c:pt>
                <c:pt idx="390">
                  <c:v>21.000000000000032</c:v>
                </c:pt>
                <c:pt idx="391">
                  <c:v>21.100000000000033</c:v>
                </c:pt>
                <c:pt idx="392">
                  <c:v>21.200000000000035</c:v>
                </c:pt>
                <c:pt idx="393">
                  <c:v>21.300000000000036</c:v>
                </c:pt>
                <c:pt idx="394">
                  <c:v>21.400000000000038</c:v>
                </c:pt>
                <c:pt idx="395">
                  <c:v>21.500000000000039</c:v>
                </c:pt>
                <c:pt idx="396">
                  <c:v>21.600000000000041</c:v>
                </c:pt>
                <c:pt idx="397">
                  <c:v>21.700000000000042</c:v>
                </c:pt>
                <c:pt idx="398">
                  <c:v>21.800000000000043</c:v>
                </c:pt>
                <c:pt idx="399">
                  <c:v>21.900000000000045</c:v>
                </c:pt>
                <c:pt idx="400">
                  <c:v>22.000000000000046</c:v>
                </c:pt>
                <c:pt idx="401">
                  <c:v>22.100000000000048</c:v>
                </c:pt>
                <c:pt idx="402">
                  <c:v>22.200000000000049</c:v>
                </c:pt>
                <c:pt idx="403">
                  <c:v>22.30000000000005</c:v>
                </c:pt>
                <c:pt idx="404">
                  <c:v>22.400000000000052</c:v>
                </c:pt>
                <c:pt idx="405">
                  <c:v>22.500000000000053</c:v>
                </c:pt>
                <c:pt idx="406">
                  <c:v>22.600000000000055</c:v>
                </c:pt>
                <c:pt idx="407">
                  <c:v>22.700000000000056</c:v>
                </c:pt>
                <c:pt idx="408">
                  <c:v>22.800000000000058</c:v>
                </c:pt>
                <c:pt idx="409">
                  <c:v>22.900000000000059</c:v>
                </c:pt>
                <c:pt idx="410">
                  <c:v>23.00000000000006</c:v>
                </c:pt>
                <c:pt idx="411">
                  <c:v>23.100000000000062</c:v>
                </c:pt>
                <c:pt idx="412">
                  <c:v>23.200000000000063</c:v>
                </c:pt>
                <c:pt idx="413">
                  <c:v>23.300000000000065</c:v>
                </c:pt>
                <c:pt idx="414">
                  <c:v>23.400000000000066</c:v>
                </c:pt>
                <c:pt idx="415">
                  <c:v>23.500000000000068</c:v>
                </c:pt>
                <c:pt idx="416">
                  <c:v>23.600000000000069</c:v>
                </c:pt>
                <c:pt idx="417">
                  <c:v>23.70000000000007</c:v>
                </c:pt>
                <c:pt idx="418">
                  <c:v>23.800000000000072</c:v>
                </c:pt>
                <c:pt idx="419">
                  <c:v>23.900000000000073</c:v>
                </c:pt>
                <c:pt idx="420">
                  <c:v>24.000000000000075</c:v>
                </c:pt>
                <c:pt idx="421">
                  <c:v>24.100000000000076</c:v>
                </c:pt>
                <c:pt idx="422">
                  <c:v>24.200000000000077</c:v>
                </c:pt>
                <c:pt idx="423">
                  <c:v>24.300000000000079</c:v>
                </c:pt>
                <c:pt idx="424">
                  <c:v>24.40000000000008</c:v>
                </c:pt>
                <c:pt idx="425">
                  <c:v>24.500000000000082</c:v>
                </c:pt>
                <c:pt idx="426">
                  <c:v>24.600000000000083</c:v>
                </c:pt>
                <c:pt idx="427">
                  <c:v>24.700000000000085</c:v>
                </c:pt>
                <c:pt idx="428">
                  <c:v>24.800000000000086</c:v>
                </c:pt>
                <c:pt idx="429">
                  <c:v>24.900000000000087</c:v>
                </c:pt>
                <c:pt idx="430">
                  <c:v>25.000000000000089</c:v>
                </c:pt>
                <c:pt idx="431">
                  <c:v>25.10000000000009</c:v>
                </c:pt>
                <c:pt idx="432">
                  <c:v>25.200000000000092</c:v>
                </c:pt>
                <c:pt idx="433">
                  <c:v>25.300000000000093</c:v>
                </c:pt>
                <c:pt idx="434">
                  <c:v>25.400000000000095</c:v>
                </c:pt>
                <c:pt idx="435">
                  <c:v>25.500000000000096</c:v>
                </c:pt>
                <c:pt idx="436">
                  <c:v>25.600000000000097</c:v>
                </c:pt>
                <c:pt idx="437">
                  <c:v>25.700000000000099</c:v>
                </c:pt>
                <c:pt idx="438">
                  <c:v>25.8000000000001</c:v>
                </c:pt>
                <c:pt idx="439">
                  <c:v>25.900000000000102</c:v>
                </c:pt>
                <c:pt idx="440">
                  <c:v>26.000000000000103</c:v>
                </c:pt>
                <c:pt idx="441">
                  <c:v>26.100000000000104</c:v>
                </c:pt>
                <c:pt idx="442">
                  <c:v>26.200000000000106</c:v>
                </c:pt>
                <c:pt idx="443">
                  <c:v>26.300000000000107</c:v>
                </c:pt>
                <c:pt idx="444">
                  <c:v>26.400000000000109</c:v>
                </c:pt>
                <c:pt idx="445">
                  <c:v>26.50000000000011</c:v>
                </c:pt>
                <c:pt idx="446">
                  <c:v>26.600000000000112</c:v>
                </c:pt>
                <c:pt idx="447">
                  <c:v>26.700000000000113</c:v>
                </c:pt>
                <c:pt idx="448">
                  <c:v>26.800000000000114</c:v>
                </c:pt>
                <c:pt idx="449">
                  <c:v>26.900000000000116</c:v>
                </c:pt>
                <c:pt idx="450">
                  <c:v>27.000000000000117</c:v>
                </c:pt>
                <c:pt idx="451">
                  <c:v>27.100000000000119</c:v>
                </c:pt>
                <c:pt idx="452">
                  <c:v>27.20000000000012</c:v>
                </c:pt>
                <c:pt idx="453">
                  <c:v>27.300000000000122</c:v>
                </c:pt>
                <c:pt idx="454">
                  <c:v>27.400000000000123</c:v>
                </c:pt>
                <c:pt idx="455">
                  <c:v>27.500000000000124</c:v>
                </c:pt>
                <c:pt idx="456">
                  <c:v>27.600000000000126</c:v>
                </c:pt>
                <c:pt idx="457">
                  <c:v>27.700000000000127</c:v>
                </c:pt>
                <c:pt idx="458">
                  <c:v>27.800000000000129</c:v>
                </c:pt>
                <c:pt idx="459">
                  <c:v>27.90000000000013</c:v>
                </c:pt>
                <c:pt idx="460">
                  <c:v>28.000000000000131</c:v>
                </c:pt>
                <c:pt idx="461">
                  <c:v>28.100000000000133</c:v>
                </c:pt>
                <c:pt idx="462">
                  <c:v>28.200000000000134</c:v>
                </c:pt>
                <c:pt idx="463">
                  <c:v>28.300000000000136</c:v>
                </c:pt>
                <c:pt idx="464">
                  <c:v>28.400000000000137</c:v>
                </c:pt>
                <c:pt idx="465">
                  <c:v>28.500000000000139</c:v>
                </c:pt>
                <c:pt idx="466">
                  <c:v>28.60000000000014</c:v>
                </c:pt>
                <c:pt idx="467">
                  <c:v>28.700000000000141</c:v>
                </c:pt>
                <c:pt idx="468">
                  <c:v>28.800000000000143</c:v>
                </c:pt>
                <c:pt idx="469">
                  <c:v>28.900000000000144</c:v>
                </c:pt>
                <c:pt idx="470">
                  <c:v>29.000000000000146</c:v>
                </c:pt>
                <c:pt idx="471">
                  <c:v>29.100000000000147</c:v>
                </c:pt>
                <c:pt idx="472">
                  <c:v>29.200000000000149</c:v>
                </c:pt>
                <c:pt idx="473">
                  <c:v>29.30000000000015</c:v>
                </c:pt>
                <c:pt idx="474">
                  <c:v>29.400000000000151</c:v>
                </c:pt>
                <c:pt idx="475">
                  <c:v>29.500000000000153</c:v>
                </c:pt>
                <c:pt idx="476">
                  <c:v>29.600000000000154</c:v>
                </c:pt>
                <c:pt idx="477">
                  <c:v>29.700000000000156</c:v>
                </c:pt>
                <c:pt idx="478">
                  <c:v>29.800000000000157</c:v>
                </c:pt>
                <c:pt idx="479">
                  <c:v>29.900000000000158</c:v>
                </c:pt>
                <c:pt idx="480">
                  <c:v>30.00000000000016</c:v>
                </c:pt>
                <c:pt idx="481">
                  <c:v>30.100000000000161</c:v>
                </c:pt>
                <c:pt idx="482">
                  <c:v>30.200000000000163</c:v>
                </c:pt>
                <c:pt idx="483">
                  <c:v>30.300000000000164</c:v>
                </c:pt>
                <c:pt idx="484">
                  <c:v>30.400000000000166</c:v>
                </c:pt>
                <c:pt idx="485">
                  <c:v>30.500000000000167</c:v>
                </c:pt>
                <c:pt idx="486">
                  <c:v>30.600000000000168</c:v>
                </c:pt>
                <c:pt idx="487">
                  <c:v>30.70000000000017</c:v>
                </c:pt>
                <c:pt idx="488">
                  <c:v>30.800000000000171</c:v>
                </c:pt>
                <c:pt idx="489">
                  <c:v>30.900000000000173</c:v>
                </c:pt>
                <c:pt idx="490">
                  <c:v>31.000000000000174</c:v>
                </c:pt>
                <c:pt idx="491">
                  <c:v>31.100000000000176</c:v>
                </c:pt>
                <c:pt idx="492">
                  <c:v>31.200000000000177</c:v>
                </c:pt>
                <c:pt idx="493">
                  <c:v>31.300000000000178</c:v>
                </c:pt>
                <c:pt idx="494">
                  <c:v>31.40000000000018</c:v>
                </c:pt>
                <c:pt idx="495">
                  <c:v>31.500000000000181</c:v>
                </c:pt>
                <c:pt idx="496">
                  <c:v>31.600000000000183</c:v>
                </c:pt>
                <c:pt idx="497">
                  <c:v>31.700000000000184</c:v>
                </c:pt>
                <c:pt idx="498">
                  <c:v>31.800000000000185</c:v>
                </c:pt>
                <c:pt idx="499">
                  <c:v>31.900000000000187</c:v>
                </c:pt>
                <c:pt idx="500">
                  <c:v>32.000000000000185</c:v>
                </c:pt>
                <c:pt idx="501">
                  <c:v>32.100000000000186</c:v>
                </c:pt>
                <c:pt idx="502">
                  <c:v>32.200000000000188</c:v>
                </c:pt>
                <c:pt idx="503">
                  <c:v>32.300000000000189</c:v>
                </c:pt>
                <c:pt idx="504">
                  <c:v>32.40000000000019</c:v>
                </c:pt>
                <c:pt idx="505">
                  <c:v>32.500000000000192</c:v>
                </c:pt>
                <c:pt idx="506">
                  <c:v>32.600000000000193</c:v>
                </c:pt>
                <c:pt idx="507">
                  <c:v>32.700000000000195</c:v>
                </c:pt>
                <c:pt idx="508">
                  <c:v>32.800000000000196</c:v>
                </c:pt>
                <c:pt idx="509">
                  <c:v>32.900000000000198</c:v>
                </c:pt>
                <c:pt idx="510">
                  <c:v>33.000000000000199</c:v>
                </c:pt>
                <c:pt idx="511">
                  <c:v>33.1000000000002</c:v>
                </c:pt>
                <c:pt idx="512">
                  <c:v>33.200000000000202</c:v>
                </c:pt>
                <c:pt idx="513">
                  <c:v>33.300000000000203</c:v>
                </c:pt>
                <c:pt idx="514">
                  <c:v>33.400000000000205</c:v>
                </c:pt>
                <c:pt idx="515">
                  <c:v>33.500000000000206</c:v>
                </c:pt>
                <c:pt idx="516">
                  <c:v>33.600000000000207</c:v>
                </c:pt>
                <c:pt idx="517">
                  <c:v>33.700000000000209</c:v>
                </c:pt>
                <c:pt idx="518">
                  <c:v>33.80000000000021</c:v>
                </c:pt>
                <c:pt idx="519">
                  <c:v>33.900000000000212</c:v>
                </c:pt>
                <c:pt idx="520">
                  <c:v>34.000000000000213</c:v>
                </c:pt>
                <c:pt idx="521">
                  <c:v>34.100000000000215</c:v>
                </c:pt>
                <c:pt idx="522">
                  <c:v>34.200000000000216</c:v>
                </c:pt>
                <c:pt idx="523">
                  <c:v>34.300000000000217</c:v>
                </c:pt>
                <c:pt idx="524">
                  <c:v>34.400000000000219</c:v>
                </c:pt>
                <c:pt idx="525">
                  <c:v>34.50000000000022</c:v>
                </c:pt>
                <c:pt idx="526">
                  <c:v>34.600000000000222</c:v>
                </c:pt>
                <c:pt idx="527">
                  <c:v>34.700000000000223</c:v>
                </c:pt>
                <c:pt idx="528">
                  <c:v>34.800000000000225</c:v>
                </c:pt>
                <c:pt idx="529">
                  <c:v>34.900000000000226</c:v>
                </c:pt>
                <c:pt idx="530">
                  <c:v>35.000000000000227</c:v>
                </c:pt>
                <c:pt idx="531">
                  <c:v>35.100000000000229</c:v>
                </c:pt>
                <c:pt idx="532">
                  <c:v>35.20000000000023</c:v>
                </c:pt>
                <c:pt idx="533">
                  <c:v>35.300000000000232</c:v>
                </c:pt>
                <c:pt idx="534">
                  <c:v>35.400000000000233</c:v>
                </c:pt>
                <c:pt idx="535">
                  <c:v>35.500000000000234</c:v>
                </c:pt>
                <c:pt idx="536">
                  <c:v>35.600000000000236</c:v>
                </c:pt>
                <c:pt idx="537">
                  <c:v>35.700000000000237</c:v>
                </c:pt>
                <c:pt idx="538">
                  <c:v>35.800000000000239</c:v>
                </c:pt>
                <c:pt idx="539">
                  <c:v>35.90000000000024</c:v>
                </c:pt>
                <c:pt idx="540">
                  <c:v>36.000000000000242</c:v>
                </c:pt>
                <c:pt idx="541">
                  <c:v>36.100000000000243</c:v>
                </c:pt>
                <c:pt idx="542">
                  <c:v>36.200000000000244</c:v>
                </c:pt>
                <c:pt idx="543">
                  <c:v>36.300000000000246</c:v>
                </c:pt>
                <c:pt idx="544">
                  <c:v>36.400000000000247</c:v>
                </c:pt>
                <c:pt idx="545">
                  <c:v>36.500000000000249</c:v>
                </c:pt>
                <c:pt idx="546">
                  <c:v>36.60000000000025</c:v>
                </c:pt>
                <c:pt idx="547">
                  <c:v>36.700000000000252</c:v>
                </c:pt>
                <c:pt idx="548">
                  <c:v>36.700100000000255</c:v>
                </c:pt>
                <c:pt idx="549">
                  <c:v>36.700200000000258</c:v>
                </c:pt>
                <c:pt idx="550">
                  <c:v>36.700300000000261</c:v>
                </c:pt>
                <c:pt idx="551">
                  <c:v>36.700400000000265</c:v>
                </c:pt>
                <c:pt idx="552">
                  <c:v>36.700500000000268</c:v>
                </c:pt>
                <c:pt idx="553">
                  <c:v>36.700600000000271</c:v>
                </c:pt>
                <c:pt idx="554">
                  <c:v>36.700700000000275</c:v>
                </c:pt>
                <c:pt idx="555">
                  <c:v>36.700800000000278</c:v>
                </c:pt>
                <c:pt idx="556">
                  <c:v>36.700900000000281</c:v>
                </c:pt>
                <c:pt idx="557">
                  <c:v>36.701000000000285</c:v>
                </c:pt>
                <c:pt idx="558">
                  <c:v>36.701100000000288</c:v>
                </c:pt>
                <c:pt idx="559">
                  <c:v>36.701200000000291</c:v>
                </c:pt>
                <c:pt idx="560">
                  <c:v>36.701300000000295</c:v>
                </c:pt>
                <c:pt idx="561">
                  <c:v>36.701400000000298</c:v>
                </c:pt>
                <c:pt idx="562">
                  <c:v>36.701500000000301</c:v>
                </c:pt>
                <c:pt idx="563">
                  <c:v>36.701600000000305</c:v>
                </c:pt>
                <c:pt idx="564">
                  <c:v>36.701700000000308</c:v>
                </c:pt>
                <c:pt idx="565">
                  <c:v>36.701800000000311</c:v>
                </c:pt>
                <c:pt idx="566">
                  <c:v>36.701900000000315</c:v>
                </c:pt>
                <c:pt idx="567">
                  <c:v>36.702000000000318</c:v>
                </c:pt>
                <c:pt idx="568">
                  <c:v>36.702100000000321</c:v>
                </c:pt>
                <c:pt idx="569">
                  <c:v>36.702200000000325</c:v>
                </c:pt>
                <c:pt idx="570">
                  <c:v>36.702300000000328</c:v>
                </c:pt>
                <c:pt idx="571">
                  <c:v>36.702400000000331</c:v>
                </c:pt>
                <c:pt idx="572">
                  <c:v>36.702500000000335</c:v>
                </c:pt>
                <c:pt idx="573">
                  <c:v>36.702600000000338</c:v>
                </c:pt>
                <c:pt idx="574">
                  <c:v>36.702700000000341</c:v>
                </c:pt>
                <c:pt idx="575">
                  <c:v>36.702800000000344</c:v>
                </c:pt>
                <c:pt idx="576">
                  <c:v>36.702900000000348</c:v>
                </c:pt>
                <c:pt idx="577">
                  <c:v>36.703000000000351</c:v>
                </c:pt>
                <c:pt idx="578">
                  <c:v>36.703100000000354</c:v>
                </c:pt>
                <c:pt idx="579">
                  <c:v>36.703200000000358</c:v>
                </c:pt>
                <c:pt idx="580">
                  <c:v>36.703300000000361</c:v>
                </c:pt>
                <c:pt idx="581">
                  <c:v>36.703400000000364</c:v>
                </c:pt>
                <c:pt idx="582">
                  <c:v>36.703500000000368</c:v>
                </c:pt>
                <c:pt idx="583">
                  <c:v>36.703600000000371</c:v>
                </c:pt>
                <c:pt idx="584">
                  <c:v>36.703700000000374</c:v>
                </c:pt>
                <c:pt idx="585">
                  <c:v>36.703800000000378</c:v>
                </c:pt>
                <c:pt idx="586">
                  <c:v>36.703900000000381</c:v>
                </c:pt>
                <c:pt idx="587">
                  <c:v>36.704000000000384</c:v>
                </c:pt>
                <c:pt idx="588">
                  <c:v>36.704100000000388</c:v>
                </c:pt>
                <c:pt idx="589">
                  <c:v>36.704200000000391</c:v>
                </c:pt>
                <c:pt idx="590">
                  <c:v>36.704300000000394</c:v>
                </c:pt>
                <c:pt idx="591">
                  <c:v>36.704400000000398</c:v>
                </c:pt>
                <c:pt idx="592">
                  <c:v>36.704500000000401</c:v>
                </c:pt>
                <c:pt idx="593">
                  <c:v>36.704600000000404</c:v>
                </c:pt>
                <c:pt idx="594">
                  <c:v>36.704700000000408</c:v>
                </c:pt>
                <c:pt idx="595">
                  <c:v>36.704800000000411</c:v>
                </c:pt>
                <c:pt idx="596">
                  <c:v>36.704900000000414</c:v>
                </c:pt>
                <c:pt idx="597">
                  <c:v>36.705000000000418</c:v>
                </c:pt>
                <c:pt idx="598">
                  <c:v>36.705100000000421</c:v>
                </c:pt>
                <c:pt idx="599">
                  <c:v>36.705200000000424</c:v>
                </c:pt>
                <c:pt idx="600">
                  <c:v>36.705300000000427</c:v>
                </c:pt>
                <c:pt idx="601">
                  <c:v>36.705400000000431</c:v>
                </c:pt>
                <c:pt idx="602">
                  <c:v>36.705500000000434</c:v>
                </c:pt>
                <c:pt idx="603">
                  <c:v>36.705600000000437</c:v>
                </c:pt>
                <c:pt idx="604">
                  <c:v>36.705700000000441</c:v>
                </c:pt>
                <c:pt idx="605">
                  <c:v>36.705800000000444</c:v>
                </c:pt>
                <c:pt idx="606">
                  <c:v>36.705900000000447</c:v>
                </c:pt>
                <c:pt idx="607">
                  <c:v>36.706000000000451</c:v>
                </c:pt>
                <c:pt idx="608">
                  <c:v>36.706100000000454</c:v>
                </c:pt>
                <c:pt idx="609">
                  <c:v>36.706200000000457</c:v>
                </c:pt>
                <c:pt idx="610">
                  <c:v>36.706300000000461</c:v>
                </c:pt>
                <c:pt idx="611">
                  <c:v>36.706400000000464</c:v>
                </c:pt>
                <c:pt idx="612">
                  <c:v>36.706500000000467</c:v>
                </c:pt>
                <c:pt idx="613">
                  <c:v>36.706600000000471</c:v>
                </c:pt>
                <c:pt idx="614">
                  <c:v>36.706700000000474</c:v>
                </c:pt>
                <c:pt idx="615">
                  <c:v>36.706800000000477</c:v>
                </c:pt>
                <c:pt idx="616">
                  <c:v>36.706900000000481</c:v>
                </c:pt>
                <c:pt idx="617">
                  <c:v>36.707000000000484</c:v>
                </c:pt>
                <c:pt idx="618">
                  <c:v>36.707100000000487</c:v>
                </c:pt>
                <c:pt idx="619">
                  <c:v>36.707200000000491</c:v>
                </c:pt>
                <c:pt idx="620">
                  <c:v>36.707300000000494</c:v>
                </c:pt>
                <c:pt idx="621">
                  <c:v>36.707400000000497</c:v>
                </c:pt>
                <c:pt idx="622">
                  <c:v>36.707500000000501</c:v>
                </c:pt>
                <c:pt idx="623">
                  <c:v>36.707600000000504</c:v>
                </c:pt>
                <c:pt idx="624">
                  <c:v>36.707700000000507</c:v>
                </c:pt>
                <c:pt idx="625">
                  <c:v>36.70780000000051</c:v>
                </c:pt>
                <c:pt idx="626">
                  <c:v>36.707900000000514</c:v>
                </c:pt>
                <c:pt idx="627">
                  <c:v>36.708000000000517</c:v>
                </c:pt>
                <c:pt idx="628">
                  <c:v>36.70810000000052</c:v>
                </c:pt>
                <c:pt idx="629">
                  <c:v>36.708200000000524</c:v>
                </c:pt>
                <c:pt idx="630">
                  <c:v>36.708300000000527</c:v>
                </c:pt>
                <c:pt idx="631">
                  <c:v>36.70840000000053</c:v>
                </c:pt>
                <c:pt idx="632">
                  <c:v>36.708500000000534</c:v>
                </c:pt>
                <c:pt idx="633">
                  <c:v>36.708600000000537</c:v>
                </c:pt>
                <c:pt idx="634">
                  <c:v>36.70870000000054</c:v>
                </c:pt>
                <c:pt idx="635">
                  <c:v>36.708800000000544</c:v>
                </c:pt>
                <c:pt idx="636">
                  <c:v>36.708900000000547</c:v>
                </c:pt>
                <c:pt idx="637">
                  <c:v>36.70900000000055</c:v>
                </c:pt>
                <c:pt idx="638">
                  <c:v>36.709100000000554</c:v>
                </c:pt>
                <c:pt idx="639">
                  <c:v>36.709200000000557</c:v>
                </c:pt>
                <c:pt idx="640">
                  <c:v>36.70930000000056</c:v>
                </c:pt>
                <c:pt idx="641">
                  <c:v>36.709400000000564</c:v>
                </c:pt>
                <c:pt idx="642">
                  <c:v>36.709500000000567</c:v>
                </c:pt>
                <c:pt idx="643">
                  <c:v>36.70960000000057</c:v>
                </c:pt>
                <c:pt idx="644">
                  <c:v>36.709700000000574</c:v>
                </c:pt>
                <c:pt idx="645">
                  <c:v>36.709800000000577</c:v>
                </c:pt>
                <c:pt idx="646">
                  <c:v>36.70990000000058</c:v>
                </c:pt>
                <c:pt idx="647">
                  <c:v>36.710000000000583</c:v>
                </c:pt>
                <c:pt idx="648">
                  <c:v>36.710100000000587</c:v>
                </c:pt>
                <c:pt idx="649">
                  <c:v>36.71020000000059</c:v>
                </c:pt>
                <c:pt idx="650">
                  <c:v>36.710300000000593</c:v>
                </c:pt>
                <c:pt idx="651">
                  <c:v>36.710400000000597</c:v>
                </c:pt>
                <c:pt idx="652">
                  <c:v>36.7105000000006</c:v>
                </c:pt>
                <c:pt idx="653">
                  <c:v>36.710600000000603</c:v>
                </c:pt>
                <c:pt idx="654">
                  <c:v>36.710700000000607</c:v>
                </c:pt>
                <c:pt idx="655">
                  <c:v>36.71080000000061</c:v>
                </c:pt>
                <c:pt idx="656">
                  <c:v>36.710900000000613</c:v>
                </c:pt>
                <c:pt idx="657">
                  <c:v>36.711000000000617</c:v>
                </c:pt>
                <c:pt idx="658">
                  <c:v>36.71110000000062</c:v>
                </c:pt>
                <c:pt idx="659">
                  <c:v>36.711200000000623</c:v>
                </c:pt>
                <c:pt idx="660">
                  <c:v>36.711300000000627</c:v>
                </c:pt>
                <c:pt idx="661">
                  <c:v>36.71140000000063</c:v>
                </c:pt>
                <c:pt idx="662">
                  <c:v>36.711500000000633</c:v>
                </c:pt>
                <c:pt idx="663">
                  <c:v>36.711600000000637</c:v>
                </c:pt>
                <c:pt idx="664">
                  <c:v>36.71170000000064</c:v>
                </c:pt>
                <c:pt idx="665">
                  <c:v>36.711800000000643</c:v>
                </c:pt>
                <c:pt idx="666">
                  <c:v>36.711900000000647</c:v>
                </c:pt>
                <c:pt idx="667">
                  <c:v>36.71200000000065</c:v>
                </c:pt>
                <c:pt idx="668">
                  <c:v>36.712100000000653</c:v>
                </c:pt>
                <c:pt idx="669">
                  <c:v>36.712200000000657</c:v>
                </c:pt>
                <c:pt idx="670">
                  <c:v>36.71230000000066</c:v>
                </c:pt>
                <c:pt idx="671">
                  <c:v>36.712400000000663</c:v>
                </c:pt>
                <c:pt idx="672">
                  <c:v>36.712500000000666</c:v>
                </c:pt>
                <c:pt idx="673">
                  <c:v>36.71260000000067</c:v>
                </c:pt>
                <c:pt idx="674">
                  <c:v>36.712700000000673</c:v>
                </c:pt>
                <c:pt idx="675">
                  <c:v>36.712800000000676</c:v>
                </c:pt>
                <c:pt idx="676">
                  <c:v>36.71290000000068</c:v>
                </c:pt>
                <c:pt idx="677">
                  <c:v>36.713000000000683</c:v>
                </c:pt>
                <c:pt idx="678">
                  <c:v>36.713100000000686</c:v>
                </c:pt>
                <c:pt idx="679">
                  <c:v>36.71320000000069</c:v>
                </c:pt>
                <c:pt idx="680">
                  <c:v>36.713300000000693</c:v>
                </c:pt>
                <c:pt idx="681">
                  <c:v>36.713400000000696</c:v>
                </c:pt>
                <c:pt idx="682">
                  <c:v>36.7135000000007</c:v>
                </c:pt>
                <c:pt idx="683">
                  <c:v>36.713600000000703</c:v>
                </c:pt>
                <c:pt idx="684">
                  <c:v>36.713700000000706</c:v>
                </c:pt>
                <c:pt idx="685">
                  <c:v>36.71380000000071</c:v>
                </c:pt>
                <c:pt idx="686">
                  <c:v>36.713900000000713</c:v>
                </c:pt>
                <c:pt idx="687">
                  <c:v>36.714000000000716</c:v>
                </c:pt>
                <c:pt idx="688">
                  <c:v>36.71410000000072</c:v>
                </c:pt>
                <c:pt idx="689">
                  <c:v>36.714200000000723</c:v>
                </c:pt>
                <c:pt idx="690">
                  <c:v>36.714300000000726</c:v>
                </c:pt>
                <c:pt idx="691">
                  <c:v>36.71440000000073</c:v>
                </c:pt>
                <c:pt idx="692">
                  <c:v>36.714500000000733</c:v>
                </c:pt>
                <c:pt idx="693">
                  <c:v>36.714600000000736</c:v>
                </c:pt>
                <c:pt idx="694">
                  <c:v>36.71470000000074</c:v>
                </c:pt>
                <c:pt idx="695">
                  <c:v>36.714800000000743</c:v>
                </c:pt>
                <c:pt idx="696">
                  <c:v>36.714900000000746</c:v>
                </c:pt>
                <c:pt idx="697">
                  <c:v>36.715000000000749</c:v>
                </c:pt>
                <c:pt idx="698">
                  <c:v>36.715100000000753</c:v>
                </c:pt>
                <c:pt idx="699">
                  <c:v>36.715200000000756</c:v>
                </c:pt>
                <c:pt idx="700">
                  <c:v>36.715300000000759</c:v>
                </c:pt>
                <c:pt idx="701">
                  <c:v>36.715400000000763</c:v>
                </c:pt>
                <c:pt idx="702">
                  <c:v>36.715500000000766</c:v>
                </c:pt>
                <c:pt idx="703">
                  <c:v>36.715600000000769</c:v>
                </c:pt>
                <c:pt idx="704">
                  <c:v>36.715700000000773</c:v>
                </c:pt>
                <c:pt idx="705">
                  <c:v>36.715800000000776</c:v>
                </c:pt>
                <c:pt idx="706">
                  <c:v>36.715900000000779</c:v>
                </c:pt>
                <c:pt idx="707">
                  <c:v>36.716000000000783</c:v>
                </c:pt>
                <c:pt idx="708">
                  <c:v>36.716100000000786</c:v>
                </c:pt>
                <c:pt idx="709">
                  <c:v>36.716200000000789</c:v>
                </c:pt>
                <c:pt idx="710">
                  <c:v>36.716300000000793</c:v>
                </c:pt>
                <c:pt idx="711">
                  <c:v>36.716400000000796</c:v>
                </c:pt>
                <c:pt idx="712">
                  <c:v>36.716500000000799</c:v>
                </c:pt>
                <c:pt idx="713">
                  <c:v>36.716600000000803</c:v>
                </c:pt>
                <c:pt idx="714">
                  <c:v>36.716700000000806</c:v>
                </c:pt>
                <c:pt idx="715">
                  <c:v>36.716800000000809</c:v>
                </c:pt>
                <c:pt idx="716">
                  <c:v>36.716900000000813</c:v>
                </c:pt>
                <c:pt idx="717">
                  <c:v>36.717000000000816</c:v>
                </c:pt>
                <c:pt idx="718">
                  <c:v>36.717100000000819</c:v>
                </c:pt>
                <c:pt idx="719">
                  <c:v>36.717200000000823</c:v>
                </c:pt>
                <c:pt idx="720">
                  <c:v>36.717300000000826</c:v>
                </c:pt>
                <c:pt idx="721">
                  <c:v>36.717400000000829</c:v>
                </c:pt>
                <c:pt idx="722">
                  <c:v>36.717500000000832</c:v>
                </c:pt>
                <c:pt idx="723">
                  <c:v>36.717600000000836</c:v>
                </c:pt>
                <c:pt idx="724">
                  <c:v>36.717700000000839</c:v>
                </c:pt>
                <c:pt idx="725">
                  <c:v>36.717800000000842</c:v>
                </c:pt>
                <c:pt idx="726">
                  <c:v>36.717900000000846</c:v>
                </c:pt>
                <c:pt idx="727">
                  <c:v>36.718000000000849</c:v>
                </c:pt>
                <c:pt idx="728">
                  <c:v>36.718100000000852</c:v>
                </c:pt>
                <c:pt idx="729">
                  <c:v>36.718200000000856</c:v>
                </c:pt>
                <c:pt idx="730">
                  <c:v>36.718300000000859</c:v>
                </c:pt>
                <c:pt idx="731">
                  <c:v>36.718400000000862</c:v>
                </c:pt>
                <c:pt idx="732">
                  <c:v>36.718500000000866</c:v>
                </c:pt>
                <c:pt idx="733">
                  <c:v>36.718600000000869</c:v>
                </c:pt>
                <c:pt idx="734">
                  <c:v>36.718700000000872</c:v>
                </c:pt>
                <c:pt idx="735">
                  <c:v>36.718800000000876</c:v>
                </c:pt>
                <c:pt idx="736">
                  <c:v>36.718900000000879</c:v>
                </c:pt>
                <c:pt idx="737">
                  <c:v>36.719000000000882</c:v>
                </c:pt>
                <c:pt idx="738">
                  <c:v>36.719100000000886</c:v>
                </c:pt>
                <c:pt idx="739">
                  <c:v>36.719200000000889</c:v>
                </c:pt>
                <c:pt idx="740">
                  <c:v>36.719300000000892</c:v>
                </c:pt>
                <c:pt idx="741">
                  <c:v>36.719400000000896</c:v>
                </c:pt>
                <c:pt idx="742">
                  <c:v>36.719500000000899</c:v>
                </c:pt>
                <c:pt idx="743">
                  <c:v>36.719600000000902</c:v>
                </c:pt>
                <c:pt idx="744">
                  <c:v>36.719700000000906</c:v>
                </c:pt>
                <c:pt idx="745">
                  <c:v>36.719800000000909</c:v>
                </c:pt>
                <c:pt idx="746">
                  <c:v>36.719900000000912</c:v>
                </c:pt>
                <c:pt idx="747">
                  <c:v>36.720000000000915</c:v>
                </c:pt>
                <c:pt idx="748">
                  <c:v>36.720100000000919</c:v>
                </c:pt>
                <c:pt idx="749">
                  <c:v>36.720200000000922</c:v>
                </c:pt>
                <c:pt idx="750">
                  <c:v>36.720300000000925</c:v>
                </c:pt>
                <c:pt idx="751">
                  <c:v>36.720400000000929</c:v>
                </c:pt>
                <c:pt idx="752">
                  <c:v>36.720500000000932</c:v>
                </c:pt>
                <c:pt idx="753">
                  <c:v>36.720600000000935</c:v>
                </c:pt>
                <c:pt idx="754">
                  <c:v>36.720700000000939</c:v>
                </c:pt>
                <c:pt idx="755">
                  <c:v>36.720800000000942</c:v>
                </c:pt>
                <c:pt idx="756">
                  <c:v>36.720900000000945</c:v>
                </c:pt>
                <c:pt idx="757">
                  <c:v>36.721000000000949</c:v>
                </c:pt>
                <c:pt idx="758">
                  <c:v>36.721100000000952</c:v>
                </c:pt>
                <c:pt idx="759">
                  <c:v>36.721200000000955</c:v>
                </c:pt>
                <c:pt idx="760">
                  <c:v>36.721300000000959</c:v>
                </c:pt>
                <c:pt idx="761">
                  <c:v>36.721400000000962</c:v>
                </c:pt>
                <c:pt idx="762">
                  <c:v>36.721500000000965</c:v>
                </c:pt>
                <c:pt idx="763">
                  <c:v>36.721600000000969</c:v>
                </c:pt>
                <c:pt idx="764">
                  <c:v>36.721700000000972</c:v>
                </c:pt>
                <c:pt idx="765">
                  <c:v>36.721800000000975</c:v>
                </c:pt>
                <c:pt idx="766">
                  <c:v>36.721900000000979</c:v>
                </c:pt>
                <c:pt idx="767">
                  <c:v>36.722000000000982</c:v>
                </c:pt>
                <c:pt idx="768">
                  <c:v>36.722100000000985</c:v>
                </c:pt>
                <c:pt idx="769">
                  <c:v>36.722200000000988</c:v>
                </c:pt>
                <c:pt idx="770">
                  <c:v>36.722300000000992</c:v>
                </c:pt>
                <c:pt idx="771">
                  <c:v>36.722400000000995</c:v>
                </c:pt>
                <c:pt idx="772">
                  <c:v>36.722500000000998</c:v>
                </c:pt>
                <c:pt idx="773">
                  <c:v>36.722600000001002</c:v>
                </c:pt>
                <c:pt idx="774">
                  <c:v>36.722700000001005</c:v>
                </c:pt>
                <c:pt idx="775">
                  <c:v>36.722800000001008</c:v>
                </c:pt>
                <c:pt idx="776">
                  <c:v>36.722900000001012</c:v>
                </c:pt>
                <c:pt idx="777">
                  <c:v>36.723000000001015</c:v>
                </c:pt>
                <c:pt idx="778">
                  <c:v>36.723100000001018</c:v>
                </c:pt>
                <c:pt idx="779">
                  <c:v>36.723200000001022</c:v>
                </c:pt>
                <c:pt idx="780">
                  <c:v>36.723300000001025</c:v>
                </c:pt>
                <c:pt idx="781">
                  <c:v>36.723400000001028</c:v>
                </c:pt>
                <c:pt idx="782">
                  <c:v>36.723500000001032</c:v>
                </c:pt>
                <c:pt idx="783">
                  <c:v>36.723600000001035</c:v>
                </c:pt>
                <c:pt idx="784">
                  <c:v>36.723700000001038</c:v>
                </c:pt>
                <c:pt idx="785">
                  <c:v>36.723800000001042</c:v>
                </c:pt>
                <c:pt idx="786">
                  <c:v>36.723900000001045</c:v>
                </c:pt>
                <c:pt idx="787">
                  <c:v>36.724000000001048</c:v>
                </c:pt>
                <c:pt idx="788">
                  <c:v>36.724100000001052</c:v>
                </c:pt>
                <c:pt idx="789">
                  <c:v>36.724200000001055</c:v>
                </c:pt>
                <c:pt idx="790">
                  <c:v>36.724300000001058</c:v>
                </c:pt>
                <c:pt idx="791">
                  <c:v>36.724400000001062</c:v>
                </c:pt>
                <c:pt idx="792">
                  <c:v>36.724500000001065</c:v>
                </c:pt>
                <c:pt idx="793">
                  <c:v>36.724600000001068</c:v>
                </c:pt>
                <c:pt idx="794">
                  <c:v>36.724700000001071</c:v>
                </c:pt>
                <c:pt idx="795">
                  <c:v>36.724800000001075</c:v>
                </c:pt>
                <c:pt idx="796">
                  <c:v>36.724900000001078</c:v>
                </c:pt>
                <c:pt idx="797">
                  <c:v>36.725000000001081</c:v>
                </c:pt>
                <c:pt idx="798">
                  <c:v>36.725100000001085</c:v>
                </c:pt>
                <c:pt idx="799">
                  <c:v>36.725200000001088</c:v>
                </c:pt>
                <c:pt idx="800">
                  <c:v>36.725300000001091</c:v>
                </c:pt>
                <c:pt idx="801">
                  <c:v>36.725400000001095</c:v>
                </c:pt>
                <c:pt idx="802">
                  <c:v>36.725500000001098</c:v>
                </c:pt>
                <c:pt idx="803">
                  <c:v>36.725600000001101</c:v>
                </c:pt>
                <c:pt idx="804">
                  <c:v>36.725700000001105</c:v>
                </c:pt>
                <c:pt idx="805">
                  <c:v>36.725800000001108</c:v>
                </c:pt>
                <c:pt idx="806">
                  <c:v>36.725900000001111</c:v>
                </c:pt>
                <c:pt idx="807">
                  <c:v>36.726000000001115</c:v>
                </c:pt>
                <c:pt idx="808">
                  <c:v>36.726100000001118</c:v>
                </c:pt>
                <c:pt idx="809">
                  <c:v>36.726200000001121</c:v>
                </c:pt>
                <c:pt idx="810">
                  <c:v>36.726300000001125</c:v>
                </c:pt>
                <c:pt idx="811">
                  <c:v>36.726400000001128</c:v>
                </c:pt>
                <c:pt idx="812">
                  <c:v>36.726500000001131</c:v>
                </c:pt>
                <c:pt idx="813">
                  <c:v>36.726600000001135</c:v>
                </c:pt>
                <c:pt idx="814">
                  <c:v>36.726700000001138</c:v>
                </c:pt>
                <c:pt idx="815">
                  <c:v>36.726800000001141</c:v>
                </c:pt>
                <c:pt idx="816">
                  <c:v>36.726900000001145</c:v>
                </c:pt>
                <c:pt idx="817">
                  <c:v>36.727000000001148</c:v>
                </c:pt>
                <c:pt idx="818">
                  <c:v>36.727100000001151</c:v>
                </c:pt>
                <c:pt idx="819">
                  <c:v>36.727200000001154</c:v>
                </c:pt>
                <c:pt idx="820">
                  <c:v>36.727300000001158</c:v>
                </c:pt>
                <c:pt idx="821">
                  <c:v>36.727400000001161</c:v>
                </c:pt>
                <c:pt idx="822">
                  <c:v>36.727500000001164</c:v>
                </c:pt>
                <c:pt idx="823">
                  <c:v>36.727600000001168</c:v>
                </c:pt>
                <c:pt idx="824">
                  <c:v>36.727700000001171</c:v>
                </c:pt>
                <c:pt idx="825">
                  <c:v>36.727800000001174</c:v>
                </c:pt>
                <c:pt idx="826">
                  <c:v>36.727900000001178</c:v>
                </c:pt>
                <c:pt idx="827">
                  <c:v>36.728000000001181</c:v>
                </c:pt>
                <c:pt idx="828">
                  <c:v>36.728100000001184</c:v>
                </c:pt>
                <c:pt idx="829">
                  <c:v>36.728200000001188</c:v>
                </c:pt>
                <c:pt idx="830">
                  <c:v>36.728300000001191</c:v>
                </c:pt>
                <c:pt idx="831">
                  <c:v>36.728400000001194</c:v>
                </c:pt>
                <c:pt idx="832">
                  <c:v>36.728500000001198</c:v>
                </c:pt>
                <c:pt idx="833">
                  <c:v>36.728600000001201</c:v>
                </c:pt>
                <c:pt idx="834">
                  <c:v>36.728700000001204</c:v>
                </c:pt>
                <c:pt idx="835">
                  <c:v>36.728800000001208</c:v>
                </c:pt>
                <c:pt idx="836">
                  <c:v>36.728900000001211</c:v>
                </c:pt>
                <c:pt idx="837">
                  <c:v>36.729000000001214</c:v>
                </c:pt>
                <c:pt idx="838">
                  <c:v>36.729100000001218</c:v>
                </c:pt>
                <c:pt idx="839">
                  <c:v>36.729200000001221</c:v>
                </c:pt>
                <c:pt idx="840">
                  <c:v>36.729300000001224</c:v>
                </c:pt>
                <c:pt idx="841">
                  <c:v>36.729400000001228</c:v>
                </c:pt>
                <c:pt idx="842">
                  <c:v>36.729500000001231</c:v>
                </c:pt>
                <c:pt idx="843">
                  <c:v>36.729600000001234</c:v>
                </c:pt>
                <c:pt idx="844">
                  <c:v>36.729700000001237</c:v>
                </c:pt>
                <c:pt idx="845">
                  <c:v>36.729800000001241</c:v>
                </c:pt>
                <c:pt idx="846">
                  <c:v>36.729900000001244</c:v>
                </c:pt>
                <c:pt idx="847">
                  <c:v>36.730000000001247</c:v>
                </c:pt>
                <c:pt idx="848">
                  <c:v>36.730100000001251</c:v>
                </c:pt>
                <c:pt idx="849">
                  <c:v>36.730200000001254</c:v>
                </c:pt>
                <c:pt idx="850">
                  <c:v>36.730300000001257</c:v>
                </c:pt>
                <c:pt idx="851">
                  <c:v>36.730400000001261</c:v>
                </c:pt>
                <c:pt idx="852">
                  <c:v>36.730500000001264</c:v>
                </c:pt>
                <c:pt idx="853">
                  <c:v>36.730600000001267</c:v>
                </c:pt>
                <c:pt idx="854">
                  <c:v>36.730700000001271</c:v>
                </c:pt>
                <c:pt idx="855">
                  <c:v>36.730800000001274</c:v>
                </c:pt>
                <c:pt idx="856">
                  <c:v>36.730900000001277</c:v>
                </c:pt>
                <c:pt idx="857">
                  <c:v>36.731000000001281</c:v>
                </c:pt>
                <c:pt idx="858">
                  <c:v>36.731100000001284</c:v>
                </c:pt>
                <c:pt idx="859">
                  <c:v>36.731200000001287</c:v>
                </c:pt>
                <c:pt idx="860">
                  <c:v>36.731300000001291</c:v>
                </c:pt>
                <c:pt idx="861">
                  <c:v>36.731400000001294</c:v>
                </c:pt>
                <c:pt idx="862">
                  <c:v>36.731500000001297</c:v>
                </c:pt>
                <c:pt idx="863">
                  <c:v>36.731600000001301</c:v>
                </c:pt>
                <c:pt idx="864">
                  <c:v>36.731700000001304</c:v>
                </c:pt>
                <c:pt idx="865">
                  <c:v>36.731800000001307</c:v>
                </c:pt>
                <c:pt idx="866">
                  <c:v>36.731900000001311</c:v>
                </c:pt>
                <c:pt idx="867">
                  <c:v>36.732000000001314</c:v>
                </c:pt>
                <c:pt idx="868">
                  <c:v>36.732100000001317</c:v>
                </c:pt>
                <c:pt idx="869">
                  <c:v>36.73220000000132</c:v>
                </c:pt>
                <c:pt idx="870">
                  <c:v>36.732300000001324</c:v>
                </c:pt>
                <c:pt idx="871">
                  <c:v>36.732400000001327</c:v>
                </c:pt>
                <c:pt idx="872">
                  <c:v>36.73250000000133</c:v>
                </c:pt>
                <c:pt idx="873">
                  <c:v>36.732600000001334</c:v>
                </c:pt>
                <c:pt idx="874">
                  <c:v>36.732700000001337</c:v>
                </c:pt>
                <c:pt idx="875">
                  <c:v>36.73280000000134</c:v>
                </c:pt>
                <c:pt idx="876">
                  <c:v>36.732900000001344</c:v>
                </c:pt>
                <c:pt idx="877">
                  <c:v>36.733000000001347</c:v>
                </c:pt>
                <c:pt idx="878">
                  <c:v>36.73310000000135</c:v>
                </c:pt>
                <c:pt idx="879">
                  <c:v>36.733200000001354</c:v>
                </c:pt>
                <c:pt idx="880">
                  <c:v>36.733300000001357</c:v>
                </c:pt>
                <c:pt idx="881">
                  <c:v>36.73340000000136</c:v>
                </c:pt>
                <c:pt idx="882">
                  <c:v>36.733500000001364</c:v>
                </c:pt>
                <c:pt idx="883">
                  <c:v>36.733600000001367</c:v>
                </c:pt>
                <c:pt idx="884">
                  <c:v>36.73370000000137</c:v>
                </c:pt>
                <c:pt idx="885">
                  <c:v>36.733800000001374</c:v>
                </c:pt>
                <c:pt idx="886">
                  <c:v>36.733900000001377</c:v>
                </c:pt>
                <c:pt idx="887">
                  <c:v>36.73400000000138</c:v>
                </c:pt>
                <c:pt idx="888">
                  <c:v>36.734100000001384</c:v>
                </c:pt>
                <c:pt idx="889">
                  <c:v>36.734200000001387</c:v>
                </c:pt>
                <c:pt idx="890">
                  <c:v>36.73430000000139</c:v>
                </c:pt>
                <c:pt idx="891">
                  <c:v>36.734400000001393</c:v>
                </c:pt>
                <c:pt idx="892">
                  <c:v>36.734500000001397</c:v>
                </c:pt>
                <c:pt idx="893">
                  <c:v>36.7346000000014</c:v>
                </c:pt>
                <c:pt idx="894">
                  <c:v>36.734700000001403</c:v>
                </c:pt>
                <c:pt idx="895">
                  <c:v>36.734800000001407</c:v>
                </c:pt>
                <c:pt idx="896">
                  <c:v>36.73490000000141</c:v>
                </c:pt>
                <c:pt idx="897">
                  <c:v>36.735000000001413</c:v>
                </c:pt>
                <c:pt idx="898">
                  <c:v>36.735100000001417</c:v>
                </c:pt>
                <c:pt idx="899">
                  <c:v>36.73520000000142</c:v>
                </c:pt>
                <c:pt idx="900">
                  <c:v>36.735300000001423</c:v>
                </c:pt>
                <c:pt idx="901">
                  <c:v>36.735400000001427</c:v>
                </c:pt>
                <c:pt idx="902">
                  <c:v>36.73550000000143</c:v>
                </c:pt>
                <c:pt idx="903">
                  <c:v>36.735600000001433</c:v>
                </c:pt>
                <c:pt idx="904">
                  <c:v>36.735700000001437</c:v>
                </c:pt>
                <c:pt idx="905">
                  <c:v>36.73580000000144</c:v>
                </c:pt>
                <c:pt idx="906">
                  <c:v>36.735900000001443</c:v>
                </c:pt>
                <c:pt idx="907">
                  <c:v>36.736000000001447</c:v>
                </c:pt>
                <c:pt idx="908">
                  <c:v>36.73610000000145</c:v>
                </c:pt>
                <c:pt idx="909">
                  <c:v>36.736200000001453</c:v>
                </c:pt>
                <c:pt idx="910">
                  <c:v>36.736300000001457</c:v>
                </c:pt>
                <c:pt idx="911">
                  <c:v>36.73640000000146</c:v>
                </c:pt>
                <c:pt idx="912">
                  <c:v>36.736500000001463</c:v>
                </c:pt>
                <c:pt idx="913">
                  <c:v>36.736600000001467</c:v>
                </c:pt>
                <c:pt idx="914">
                  <c:v>36.73670000000147</c:v>
                </c:pt>
                <c:pt idx="915">
                  <c:v>36.736800000001473</c:v>
                </c:pt>
                <c:pt idx="916">
                  <c:v>36.736900000001476</c:v>
                </c:pt>
                <c:pt idx="917">
                  <c:v>36.73700000000148</c:v>
                </c:pt>
                <c:pt idx="918">
                  <c:v>36.737100000001483</c:v>
                </c:pt>
                <c:pt idx="919">
                  <c:v>36.737200000001486</c:v>
                </c:pt>
                <c:pt idx="920">
                  <c:v>36.73730000000149</c:v>
                </c:pt>
                <c:pt idx="921">
                  <c:v>36.737400000001493</c:v>
                </c:pt>
                <c:pt idx="922">
                  <c:v>36.737500000001496</c:v>
                </c:pt>
                <c:pt idx="923">
                  <c:v>36.7376000000015</c:v>
                </c:pt>
                <c:pt idx="924">
                  <c:v>36.737700000001503</c:v>
                </c:pt>
                <c:pt idx="925">
                  <c:v>36.737800000001506</c:v>
                </c:pt>
                <c:pt idx="926">
                  <c:v>36.73790000000151</c:v>
                </c:pt>
                <c:pt idx="927">
                  <c:v>36.738000000001513</c:v>
                </c:pt>
                <c:pt idx="928">
                  <c:v>36.738100000001516</c:v>
                </c:pt>
                <c:pt idx="929">
                  <c:v>36.73820000000152</c:v>
                </c:pt>
                <c:pt idx="930">
                  <c:v>36.738300000001523</c:v>
                </c:pt>
                <c:pt idx="931">
                  <c:v>36.738400000001526</c:v>
                </c:pt>
                <c:pt idx="932">
                  <c:v>36.73850000000153</c:v>
                </c:pt>
                <c:pt idx="933">
                  <c:v>36.738600000001533</c:v>
                </c:pt>
                <c:pt idx="934">
                  <c:v>36.738700000001536</c:v>
                </c:pt>
                <c:pt idx="935">
                  <c:v>36.73880000000154</c:v>
                </c:pt>
                <c:pt idx="936">
                  <c:v>36.738900000001543</c:v>
                </c:pt>
                <c:pt idx="937">
                  <c:v>36.739000000001546</c:v>
                </c:pt>
                <c:pt idx="938">
                  <c:v>36.73910000000155</c:v>
                </c:pt>
                <c:pt idx="939">
                  <c:v>36.739200000001553</c:v>
                </c:pt>
                <c:pt idx="940">
                  <c:v>36.739300000001556</c:v>
                </c:pt>
                <c:pt idx="941">
                  <c:v>36.739400000001559</c:v>
                </c:pt>
                <c:pt idx="942">
                  <c:v>36.739500000001563</c:v>
                </c:pt>
                <c:pt idx="943">
                  <c:v>36.739600000001566</c:v>
                </c:pt>
                <c:pt idx="944">
                  <c:v>36.739700000001569</c:v>
                </c:pt>
                <c:pt idx="945">
                  <c:v>36.739800000001573</c:v>
                </c:pt>
                <c:pt idx="946">
                  <c:v>36.739900000001576</c:v>
                </c:pt>
                <c:pt idx="947">
                  <c:v>36.740000000001579</c:v>
                </c:pt>
                <c:pt idx="948">
                  <c:v>36.740100000001583</c:v>
                </c:pt>
                <c:pt idx="949">
                  <c:v>36.740200000001586</c:v>
                </c:pt>
                <c:pt idx="950">
                  <c:v>36.740300000001589</c:v>
                </c:pt>
                <c:pt idx="951">
                  <c:v>36.740400000001593</c:v>
                </c:pt>
                <c:pt idx="952">
                  <c:v>36.740500000001596</c:v>
                </c:pt>
                <c:pt idx="953">
                  <c:v>36.740600000001599</c:v>
                </c:pt>
                <c:pt idx="954">
                  <c:v>36.740700000001603</c:v>
                </c:pt>
                <c:pt idx="955">
                  <c:v>36.740800000001606</c:v>
                </c:pt>
                <c:pt idx="956">
                  <c:v>36.740900000001609</c:v>
                </c:pt>
                <c:pt idx="957">
                  <c:v>36.741000000001613</c:v>
                </c:pt>
                <c:pt idx="958">
                  <c:v>36.741100000001616</c:v>
                </c:pt>
                <c:pt idx="959">
                  <c:v>36.741200000001619</c:v>
                </c:pt>
                <c:pt idx="960">
                  <c:v>36.741300000001623</c:v>
                </c:pt>
                <c:pt idx="961">
                  <c:v>36.741400000001626</c:v>
                </c:pt>
                <c:pt idx="962">
                  <c:v>36.741500000001629</c:v>
                </c:pt>
                <c:pt idx="963">
                  <c:v>36.741600000001633</c:v>
                </c:pt>
                <c:pt idx="964">
                  <c:v>36.741700000001636</c:v>
                </c:pt>
                <c:pt idx="965">
                  <c:v>36.741800000001639</c:v>
                </c:pt>
                <c:pt idx="966">
                  <c:v>36.741900000001642</c:v>
                </c:pt>
                <c:pt idx="967">
                  <c:v>36.742000000001646</c:v>
                </c:pt>
                <c:pt idx="968">
                  <c:v>36.742100000001649</c:v>
                </c:pt>
                <c:pt idx="969">
                  <c:v>36.742200000001652</c:v>
                </c:pt>
                <c:pt idx="970">
                  <c:v>36.742300000001656</c:v>
                </c:pt>
                <c:pt idx="971">
                  <c:v>36.742400000001659</c:v>
                </c:pt>
                <c:pt idx="972">
                  <c:v>36.742500000001662</c:v>
                </c:pt>
                <c:pt idx="973">
                  <c:v>36.742600000001666</c:v>
                </c:pt>
                <c:pt idx="974">
                  <c:v>36.742700000001669</c:v>
                </c:pt>
                <c:pt idx="975">
                  <c:v>36.742800000001672</c:v>
                </c:pt>
                <c:pt idx="976">
                  <c:v>36.742900000001676</c:v>
                </c:pt>
                <c:pt idx="977">
                  <c:v>36.743000000001679</c:v>
                </c:pt>
                <c:pt idx="978">
                  <c:v>36.743100000001682</c:v>
                </c:pt>
                <c:pt idx="979">
                  <c:v>36.743200000001686</c:v>
                </c:pt>
                <c:pt idx="980">
                  <c:v>36.743300000001689</c:v>
                </c:pt>
                <c:pt idx="981">
                  <c:v>36.743400000001692</c:v>
                </c:pt>
                <c:pt idx="982">
                  <c:v>36.743500000001696</c:v>
                </c:pt>
                <c:pt idx="983">
                  <c:v>36.743600000001699</c:v>
                </c:pt>
                <c:pt idx="984">
                  <c:v>36.743700000001702</c:v>
                </c:pt>
                <c:pt idx="985">
                  <c:v>36.743800000001706</c:v>
                </c:pt>
                <c:pt idx="986">
                  <c:v>36.743900000001709</c:v>
                </c:pt>
                <c:pt idx="987">
                  <c:v>36.744000000001712</c:v>
                </c:pt>
                <c:pt idx="988">
                  <c:v>36.744100000001716</c:v>
                </c:pt>
                <c:pt idx="989">
                  <c:v>36.744200000001719</c:v>
                </c:pt>
                <c:pt idx="990">
                  <c:v>36.744300000001722</c:v>
                </c:pt>
                <c:pt idx="991">
                  <c:v>36.744400000001725</c:v>
                </c:pt>
                <c:pt idx="992">
                  <c:v>36.744500000001729</c:v>
                </c:pt>
                <c:pt idx="993">
                  <c:v>36.744600000001732</c:v>
                </c:pt>
                <c:pt idx="994">
                  <c:v>36.744700000001735</c:v>
                </c:pt>
                <c:pt idx="995">
                  <c:v>36.744800000001739</c:v>
                </c:pt>
                <c:pt idx="996">
                  <c:v>36.744900000001742</c:v>
                </c:pt>
                <c:pt idx="997">
                  <c:v>36.745000000001745</c:v>
                </c:pt>
                <c:pt idx="998">
                  <c:v>36.745100000001749</c:v>
                </c:pt>
                <c:pt idx="999">
                  <c:v>36.745200000001752</c:v>
                </c:pt>
                <c:pt idx="1000">
                  <c:v>36.745300000001755</c:v>
                </c:pt>
              </c:numCache>
            </c:numRef>
          </c:xVal>
          <c:yVal>
            <c:numRef>
              <c:f>Calculs!$I$4:$I$1004</c:f>
              <c:numCache>
                <c:formatCode>0.00</c:formatCode>
                <c:ptCount val="1001"/>
                <c:pt idx="0">
                  <c:v>0</c:v>
                </c:pt>
                <c:pt idx="1">
                  <c:v>0.20609770518409357</c:v>
                </c:pt>
                <c:pt idx="2">
                  <c:v>1.2549841606389009</c:v>
                </c:pt>
                <c:pt idx="3">
                  <c:v>2.8175868947065661</c:v>
                </c:pt>
                <c:pt idx="4">
                  <c:v>4.3266454303711024</c:v>
                </c:pt>
                <c:pt idx="5">
                  <c:v>5.78201592758258</c:v>
                </c:pt>
                <c:pt idx="6">
                  <c:v>7.21640522253292</c:v>
                </c:pt>
                <c:pt idx="7">
                  <c:v>8.662619615169703</c:v>
                </c:pt>
                <c:pt idx="8">
                  <c:v>10.120668190416064</c:v>
                </c:pt>
                <c:pt idx="9">
                  <c:v>11.59055983585081</c:v>
                </c:pt>
                <c:pt idx="10">
                  <c:v>13.072303237826912</c:v>
                </c:pt>
                <c:pt idx="11">
                  <c:v>14.562496451275946</c:v>
                </c:pt>
                <c:pt idx="12">
                  <c:v>16.057726963238483</c:v>
                </c:pt>
                <c:pt idx="13">
                  <c:v>17.557987516113059</c:v>
                </c:pt>
                <c:pt idx="14">
                  <c:v>19.063270687788584</c:v>
                </c:pt>
                <c:pt idx="15">
                  <c:v>20.573568890985026</c:v>
                </c:pt>
                <c:pt idx="16">
                  <c:v>22.088874372604671</c:v>
                </c:pt>
                <c:pt idx="17">
                  <c:v>23.60917921309424</c:v>
                </c:pt>
                <c:pt idx="18">
                  <c:v>25.134475325817967</c:v>
                </c:pt>
                <c:pt idx="19">
                  <c:v>26.664754456441884</c:v>
                </c:pt>
                <c:pt idx="20">
                  <c:v>28.200008182329462</c:v>
                </c:pt>
                <c:pt idx="21">
                  <c:v>29.738857836896859</c:v>
                </c:pt>
                <c:pt idx="22">
                  <c:v>31.279920479189069</c:v>
                </c:pt>
                <c:pt idx="23">
                  <c:v>32.82318122470101</c:v>
                </c:pt>
                <c:pt idx="24">
                  <c:v>34.368625082388796</c:v>
                </c:pt>
                <c:pt idx="25">
                  <c:v>35.916236955109291</c:v>
                </c:pt>
                <c:pt idx="26">
                  <c:v>37.466005366580362</c:v>
                </c:pt>
                <c:pt idx="27">
                  <c:v>39.017918901016664</c:v>
                </c:pt>
                <c:pt idx="28">
                  <c:v>40.571961882277584</c:v>
                </c:pt>
                <c:pt idx="29">
                  <c:v>42.128118547902169</c:v>
                </c:pt>
                <c:pt idx="30">
                  <c:v>43.686373047701572</c:v>
                </c:pt>
                <c:pt idx="31">
                  <c:v>45.246709442672163</c:v>
                </c:pt>
                <c:pt idx="32">
                  <c:v>46.809111704126295</c:v>
                </c:pt>
                <c:pt idx="33">
                  <c:v>48.373563713008394</c:v>
                </c:pt>
                <c:pt idx="34">
                  <c:v>49.940049259369978</c:v>
                </c:pt>
                <c:pt idx="35">
                  <c:v>51.508552041981808</c:v>
                </c:pt>
                <c:pt idx="36">
                  <c:v>53.079055668065322</c:v>
                </c:pt>
                <c:pt idx="37">
                  <c:v>54.651543653128208</c:v>
                </c:pt>
                <c:pt idx="38">
                  <c:v>56.225999420891753</c:v>
                </c:pt>
                <c:pt idx="39">
                  <c:v>57.802406303299271</c:v>
                </c:pt>
                <c:pt idx="40">
                  <c:v>59.3807475405969</c:v>
                </c:pt>
                <c:pt idx="41">
                  <c:v>60.959937127969958</c:v>
                </c:pt>
                <c:pt idx="42">
                  <c:v>62.538885948638153</c:v>
                </c:pt>
                <c:pt idx="43">
                  <c:v>64.117572752251164</c:v>
                </c:pt>
                <c:pt idx="44">
                  <c:v>65.695976268771147</c:v>
                </c:pt>
                <c:pt idx="45">
                  <c:v>67.274075209380484</c:v>
                </c:pt>
                <c:pt idx="46">
                  <c:v>68.851848267425069</c:v>
                </c:pt>
                <c:pt idx="47">
                  <c:v>70.429274119389802</c:v>
                </c:pt>
                <c:pt idx="48">
                  <c:v>72.006331425903056</c:v>
                </c:pt>
                <c:pt idx="49">
                  <c:v>73.582998832767359</c:v>
                </c:pt>
                <c:pt idx="50">
                  <c:v>75.159254972013898</c:v>
                </c:pt>
                <c:pt idx="51">
                  <c:v>76.73507846297862</c:v>
                </c:pt>
                <c:pt idx="52">
                  <c:v>78.310447913398136</c:v>
                </c:pt>
                <c:pt idx="53">
                  <c:v>79.885341920523629</c:v>
                </c:pt>
                <c:pt idx="54">
                  <c:v>81.459739072251224</c:v>
                </c:pt>
                <c:pt idx="55">
                  <c:v>83.033617948267505</c:v>
                </c:pt>
                <c:pt idx="56">
                  <c:v>84.606957121208907</c:v>
                </c:pt>
                <c:pt idx="57">
                  <c:v>86.17973515783379</c:v>
                </c:pt>
                <c:pt idx="58">
                  <c:v>87.751930620206366</c:v>
                </c:pt>
                <c:pt idx="59">
                  <c:v>89.323522066891201</c:v>
                </c:pt>
                <c:pt idx="60">
                  <c:v>90.894488054157875</c:v>
                </c:pt>
                <c:pt idx="61">
                  <c:v>92.464807137194526</c:v>
                </c:pt>
                <c:pt idx="62">
                  <c:v>94.034457871330048</c:v>
                </c:pt>
                <c:pt idx="63">
                  <c:v>95.603418813263772</c:v>
                </c:pt>
                <c:pt idx="64">
                  <c:v>97.171668522302525</c:v>
                </c:pt>
                <c:pt idx="65">
                  <c:v>98.739185561603918</c:v>
                </c:pt>
                <c:pt idx="66">
                  <c:v>100.30594849942582</c:v>
                </c:pt>
                <c:pt idx="67">
                  <c:v>101.87193591038128</c:v>
                </c:pt>
                <c:pt idx="68">
                  <c:v>103.43712637669829</c:v>
                </c:pt>
                <c:pt idx="69">
                  <c:v>105.00149848948415</c:v>
                </c:pt>
                <c:pt idx="70">
                  <c:v>106.56503084999406</c:v>
                </c:pt>
                <c:pt idx="71">
                  <c:v>108.12770207090317</c:v>
                </c:pt>
                <c:pt idx="72">
                  <c:v>109.68949077758207</c:v>
                </c:pt>
                <c:pt idx="73">
                  <c:v>111.25037560937521</c:v>
                </c:pt>
                <c:pt idx="74">
                  <c:v>112.81033522088181</c:v>
                </c:pt>
                <c:pt idx="75">
                  <c:v>114.36934828323905</c:v>
                </c:pt>
                <c:pt idx="76">
                  <c:v>115.92739348540717</c:v>
                </c:pt>
                <c:pt idx="77">
                  <c:v>117.48444953545606</c:v>
                </c:pt>
                <c:pt idx="78">
                  <c:v>119.04049516185337</c:v>
                </c:pt>
                <c:pt idx="79">
                  <c:v>120.59550911475326</c:v>
                </c:pt>
                <c:pt idx="80">
                  <c:v>122.14947016728614</c:v>
                </c:pt>
                <c:pt idx="81">
                  <c:v>123.70126445014249</c:v>
                </c:pt>
                <c:pt idx="82">
                  <c:v>125.24977561365738</c:v>
                </c:pt>
                <c:pt idx="83">
                  <c:v>126.79497939241787</c:v>
                </c:pt>
                <c:pt idx="84">
                  <c:v>128.33685164239296</c:v>
                </c:pt>
                <c:pt idx="85">
                  <c:v>129.87536834243107</c:v>
                </c:pt>
                <c:pt idx="86">
                  <c:v>131.41050559574356</c:v>
                </c:pt>
                <c:pt idx="87">
                  <c:v>132.94223963137378</c:v>
                </c:pt>
                <c:pt idx="88">
                  <c:v>134.47054680565162</c:v>
                </c:pt>
                <c:pt idx="89">
                  <c:v>135.99540360363298</c:v>
                </c:pt>
                <c:pt idx="90">
                  <c:v>137.51678664052434</c:v>
                </c:pt>
                <c:pt idx="91">
                  <c:v>139.03418907557611</c:v>
                </c:pt>
                <c:pt idx="92">
                  <c:v>140.54710318151547</c:v>
                </c:pt>
                <c:pt idx="93">
                  <c:v>142.05550476639172</c:v>
                </c:pt>
                <c:pt idx="94">
                  <c:v>143.55936981973457</c:v>
                </c:pt>
                <c:pt idx="95">
                  <c:v>145.05867451389685</c:v>
                </c:pt>
                <c:pt idx="96">
                  <c:v>146.55339520537314</c:v>
                </c:pt>
                <c:pt idx="97">
                  <c:v>148.0435084360947</c:v>
                </c:pt>
                <c:pt idx="98">
                  <c:v>149.52899093470009</c:v>
                </c:pt>
                <c:pt idx="99">
                  <c:v>151.00981961778118</c:v>
                </c:pt>
                <c:pt idx="100">
                  <c:v>152.48597159110483</c:v>
                </c:pt>
                <c:pt idx="101">
                  <c:v>153.95734667231585</c:v>
                </c:pt>
                <c:pt idx="102">
                  <c:v>155.42384472276143</c:v>
                </c:pt>
                <c:pt idx="103">
                  <c:v>156.88544325857674</c:v>
                </c:pt>
                <c:pt idx="104">
                  <c:v>158.34211999725727</c:v>
                </c:pt>
                <c:pt idx="105">
                  <c:v>159.79385285874488</c:v>
                </c:pt>
                <c:pt idx="106">
                  <c:v>161.24061996648712</c:v>
                </c:pt>
                <c:pt idx="107">
                  <c:v>162.68239964846987</c:v>
                </c:pt>
                <c:pt idx="108">
                  <c:v>164.11917043822322</c:v>
                </c:pt>
                <c:pt idx="109">
                  <c:v>165.55091107580046</c:v>
                </c:pt>
                <c:pt idx="110">
                  <c:v>166.97760050872981</c:v>
                </c:pt>
                <c:pt idx="111">
                  <c:v>168.40011141230079</c:v>
                </c:pt>
                <c:pt idx="112">
                  <c:v>169.81931820052475</c:v>
                </c:pt>
                <c:pt idx="113">
                  <c:v>171.23520201960847</c:v>
                </c:pt>
                <c:pt idx="114">
                  <c:v>172.64774414480709</c:v>
                </c:pt>
                <c:pt idx="115">
                  <c:v>174.05692598137762</c:v>
                </c:pt>
                <c:pt idx="116">
                  <c:v>175.46272906551718</c:v>
                </c:pt>
                <c:pt idx="117">
                  <c:v>176.86513506528604</c:v>
                </c:pt>
                <c:pt idx="118">
                  <c:v>178.26412578151533</c:v>
                </c:pt>
                <c:pt idx="119">
                  <c:v>179.6596831486992</c:v>
                </c:pt>
                <c:pt idx="120">
                  <c:v>181.05178923587152</c:v>
                </c:pt>
                <c:pt idx="121">
                  <c:v>182.43894183640901</c:v>
                </c:pt>
                <c:pt idx="122">
                  <c:v>183.81963658723291</c:v>
                </c:pt>
                <c:pt idx="123">
                  <c:v>185.1938538362368</c:v>
                </c:pt>
                <c:pt idx="124">
                  <c:v>186.56157420963603</c:v>
                </c:pt>
                <c:pt idx="125">
                  <c:v>187.92277861235596</c:v>
                </c:pt>
                <c:pt idx="126">
                  <c:v>189.27744822838324</c:v>
                </c:pt>
                <c:pt idx="127">
                  <c:v>190.62556452107984</c:v>
                </c:pt>
                <c:pt idx="128">
                  <c:v>191.96710923346038</c:v>
                </c:pt>
                <c:pt idx="129">
                  <c:v>193.30206438843257</c:v>
                </c:pt>
                <c:pt idx="130">
                  <c:v>194.6304122890011</c:v>
                </c:pt>
                <c:pt idx="131">
                  <c:v>195.95174627759818</c:v>
                </c:pt>
                <c:pt idx="132">
                  <c:v>197.26565946533495</c:v>
                </c:pt>
                <c:pt idx="133">
                  <c:v>198.57213460137316</c:v>
                </c:pt>
                <c:pt idx="134">
                  <c:v>199.87115475561126</c:v>
                </c:pt>
                <c:pt idx="135">
                  <c:v>201.16270331849881</c:v>
                </c:pt>
                <c:pt idx="136">
                  <c:v>202.44676400080979</c:v>
                </c:pt>
                <c:pt idx="137">
                  <c:v>203.72332083337378</c:v>
                </c:pt>
                <c:pt idx="138">
                  <c:v>204.99235816676602</c:v>
                </c:pt>
                <c:pt idx="139">
                  <c:v>206.2538606709567</c:v>
                </c:pt>
                <c:pt idx="140">
                  <c:v>207.5078133349194</c:v>
                </c:pt>
                <c:pt idx="141">
                  <c:v>208.7495402569543</c:v>
                </c:pt>
                <c:pt idx="142">
                  <c:v>209.9743609207618</c:v>
                </c:pt>
                <c:pt idx="143">
                  <c:v>211.1822587298696</c:v>
                </c:pt>
                <c:pt idx="144">
                  <c:v>212.37321800797375</c:v>
                </c:pt>
                <c:pt idx="145">
                  <c:v>213.54722399313118</c:v>
                </c:pt>
                <c:pt idx="146">
                  <c:v>214.70426283180552</c:v>
                </c:pt>
                <c:pt idx="147">
                  <c:v>215.84432157276962</c:v>
                </c:pt>
                <c:pt idx="148">
                  <c:v>216.96738816086707</c:v>
                </c:pt>
                <c:pt idx="149">
                  <c:v>218.07345143063728</c:v>
                </c:pt>
                <c:pt idx="150">
                  <c:v>219.16250109980575</c:v>
                </c:pt>
                <c:pt idx="151">
                  <c:v>220.23452776264409</c:v>
                </c:pt>
                <c:pt idx="152">
                  <c:v>221.28952288320178</c:v>
                </c:pt>
                <c:pt idx="153">
                  <c:v>222.327478788414</c:v>
                </c:pt>
                <c:pt idx="154">
                  <c:v>223.34838866108774</c:v>
                </c:pt>
                <c:pt idx="155">
                  <c:v>224.35224653277029</c:v>
                </c:pt>
                <c:pt idx="156">
                  <c:v>225.31692704542036</c:v>
                </c:pt>
                <c:pt idx="157">
                  <c:v>226.22029840582738</c:v>
                </c:pt>
                <c:pt idx="158">
                  <c:v>227.06237350409836</c:v>
                </c:pt>
                <c:pt idx="159">
                  <c:v>227.84317203474512</c:v>
                </c:pt>
                <c:pt idx="160">
                  <c:v>228.56272039343648</c:v>
                </c:pt>
                <c:pt idx="161">
                  <c:v>229.19291493634972</c:v>
                </c:pt>
                <c:pt idx="162">
                  <c:v>229.70567314853272</c:v>
                </c:pt>
                <c:pt idx="163">
                  <c:v>230.10378620103037</c:v>
                </c:pt>
                <c:pt idx="164">
                  <c:v>230.39006378409027</c:v>
                </c:pt>
                <c:pt idx="165">
                  <c:v>230.59153193485409</c:v>
                </c:pt>
                <c:pt idx="166">
                  <c:v>230.73519760687404</c:v>
                </c:pt>
                <c:pt idx="167">
                  <c:v>230.800705101056</c:v>
                </c:pt>
                <c:pt idx="168">
                  <c:v>230.78252548347939</c:v>
                </c:pt>
                <c:pt idx="169">
                  <c:v>230.63858693078353</c:v>
                </c:pt>
                <c:pt idx="170">
                  <c:v>230.35649602492589</c:v>
                </c:pt>
                <c:pt idx="171">
                  <c:v>230.02796583287386</c:v>
                </c:pt>
                <c:pt idx="172">
                  <c:v>229.70015179218785</c:v>
                </c:pt>
                <c:pt idx="173">
                  <c:v>229.37305113614784</c:v>
                </c:pt>
                <c:pt idx="174">
                  <c:v>229.04666111233169</c:v>
                </c:pt>
                <c:pt idx="175">
                  <c:v>228.72097898252233</c:v>
                </c:pt>
                <c:pt idx="176">
                  <c:v>228.39600202261536</c:v>
                </c:pt>
                <c:pt idx="177">
                  <c:v>228.07172752252785</c:v>
                </c:pt>
                <c:pt idx="178">
                  <c:v>227.74815278610723</c:v>
                </c:pt>
                <c:pt idx="179">
                  <c:v>227.42527513104147</c:v>
                </c:pt>
                <c:pt idx="180">
                  <c:v>227.10309188876977</c:v>
                </c:pt>
                <c:pt idx="181">
                  <c:v>226.78160040439357</c:v>
                </c:pt>
                <c:pt idx="182">
                  <c:v>226.46079803658901</c:v>
                </c:pt>
                <c:pt idx="183">
                  <c:v>226.14068215751925</c:v>
                </c:pt>
                <c:pt idx="184">
                  <c:v>225.82125015274812</c:v>
                </c:pt>
                <c:pt idx="185">
                  <c:v>225.50249942115403</c:v>
                </c:pt>
                <c:pt idx="186">
                  <c:v>225.18442737484474</c:v>
                </c:pt>
                <c:pt idx="187">
                  <c:v>224.8670314390728</c:v>
                </c:pt>
                <c:pt idx="188">
                  <c:v>224.55030905215142</c:v>
                </c:pt>
                <c:pt idx="189">
                  <c:v>224.2342576653713</c:v>
                </c:pt>
                <c:pt idx="190">
                  <c:v>223.91887474291789</c:v>
                </c:pt>
                <c:pt idx="191">
                  <c:v>223.60415776178937</c:v>
                </c:pt>
                <c:pt idx="192">
                  <c:v>223.29010421171512</c:v>
                </c:pt>
                <c:pt idx="193">
                  <c:v>222.97671159507507</c:v>
                </c:pt>
                <c:pt idx="194">
                  <c:v>222.66397742681951</c:v>
                </c:pt>
                <c:pt idx="195">
                  <c:v>222.35189923438944</c:v>
                </c:pt>
                <c:pt idx="196">
                  <c:v>222.04047455763757</c:v>
                </c:pt>
                <c:pt idx="197">
                  <c:v>221.72970094875021</c:v>
                </c:pt>
                <c:pt idx="198">
                  <c:v>221.41957597216924</c:v>
                </c:pt>
                <c:pt idx="199">
                  <c:v>221.11009720451511</c:v>
                </c:pt>
                <c:pt idx="200">
                  <c:v>220.80126223451018</c:v>
                </c:pt>
                <c:pt idx="201">
                  <c:v>217.71940526724109</c:v>
                </c:pt>
                <c:pt idx="202">
                  <c:v>214.70093353179942</c:v>
                </c:pt>
                <c:pt idx="203">
                  <c:v>211.74352790510446</c:v>
                </c:pt>
                <c:pt idx="204">
                  <c:v>208.84498165196754</c:v>
                </c:pt>
                <c:pt idx="205">
                  <c:v>206.00319364124573</c:v>
                </c:pt>
                <c:pt idx="206">
                  <c:v>203.21616205112309</c:v>
                </c:pt>
                <c:pt idx="207">
                  <c:v>200.48197852272895</c:v>
                </c:pt>
                <c:pt idx="208">
                  <c:v>197.79882272516079</c:v>
                </c:pt>
                <c:pt idx="209">
                  <c:v>195.16495729842921</c:v>
                </c:pt>
                <c:pt idx="210">
                  <c:v>192.57872314393384</c:v>
                </c:pt>
                <c:pt idx="211">
                  <c:v>190.03853503485283</c:v>
                </c:pt>
                <c:pt idx="212">
                  <c:v>187.54287752131972</c:v>
                </c:pt>
                <c:pt idx="213">
                  <c:v>185.09030110750115</c:v>
                </c:pt>
                <c:pt idx="214">
                  <c:v>182.67941867970848</c:v>
                </c:pt>
                <c:pt idx="215">
                  <c:v>180.3089021664951</c:v>
                </c:pt>
                <c:pt idx="216">
                  <c:v>177.97747941333415</c:v>
                </c:pt>
                <c:pt idx="217">
                  <c:v>175.68393125595637</c:v>
                </c:pt>
                <c:pt idx="218">
                  <c:v>173.42708877777179</c:v>
                </c:pt>
                <c:pt idx="219">
                  <c:v>171.20583073801637</c:v>
                </c:pt>
                <c:pt idx="220">
                  <c:v>169.01908115836824</c:v>
                </c:pt>
                <c:pt idx="221">
                  <c:v>166.86580705678168</c:v>
                </c:pt>
                <c:pt idx="222">
                  <c:v>164.74501631819763</c:v>
                </c:pt>
                <c:pt idx="223">
                  <c:v>162.65575569261887</c:v>
                </c:pt>
                <c:pt idx="224">
                  <c:v>160.59710891179284</c:v>
                </c:pt>
                <c:pt idx="225">
                  <c:v>158.56819491643449</c:v>
                </c:pt>
                <c:pt idx="226">
                  <c:v>156.56816618654881</c:v>
                </c:pt>
                <c:pt idx="227">
                  <c:v>154.59620716798821</c:v>
                </c:pt>
                <c:pt idx="228">
                  <c:v>152.6515327889031</c:v>
                </c:pt>
                <c:pt idx="229">
                  <c:v>150.73338706022653</c:v>
                </c:pt>
                <c:pt idx="230">
                  <c:v>148.8410417547727</c:v>
                </c:pt>
                <c:pt idx="231">
                  <c:v>146.97379515993276</c:v>
                </c:pt>
                <c:pt idx="232">
                  <c:v>145.13097089932359</c:v>
                </c:pt>
                <c:pt idx="233">
                  <c:v>143.31191681908345</c:v>
                </c:pt>
                <c:pt idx="234">
                  <c:v>141.51600393482329</c:v>
                </c:pt>
                <c:pt idx="235">
                  <c:v>139.74262543553019</c:v>
                </c:pt>
                <c:pt idx="236">
                  <c:v>137.99119574098415</c:v>
                </c:pt>
                <c:pt idx="237">
                  <c:v>136.26114960949624</c:v>
                </c:pt>
                <c:pt idx="238">
                  <c:v>134.55194129299986</c:v>
                </c:pt>
                <c:pt idx="239">
                  <c:v>132.86304373673792</c:v>
                </c:pt>
                <c:pt idx="240">
                  <c:v>131.19394782097979</c:v>
                </c:pt>
                <c:pt idx="241">
                  <c:v>129.54416164238322</c:v>
                </c:pt>
                <c:pt idx="242">
                  <c:v>127.91320983277937</c:v>
                </c:pt>
                <c:pt idx="243">
                  <c:v>126.30063291331548</c:v>
                </c:pt>
                <c:pt idx="244">
                  <c:v>124.70598668203077</c:v>
                </c:pt>
                <c:pt idx="245">
                  <c:v>123.1288416330749</c:v>
                </c:pt>
                <c:pt idx="246">
                  <c:v>121.56878240590162</c:v>
                </c:pt>
                <c:pt idx="247">
                  <c:v>120.02540726288592</c:v>
                </c:pt>
                <c:pt idx="248">
                  <c:v>118.49832759392024</c:v>
                </c:pt>
                <c:pt idx="249">
                  <c:v>116.98716744664631</c:v>
                </c:pt>
                <c:pt idx="250">
                  <c:v>115.49156308107342</c:v>
                </c:pt>
                <c:pt idx="251">
                  <c:v>114.01116254742247</c:v>
                </c:pt>
                <c:pt idx="252">
                  <c:v>112.54562528611795</c:v>
                </c:pt>
                <c:pt idx="253">
                  <c:v>111.09462174892911</c:v>
                </c:pt>
                <c:pt idx="254">
                  <c:v>109.65783304033472</c:v>
                </c:pt>
                <c:pt idx="255">
                  <c:v>108.23495057825654</c:v>
                </c:pt>
                <c:pt idx="256">
                  <c:v>106.82567577337258</c:v>
                </c:pt>
                <c:pt idx="257">
                  <c:v>105.42971972628483</c:v>
                </c:pt>
                <c:pt idx="258">
                  <c:v>104.04680294187629</c:v>
                </c:pt>
                <c:pt idx="259">
                  <c:v>102.67665506025024</c:v>
                </c:pt>
                <c:pt idx="260">
                  <c:v>101.31901460369991</c:v>
                </c:pt>
                <c:pt idx="261">
                  <c:v>99.973628739211136</c:v>
                </c:pt>
                <c:pt idx="262">
                  <c:v>98.640253056051762</c:v>
                </c:pt>
                <c:pt idx="263">
                  <c:v>97.318651358053344</c:v>
                </c:pt>
                <c:pt idx="264">
                  <c:v>96.008595470239314</c:v>
                </c:pt>
                <c:pt idx="265">
                  <c:v>94.709865059503684</c:v>
                </c:pt>
                <c:pt idx="266">
                  <c:v>93.422247469091758</c:v>
                </c:pt>
                <c:pt idx="267">
                  <c:v>92.145537566682947</c:v>
                </c:pt>
                <c:pt idx="268">
                  <c:v>90.879537605923815</c:v>
                </c:pt>
                <c:pt idx="269">
                  <c:v>89.624057101307415</c:v>
                </c:pt>
                <c:pt idx="270">
                  <c:v>88.37891271634426</c:v>
                </c:pt>
                <c:pt idx="271">
                  <c:v>87.143928165019588</c:v>
                </c:pt>
                <c:pt idx="272">
                  <c:v>85.918934126582599</c:v>
                </c:pt>
                <c:pt idx="273">
                  <c:v>84.703768173765482</c:v>
                </c:pt>
                <c:pt idx="274">
                  <c:v>83.498274714583644</c:v>
                </c:pt>
                <c:pt idx="275">
                  <c:v>82.302304947925023</c:v>
                </c:pt>
                <c:pt idx="276">
                  <c:v>81.11571683319427</c:v>
                </c:pt>
                <c:pt idx="277">
                  <c:v>79.938375074338538</c:v>
                </c:pt>
                <c:pt idx="278">
                  <c:v>78.770151118646467</c:v>
                </c:pt>
                <c:pt idx="279">
                  <c:v>77.61092317077852</c:v>
                </c:pt>
                <c:pt idx="280">
                  <c:v>76.460576222559524</c:v>
                </c:pt>
                <c:pt idx="281">
                  <c:v>75.319002099139041</c:v>
                </c:pt>
                <c:pt idx="282">
                  <c:v>74.186099522206845</c:v>
                </c:pt>
                <c:pt idx="283">
                  <c:v>73.061774191036108</c:v>
                </c:pt>
                <c:pt idx="284">
                  <c:v>71.94593888221857</c:v>
                </c:pt>
                <c:pt idx="285">
                  <c:v>70.838513569053859</c:v>
                </c:pt>
                <c:pt idx="286">
                  <c:v>69.739425561660056</c:v>
                </c:pt>
                <c:pt idx="287">
                  <c:v>68.648609668983553</c:v>
                </c:pt>
                <c:pt idx="288">
                  <c:v>67.566008384006636</c:v>
                </c:pt>
                <c:pt idx="289">
                  <c:v>66.4915720935781</c:v>
                </c:pt>
                <c:pt idx="290">
                  <c:v>65.425259314428629</c:v>
                </c:pt>
                <c:pt idx="291">
                  <c:v>64.367036957078312</c:v>
                </c:pt>
                <c:pt idx="292">
                  <c:v>63.316880619496793</c:v>
                </c:pt>
                <c:pt idx="293">
                  <c:v>62.274774912541524</c:v>
                </c:pt>
                <c:pt idx="294">
                  <c:v>61.240713819371408</c:v>
                </c:pt>
                <c:pt idx="295">
                  <c:v>60.214701091215353</c:v>
                </c:pt>
                <c:pt idx="296">
                  <c:v>59.196750682065421</c:v>
                </c:pt>
                <c:pt idx="297">
                  <c:v>58.186887225061376</c:v>
                </c:pt>
                <c:pt idx="298">
                  <c:v>57.185146553536569</c:v>
                </c:pt>
                <c:pt idx="299">
                  <c:v>56.191576269901546</c:v>
                </c:pt>
                <c:pt idx="300">
                  <c:v>55.20623636574831</c:v>
                </c:pt>
                <c:pt idx="301">
                  <c:v>54.229199896760683</c:v>
                </c:pt>
                <c:pt idx="302">
                  <c:v>53.260553716209273</c:v>
                </c:pt>
                <c:pt idx="303">
                  <c:v>52.300399270985203</c:v>
                </c:pt>
                <c:pt idx="304">
                  <c:v>51.348853464276118</c:v>
                </c:pt>
                <c:pt idx="305">
                  <c:v>50.406049589098778</c:v>
                </c:pt>
                <c:pt idx="306">
                  <c:v>49.472138336959155</c:v>
                </c:pt>
                <c:pt idx="307">
                  <c:v>48.547288885894844</c:v>
                </c:pt>
                <c:pt idx="308">
                  <c:v>47.63169007204128</c:v>
                </c:pt>
                <c:pt idx="309">
                  <c:v>46.725551648623878</c:v>
                </c:pt>
                <c:pt idx="310">
                  <c:v>45.82910563587631</c:v>
                </c:pt>
                <c:pt idx="311">
                  <c:v>44.942607764776497</c:v>
                </c:pt>
                <c:pt idx="312">
                  <c:v>44.066339016624532</c:v>
                </c:pt>
                <c:pt idx="313">
                  <c:v>43.200607259295509</c:v>
                </c:pt>
                <c:pt idx="314">
                  <c:v>42.345748979411361</c:v>
                </c:pt>
                <c:pt idx="315">
                  <c:v>41.502131107599602</c:v>
                </c:pt>
                <c:pt idx="316">
                  <c:v>40.670152931342024</c:v>
                </c:pt>
                <c:pt idx="317">
                  <c:v>39.8502480865452</c:v>
                </c:pt>
                <c:pt idx="318">
                  <c:v>39.042886614757386</c:v>
                </c:pt>
                <c:pt idx="319">
                  <c:v>38.248577067769773</c:v>
                </c:pt>
                <c:pt idx="320">
                  <c:v>37.467868635023606</c:v>
                </c:pt>
                <c:pt idx="321">
                  <c:v>36.701353261646219</c:v>
                </c:pt>
                <c:pt idx="322">
                  <c:v>35.949667715915439</c:v>
                </c:pt>
                <c:pt idx="323">
                  <c:v>35.213495554384572</c:v>
                </c:pt>
                <c:pt idx="324">
                  <c:v>34.49356892071836</c:v>
                </c:pt>
                <c:pt idx="325">
                  <c:v>33.790670100497628</c:v>
                </c:pt>
                <c:pt idx="326">
                  <c:v>33.105632738968303</c:v>
                </c:pt>
                <c:pt idx="327">
                  <c:v>32.439342612220429</c:v>
                </c:pt>
                <c:pt idx="328">
                  <c:v>31.792737825090061</c:v>
                </c:pt>
                <c:pt idx="329">
                  <c:v>31.166808291966234</c:v>
                </c:pt>
                <c:pt idx="330">
                  <c:v>30.562594340795211</c:v>
                </c:pt>
                <c:pt idx="331">
                  <c:v>29.981184267444331</c:v>
                </c:pt>
                <c:pt idx="332">
                  <c:v>29.423710659205323</c:v>
                </c:pt>
                <c:pt idx="333">
                  <c:v>28.891345305003235</c:v>
                </c:pt>
                <c:pt idx="334">
                  <c:v>28.385292518625537</c:v>
                </c:pt>
                <c:pt idx="335">
                  <c:v>27.906780722998235</c:v>
                </c:pt>
                <c:pt idx="336">
                  <c:v>27.457052181145983</c:v>
                </c:pt>
                <c:pt idx="337">
                  <c:v>27.037350815439279</c:v>
                </c:pt>
                <c:pt idx="338">
                  <c:v>26.64890813249697</c:v>
                </c:pt>
                <c:pt idx="339">
                  <c:v>26.292927366477443</c:v>
                </c:pt>
                <c:pt idx="340">
                  <c:v>25.970566065971347</c:v>
                </c:pt>
                <c:pt idx="341">
                  <c:v>25.682917474005524</c:v>
                </c:pt>
                <c:pt idx="342">
                  <c:v>25.430991178419241</c:v>
                </c:pt>
                <c:pt idx="343">
                  <c:v>25.215693629860429</c:v>
                </c:pt>
                <c:pt idx="344">
                  <c:v>25.037809223591594</c:v>
                </c:pt>
                <c:pt idx="345">
                  <c:v>24.897982705297633</c:v>
                </c:pt>
                <c:pt idx="346">
                  <c:v>24.79670367762537</c:v>
                </c:pt>
                <c:pt idx="347">
                  <c:v>24.734293944345122</c:v>
                </c:pt>
                <c:pt idx="348">
                  <c:v>24.710898329582513</c:v>
                </c:pt>
                <c:pt idx="349">
                  <c:v>24.726479454378254</c:v>
                </c:pt>
                <c:pt idx="350">
                  <c:v>24.780816753107047</c:v>
                </c:pt>
                <c:pt idx="351">
                  <c:v>24.873509785532011</c:v>
                </c:pt>
                <c:pt idx="352">
                  <c:v>25.00398566797999</c:v>
                </c:pt>
                <c:pt idx="353">
                  <c:v>25.171510231629014</c:v>
                </c:pt>
                <c:pt idx="354">
                  <c:v>25.375202337055072</c:v>
                </c:pt>
                <c:pt idx="355">
                  <c:v>25.614050646560106</c:v>
                </c:pt>
                <c:pt idx="356">
                  <c:v>25.886932086958126</c:v>
                </c:pt>
                <c:pt idx="357">
                  <c:v>26.192631225594493</c:v>
                </c:pt>
                <c:pt idx="358">
                  <c:v>26.529859825064733</c:v>
                </c:pt>
                <c:pt idx="359">
                  <c:v>26.897275926315658</c:v>
                </c:pt>
                <c:pt idx="360">
                  <c:v>27.293501921999894</c:v>
                </c:pt>
                <c:pt idx="361">
                  <c:v>27.717141208244122</c:v>
                </c:pt>
                <c:pt idx="362">
                  <c:v>28.166793130941347</c:v>
                </c:pt>
                <c:pt idx="363">
                  <c:v>28.641066062406974</c:v>
                </c:pt>
                <c:pt idx="364">
                  <c:v>29.138588548916353</c:v>
                </c:pt>
                <c:pt idx="365">
                  <c:v>29.658018555441132</c:v>
                </c:pt>
                <c:pt idx="366">
                  <c:v>30.198050899583745</c:v>
                </c:pt>
                <c:pt idx="367">
                  <c:v>30.757423013014183</c:v>
                </c:pt>
                <c:pt idx="368">
                  <c:v>31.334919197704796</c:v>
                </c:pt>
                <c:pt idx="369">
                  <c:v>31.929373558731356</c:v>
                </c:pt>
                <c:pt idx="370">
                  <c:v>32.539671798406339</c:v>
                </c:pt>
                <c:pt idx="371">
                  <c:v>33.164752050985143</c:v>
                </c:pt>
                <c:pt idx="372">
                  <c:v>33.8036049257786</c:v>
                </c:pt>
                <c:pt idx="373">
                  <c:v>34.455272911437916</c:v>
                </c:pt>
                <c:pt idx="374">
                  <c:v>35.118849277218608</c:v>
                </c:pt>
                <c:pt idx="375">
                  <c:v>35.793476589514363</c:v>
                </c:pt>
                <c:pt idx="376">
                  <c:v>36.478344944832422</c:v>
                </c:pt>
                <c:pt idx="377">
                  <c:v>37.172690004292704</c:v>
                </c:pt>
                <c:pt idx="378">
                  <c:v>37.875790900054866</c:v>
                </c:pt>
                <c:pt idx="379">
                  <c:v>38.586968070999816</c:v>
                </c:pt>
                <c:pt idx="380">
                  <c:v>39.305581073566842</c:v>
                </c:pt>
                <c:pt idx="381">
                  <c:v>40.031026403831412</c:v>
                </c:pt>
                <c:pt idx="382">
                  <c:v>40.76273535859881</c:v>
                </c:pt>
                <c:pt idx="383">
                  <c:v>41.500171956348225</c:v>
                </c:pt>
                <c:pt idx="384">
                  <c:v>42.242830933137569</c:v>
                </c:pt>
                <c:pt idx="385">
                  <c:v>42.990235823915832</c:v>
                </c:pt>
                <c:pt idx="386">
                  <c:v>43.741937135937427</c:v>
                </c:pt>
                <c:pt idx="387">
                  <c:v>44.4975106179932</c:v>
                </c:pt>
                <c:pt idx="388">
                  <c:v>45.256555626839287</c:v>
                </c:pt>
                <c:pt idx="389">
                  <c:v>46.018693590409093</c:v>
                </c:pt>
                <c:pt idx="390">
                  <c:v>46.783566566036662</c:v>
                </c:pt>
                <c:pt idx="391">
                  <c:v>47.550835890922052</c:v>
                </c:pt>
                <c:pt idx="392">
                  <c:v>48.320180921359075</c:v>
                </c:pt>
                <c:pt idx="393">
                  <c:v>49.091297856765891</c:v>
                </c:pt>
                <c:pt idx="394">
                  <c:v>49.863898644260708</c:v>
                </c:pt>
                <c:pt idx="395">
                  <c:v>50.637709959368074</c:v>
                </c:pt>
                <c:pt idx="396">
                  <c:v>51.41247225839335</c:v>
                </c:pt>
                <c:pt idx="397">
                  <c:v>52.187938898037942</c:v>
                </c:pt>
                <c:pt idx="398">
                  <c:v>52.963875317923801</c:v>
                </c:pt>
                <c:pt idx="399">
                  <c:v>53.740058281836163</c:v>
                </c:pt>
                <c:pt idx="400">
                  <c:v>54.51627517366412</c:v>
                </c:pt>
                <c:pt idx="401">
                  <c:v>55.292323344210203</c:v>
                </c:pt>
                <c:pt idx="402">
                  <c:v>56.068009505242543</c:v>
                </c:pt>
                <c:pt idx="403">
                  <c:v>56.843149167371962</c:v>
                </c:pt>
                <c:pt idx="404">
                  <c:v>57.617566118545348</c:v>
                </c:pt>
                <c:pt idx="405">
                  <c:v>58.391091940152592</c:v>
                </c:pt>
                <c:pt idx="406">
                  <c:v>59.163565557945248</c:v>
                </c:pt>
                <c:pt idx="407">
                  <c:v>59.934832825157898</c:v>
                </c:pt>
                <c:pt idx="408">
                  <c:v>60.70474613540808</c:v>
                </c:pt>
                <c:pt idx="409">
                  <c:v>61.473164063125324</c:v>
                </c:pt>
                <c:pt idx="410">
                  <c:v>62.239951029425306</c:v>
                </c:pt>
                <c:pt idx="411">
                  <c:v>63.004976991500271</c:v>
                </c:pt>
                <c:pt idx="412">
                  <c:v>63.768117153742047</c:v>
                </c:pt>
                <c:pt idx="413">
                  <c:v>64.529251698949707</c:v>
                </c:pt>
                <c:pt idx="414">
                  <c:v>65.288265538099949</c:v>
                </c:pt>
                <c:pt idx="415">
                  <c:v>66.045048077275439</c:v>
                </c:pt>
                <c:pt idx="416">
                  <c:v>66.799493000455044</c:v>
                </c:pt>
                <c:pt idx="417">
                  <c:v>67.551498066970225</c:v>
                </c:pt>
                <c:pt idx="418">
                  <c:v>68.300964922524997</c:v>
                </c:pt>
                <c:pt idx="419">
                  <c:v>69.047798922762354</c:v>
                </c:pt>
                <c:pt idx="420">
                  <c:v>69.791908968439429</c:v>
                </c:pt>
                <c:pt idx="421">
                  <c:v>70.533207351346661</c:v>
                </c:pt>
                <c:pt idx="422">
                  <c:v>71.271609610173115</c:v>
                </c:pt>
                <c:pt idx="423">
                  <c:v>72.007034395582423</c:v>
                </c:pt>
                <c:pt idx="424">
                  <c:v>72.739403343820726</c:v>
                </c:pt>
                <c:pt idx="425">
                  <c:v>73.46864095823004</c:v>
                </c:pt>
                <c:pt idx="426">
                  <c:v>74.194674498089682</c:v>
                </c:pt>
                <c:pt idx="427">
                  <c:v>74.917433874251714</c:v>
                </c:pt>
                <c:pt idx="428">
                  <c:v>75.636851551078166</c:v>
                </c:pt>
                <c:pt idx="429">
                  <c:v>76.352862454224876</c:v>
                </c:pt>
                <c:pt idx="430">
                  <c:v>77.065403883851843</c:v>
                </c:pt>
                <c:pt idx="431">
                  <c:v>77.774415432871351</c:v>
                </c:pt>
                <c:pt idx="432">
                  <c:v>78.479838909875042</c:v>
                </c:pt>
                <c:pt idx="433">
                  <c:v>79.181618266407725</c:v>
                </c:pt>
                <c:pt idx="434">
                  <c:v>79.879699528280852</c:v>
                </c:pt>
                <c:pt idx="435">
                  <c:v>80.57403073064134</c:v>
                </c:pt>
                <c:pt idx="436">
                  <c:v>81.264561856532623</c:v>
                </c:pt>
                <c:pt idx="437">
                  <c:v>81.951244778704506</c:v>
                </c:pt>
                <c:pt idx="438">
                  <c:v>82.634033204445956</c:v>
                </c:pt>
                <c:pt idx="439">
                  <c:v>83.312882623231815</c:v>
                </c:pt>
                <c:pt idx="440">
                  <c:v>83.987750256989855</c:v>
                </c:pt>
                <c:pt idx="441">
                  <c:v>84.65859501280822</c:v>
                </c:pt>
                <c:pt idx="442">
                  <c:v>85.325377437916927</c:v>
                </c:pt>
                <c:pt idx="443">
                  <c:v>85.988059676788566</c:v>
                </c:pt>
                <c:pt idx="444">
                  <c:v>86.646605430215132</c:v>
                </c:pt>
                <c:pt idx="445">
                  <c:v>87.300979916227547</c:v>
                </c:pt>
                <c:pt idx="446">
                  <c:v>87.951149832734345</c:v>
                </c:pt>
                <c:pt idx="447">
                  <c:v>88.597083321764941</c:v>
                </c:pt>
                <c:pt idx="448">
                  <c:v>89.238749935210492</c:v>
                </c:pt>
                <c:pt idx="449">
                  <c:v>89.876120601963493</c:v>
                </c:pt>
                <c:pt idx="450">
                  <c:v>90.509167596364037</c:v>
                </c:pt>
                <c:pt idx="451">
                  <c:v>91.13786450786705</c:v>
                </c:pt>
                <c:pt idx="452">
                  <c:v>91.762186211850988</c:v>
                </c:pt>
                <c:pt idx="453">
                  <c:v>92.382108841493874</c:v>
                </c:pt>
                <c:pt idx="454">
                  <c:v>92.997609760648174</c:v>
                </c:pt>
                <c:pt idx="455">
                  <c:v>93.608667537650049</c:v>
                </c:pt>
                <c:pt idx="456">
                  <c:v>94.215261920003869</c:v>
                </c:pt>
                <c:pt idx="457">
                  <c:v>94.817373809886277</c:v>
                </c:pt>
                <c:pt idx="458">
                  <c:v>95.414985240418488</c:v>
                </c:pt>
                <c:pt idx="459">
                  <c:v>96.008079352658669</c:v>
                </c:pt>
                <c:pt idx="460">
                  <c:v>96.596640373269878</c:v>
                </c:pt>
                <c:pt idx="461">
                  <c:v>97.180653592822182</c:v>
                </c:pt>
                <c:pt idx="462">
                  <c:v>97.76010534468989</c:v>
                </c:pt>
                <c:pt idx="463">
                  <c:v>98.334982984508443</c:v>
                </c:pt>
                <c:pt idx="464">
                  <c:v>98.905274870157129</c:v>
                </c:pt>
                <c:pt idx="465">
                  <c:v>99.470970342236811</c:v>
                </c:pt>
                <c:pt idx="466">
                  <c:v>100.0320597050133</c:v>
                </c:pt>
                <c:pt idx="467">
                  <c:v>100.58853420780007</c:v>
                </c:pt>
                <c:pt idx="468">
                  <c:v>101.14038602675441</c:v>
                </c:pt>
                <c:pt idx="469">
                  <c:v>101.68760824706476</c:v>
                </c:pt>
                <c:pt idx="470">
                  <c:v>102.23019484550646</c:v>
                </c:pt>
                <c:pt idx="471">
                  <c:v>102.76814067334689</c:v>
                </c:pt>
                <c:pt idx="472">
                  <c:v>103.30144143958043</c:v>
                </c:pt>
                <c:pt idx="473">
                  <c:v>103.8300936944763</c:v>
                </c:pt>
                <c:pt idx="474">
                  <c:v>104.35409481342325</c:v>
                </c:pt>
                <c:pt idx="475">
                  <c:v>104.87344298105563</c:v>
                </c:pt>
                <c:pt idx="476">
                  <c:v>105.38813717564776</c:v>
                </c:pt>
                <c:pt idx="477">
                  <c:v>105.89817715376267</c:v>
                </c:pt>
                <c:pt idx="478">
                  <c:v>106.40356343514446</c:v>
                </c:pt>
                <c:pt idx="479">
                  <c:v>106.90429728784218</c:v>
                </c:pt>
                <c:pt idx="480">
                  <c:v>107.40038071355563</c:v>
                </c:pt>
                <c:pt idx="481">
                  <c:v>107.89181643319337</c:v>
                </c:pt>
                <c:pt idx="482">
                  <c:v>108.37860787263423</c:v>
                </c:pt>
                <c:pt idx="483">
                  <c:v>108.86075914868424</c:v>
                </c:pt>
                <c:pt idx="484">
                  <c:v>109.33827505522139</c:v>
                </c:pt>
                <c:pt idx="485">
                  <c:v>109.81116104952153</c:v>
                </c:pt>
                <c:pt idx="486">
                  <c:v>110.27942323875895</c:v>
                </c:pt>
                <c:pt idx="487">
                  <c:v>110.74306836667567</c:v>
                </c:pt>
                <c:pt idx="488">
                  <c:v>111.20210380041424</c:v>
                </c:pt>
                <c:pt idx="489">
                  <c:v>111.65653751750904</c:v>
                </c:pt>
                <c:pt idx="490">
                  <c:v>112.10637809303158</c:v>
                </c:pt>
                <c:pt idx="491">
                  <c:v>112.55163468688549</c:v>
                </c:pt>
                <c:pt idx="492">
                  <c:v>112.9923170312475</c:v>
                </c:pt>
                <c:pt idx="493">
                  <c:v>113.428435418151</c:v>
                </c:pt>
                <c:pt idx="494">
                  <c:v>113.86000068720884</c:v>
                </c:pt>
                <c:pt idx="495">
                  <c:v>114.28702421347261</c:v>
                </c:pt>
                <c:pt idx="496">
                  <c:v>114.70951789542551</c:v>
                </c:pt>
                <c:pt idx="497">
                  <c:v>115.12749414310693</c:v>
                </c:pt>
                <c:pt idx="498">
                  <c:v>115.54096586636587</c:v>
                </c:pt>
                <c:pt idx="499">
                  <c:v>115.94994646324187</c:v>
                </c:pt>
                <c:pt idx="500">
                  <c:v>116.35444980847129</c:v>
                </c:pt>
                <c:pt idx="501">
                  <c:v>116.7544902421174</c:v>
                </c:pt>
                <c:pt idx="502">
                  <c:v>117.15008255832304</c:v>
                </c:pt>
                <c:pt idx="503">
                  <c:v>117.54124199418433</c:v>
                </c:pt>
                <c:pt idx="504">
                  <c:v>117.92798421874441</c:v>
                </c:pt>
                <c:pt idx="505">
                  <c:v>118.31032532210611</c:v>
                </c:pt>
                <c:pt idx="506">
                  <c:v>118.68828180466267</c:v>
                </c:pt>
                <c:pt idx="507">
                  <c:v>119.06187056644582</c:v>
                </c:pt>
                <c:pt idx="508">
                  <c:v>119.43110889659029</c:v>
                </c:pt>
                <c:pt idx="509">
                  <c:v>119.79601446291426</c:v>
                </c:pt>
                <c:pt idx="510">
                  <c:v>120.15660530161523</c:v>
                </c:pt>
                <c:pt idx="511">
                  <c:v>120.51289980708077</c:v>
                </c:pt>
                <c:pt idx="512">
                  <c:v>120.86491672181371</c:v>
                </c:pt>
                <c:pt idx="513">
                  <c:v>121.2126751264715</c:v>
                </c:pt>
                <c:pt idx="514">
                  <c:v>121.55619443001939</c:v>
                </c:pt>
                <c:pt idx="515">
                  <c:v>121.89549435999717</c:v>
                </c:pt>
                <c:pt idx="516">
                  <c:v>122.23059495289924</c:v>
                </c:pt>
                <c:pt idx="517">
                  <c:v>122.56151654466773</c:v>
                </c:pt>
                <c:pt idx="518">
                  <c:v>122.88827976129875</c:v>
                </c:pt>
                <c:pt idx="519">
                  <c:v>123.21090550956126</c:v>
                </c:pt>
                <c:pt idx="520">
                  <c:v>123.52941496782897</c:v>
                </c:pt>
                <c:pt idx="521">
                  <c:v>123.84382957702448</c:v>
                </c:pt>
                <c:pt idx="522">
                  <c:v>124.15417103167606</c:v>
                </c:pt>
                <c:pt idx="523">
                  <c:v>124.46046127108698</c:v>
                </c:pt>
                <c:pt idx="524">
                  <c:v>124.76272247061704</c:v>
                </c:pt>
                <c:pt idx="525">
                  <c:v>125.06097703307621</c:v>
                </c:pt>
                <c:pt idx="526">
                  <c:v>125.35524758023088</c:v>
                </c:pt>
                <c:pt idx="527">
                  <c:v>125.64555694442168</c:v>
                </c:pt>
                <c:pt idx="528">
                  <c:v>125.93192816029367</c:v>
                </c:pt>
                <c:pt idx="529">
                  <c:v>126.21438445663829</c:v>
                </c:pt>
                <c:pt idx="530">
                  <c:v>126.49294924834707</c:v>
                </c:pt>
                <c:pt idx="531">
                  <c:v>126.7676461284772</c:v>
                </c:pt>
                <c:pt idx="532">
                  <c:v>127.03849886042843</c:v>
                </c:pt>
                <c:pt idx="533">
                  <c:v>127.30553137023156</c:v>
                </c:pt>
                <c:pt idx="534">
                  <c:v>127.56876773894813</c:v>
                </c:pt>
                <c:pt idx="535">
                  <c:v>127.82823219518109</c:v>
                </c:pt>
                <c:pt idx="536">
                  <c:v>128.08394910769664</c:v>
                </c:pt>
                <c:pt idx="537">
                  <c:v>128.3359429781564</c:v>
                </c:pt>
                <c:pt idx="538">
                  <c:v>128.58423843396031</c:v>
                </c:pt>
                <c:pt idx="539">
                  <c:v>128.8288602211997</c:v>
                </c:pt>
                <c:pt idx="540">
                  <c:v>129.06983319772007</c:v>
                </c:pt>
                <c:pt idx="541">
                  <c:v>129.30718232629386</c:v>
                </c:pt>
                <c:pt idx="542">
                  <c:v>129.54093266790235</c:v>
                </c:pt>
                <c:pt idx="543">
                  <c:v>129.7711093751266</c:v>
                </c:pt>
                <c:pt idx="544">
                  <c:v>129.99773768564711</c:v>
                </c:pt>
                <c:pt idx="545">
                  <c:v>130.22084291585165</c:v>
                </c:pt>
                <c:pt idx="546">
                  <c:v>130.44045045455113</c:v>
                </c:pt>
                <c:pt idx="547">
                  <c:v>130.65658575680277</c:v>
                </c:pt>
                <c:pt idx="548">
                  <c:v>130.65679841199153</c:v>
                </c:pt>
                <c:pt idx="549">
                  <c:v>130.65701106376716</c:v>
                </c:pt>
                <c:pt idx="550">
                  <c:v>130.65722371212971</c:v>
                </c:pt>
                <c:pt idx="551">
                  <c:v>130.65743635707921</c:v>
                </c:pt>
                <c:pt idx="552">
                  <c:v>130.65764899861571</c:v>
                </c:pt>
                <c:pt idx="553">
                  <c:v>130.65786163673917</c:v>
                </c:pt>
                <c:pt idx="554">
                  <c:v>130.65807427144964</c:v>
                </c:pt>
                <c:pt idx="555">
                  <c:v>130.65828690274719</c:v>
                </c:pt>
                <c:pt idx="556">
                  <c:v>130.65849953063184</c:v>
                </c:pt>
                <c:pt idx="557">
                  <c:v>130.65871215510356</c:v>
                </c:pt>
                <c:pt idx="558">
                  <c:v>130.65892477616237</c:v>
                </c:pt>
                <c:pt idx="559">
                  <c:v>130.65913739380835</c:v>
                </c:pt>
                <c:pt idx="560">
                  <c:v>130.65935000804151</c:v>
                </c:pt>
                <c:pt idx="561">
                  <c:v>130.65956261886188</c:v>
                </c:pt>
                <c:pt idx="562">
                  <c:v>130.65977522626946</c:v>
                </c:pt>
                <c:pt idx="563">
                  <c:v>130.6599878302643</c:v>
                </c:pt>
                <c:pt idx="564">
                  <c:v>130.6602004308464</c:v>
                </c:pt>
                <c:pt idx="565">
                  <c:v>130.66041302801582</c:v>
                </c:pt>
                <c:pt idx="566">
                  <c:v>130.66062562177257</c:v>
                </c:pt>
                <c:pt idx="567">
                  <c:v>130.66083821211666</c:v>
                </c:pt>
                <c:pt idx="568">
                  <c:v>130.6610507990481</c:v>
                </c:pt>
                <c:pt idx="569">
                  <c:v>130.66126338256694</c:v>
                </c:pt>
                <c:pt idx="570">
                  <c:v>130.66147596267325</c:v>
                </c:pt>
                <c:pt idx="571">
                  <c:v>130.66168853936702</c:v>
                </c:pt>
                <c:pt idx="572">
                  <c:v>130.66190111264825</c:v>
                </c:pt>
                <c:pt idx="573">
                  <c:v>130.66211368251697</c:v>
                </c:pt>
                <c:pt idx="574">
                  <c:v>130.66232624897322</c:v>
                </c:pt>
                <c:pt idx="575">
                  <c:v>130.66253881201703</c:v>
                </c:pt>
                <c:pt idx="576">
                  <c:v>130.66275137164843</c:v>
                </c:pt>
                <c:pt idx="577">
                  <c:v>130.66296392786739</c:v>
                </c:pt>
                <c:pt idx="578">
                  <c:v>130.66317648067403</c:v>
                </c:pt>
                <c:pt idx="579">
                  <c:v>130.66338903006829</c:v>
                </c:pt>
                <c:pt idx="580">
                  <c:v>130.66360157605024</c:v>
                </c:pt>
                <c:pt idx="581">
                  <c:v>130.66381411861991</c:v>
                </c:pt>
                <c:pt idx="582">
                  <c:v>130.6640266577773</c:v>
                </c:pt>
                <c:pt idx="583">
                  <c:v>130.66423919352243</c:v>
                </c:pt>
                <c:pt idx="584">
                  <c:v>130.66445172585537</c:v>
                </c:pt>
                <c:pt idx="585">
                  <c:v>130.66466425477608</c:v>
                </c:pt>
                <c:pt idx="586">
                  <c:v>130.66487678028466</c:v>
                </c:pt>
                <c:pt idx="587">
                  <c:v>130.66508930238106</c:v>
                </c:pt>
                <c:pt idx="588">
                  <c:v>130.66530182106536</c:v>
                </c:pt>
                <c:pt idx="589">
                  <c:v>130.66551433633757</c:v>
                </c:pt>
                <c:pt idx="590">
                  <c:v>130.66572684819769</c:v>
                </c:pt>
                <c:pt idx="591">
                  <c:v>130.66593935664579</c:v>
                </c:pt>
                <c:pt idx="592">
                  <c:v>130.66615186168187</c:v>
                </c:pt>
                <c:pt idx="593">
                  <c:v>130.66636436330597</c:v>
                </c:pt>
                <c:pt idx="594">
                  <c:v>130.66657686151811</c:v>
                </c:pt>
                <c:pt idx="595">
                  <c:v>130.6667893563183</c:v>
                </c:pt>
                <c:pt idx="596">
                  <c:v>130.66700184770656</c:v>
                </c:pt>
                <c:pt idx="597">
                  <c:v>130.66721433568296</c:v>
                </c:pt>
                <c:pt idx="598">
                  <c:v>130.6674268202475</c:v>
                </c:pt>
                <c:pt idx="599">
                  <c:v>130.66763930140016</c:v>
                </c:pt>
                <c:pt idx="600">
                  <c:v>130.66785177914102</c:v>
                </c:pt>
                <c:pt idx="601">
                  <c:v>130.66806425347011</c:v>
                </c:pt>
                <c:pt idx="602">
                  <c:v>130.6682767243874</c:v>
                </c:pt>
                <c:pt idx="603">
                  <c:v>130.66848919189297</c:v>
                </c:pt>
                <c:pt idx="604">
                  <c:v>130.66870165598684</c:v>
                </c:pt>
                <c:pt idx="605">
                  <c:v>130.66891411666901</c:v>
                </c:pt>
                <c:pt idx="606">
                  <c:v>130.66912657393951</c:v>
                </c:pt>
                <c:pt idx="607">
                  <c:v>130.66933902779837</c:v>
                </c:pt>
                <c:pt idx="608">
                  <c:v>130.66955147824564</c:v>
                </c:pt>
                <c:pt idx="609">
                  <c:v>130.66976392528133</c:v>
                </c:pt>
                <c:pt idx="610">
                  <c:v>130.66997636890545</c:v>
                </c:pt>
                <c:pt idx="611">
                  <c:v>130.67018880911806</c:v>
                </c:pt>
                <c:pt idx="612">
                  <c:v>130.67040124591912</c:v>
                </c:pt>
                <c:pt idx="613">
                  <c:v>130.6706136793087</c:v>
                </c:pt>
                <c:pt idx="614">
                  <c:v>130.67082610928685</c:v>
                </c:pt>
                <c:pt idx="615">
                  <c:v>130.67103853585351</c:v>
                </c:pt>
                <c:pt idx="616">
                  <c:v>130.6712509590088</c:v>
                </c:pt>
                <c:pt idx="617">
                  <c:v>130.67146337875272</c:v>
                </c:pt>
                <c:pt idx="618">
                  <c:v>130.67167579508524</c:v>
                </c:pt>
                <c:pt idx="619">
                  <c:v>130.67188820800646</c:v>
                </c:pt>
                <c:pt idx="620">
                  <c:v>130.67210061751635</c:v>
                </c:pt>
                <c:pt idx="621">
                  <c:v>130.672313023615</c:v>
                </c:pt>
                <c:pt idx="622">
                  <c:v>130.67252542630237</c:v>
                </c:pt>
                <c:pt idx="623">
                  <c:v>130.67273782557851</c:v>
                </c:pt>
                <c:pt idx="624">
                  <c:v>130.67295022144341</c:v>
                </c:pt>
                <c:pt idx="625">
                  <c:v>130.67316261389718</c:v>
                </c:pt>
                <c:pt idx="626">
                  <c:v>130.67337500293976</c:v>
                </c:pt>
                <c:pt idx="627">
                  <c:v>130.67358738857124</c:v>
                </c:pt>
                <c:pt idx="628">
                  <c:v>130.67379977079156</c:v>
                </c:pt>
                <c:pt idx="629">
                  <c:v>130.67401214960086</c:v>
                </c:pt>
                <c:pt idx="630">
                  <c:v>130.67422452499903</c:v>
                </c:pt>
                <c:pt idx="631">
                  <c:v>130.67443689698624</c:v>
                </c:pt>
                <c:pt idx="632">
                  <c:v>130.67464926556244</c:v>
                </c:pt>
                <c:pt idx="633">
                  <c:v>130.67486163072763</c:v>
                </c:pt>
                <c:pt idx="634">
                  <c:v>130.67507399248188</c:v>
                </c:pt>
                <c:pt idx="635">
                  <c:v>130.67528635082522</c:v>
                </c:pt>
                <c:pt idx="636">
                  <c:v>130.67549870575763</c:v>
                </c:pt>
                <c:pt idx="637">
                  <c:v>130.67571105727916</c:v>
                </c:pt>
                <c:pt idx="638">
                  <c:v>130.67592340538985</c:v>
                </c:pt>
                <c:pt idx="639">
                  <c:v>130.67613575008974</c:v>
                </c:pt>
                <c:pt idx="640">
                  <c:v>130.67634809137877</c:v>
                </c:pt>
                <c:pt idx="641">
                  <c:v>130.67656042925705</c:v>
                </c:pt>
                <c:pt idx="642">
                  <c:v>130.67677276372461</c:v>
                </c:pt>
                <c:pt idx="643">
                  <c:v>130.67698509478146</c:v>
                </c:pt>
                <c:pt idx="644">
                  <c:v>130.67719742242753</c:v>
                </c:pt>
                <c:pt idx="645">
                  <c:v>130.67740974666299</c:v>
                </c:pt>
                <c:pt idx="646">
                  <c:v>130.67762206748776</c:v>
                </c:pt>
                <c:pt idx="647">
                  <c:v>130.67783438490193</c:v>
                </c:pt>
                <c:pt idx="648">
                  <c:v>130.67804669890549</c:v>
                </c:pt>
                <c:pt idx="649">
                  <c:v>130.6782590094985</c:v>
                </c:pt>
                <c:pt idx="650">
                  <c:v>130.67847131668094</c:v>
                </c:pt>
                <c:pt idx="651">
                  <c:v>130.67868362045286</c:v>
                </c:pt>
                <c:pt idx="652">
                  <c:v>130.67889592081428</c:v>
                </c:pt>
                <c:pt idx="653">
                  <c:v>130.67910821776522</c:v>
                </c:pt>
                <c:pt idx="654">
                  <c:v>130.67932051130569</c:v>
                </c:pt>
                <c:pt idx="655">
                  <c:v>130.67953280143578</c:v>
                </c:pt>
                <c:pt idx="656">
                  <c:v>130.67974508815544</c:v>
                </c:pt>
                <c:pt idx="657">
                  <c:v>130.67995737146475</c:v>
                </c:pt>
                <c:pt idx="658">
                  <c:v>130.68016965136371</c:v>
                </c:pt>
                <c:pt idx="659">
                  <c:v>130.68038192785238</c:v>
                </c:pt>
                <c:pt idx="660">
                  <c:v>130.6805942009307</c:v>
                </c:pt>
                <c:pt idx="661">
                  <c:v>130.68080647059881</c:v>
                </c:pt>
                <c:pt idx="662">
                  <c:v>130.68101873685663</c:v>
                </c:pt>
                <c:pt idx="663">
                  <c:v>130.68123099970427</c:v>
                </c:pt>
                <c:pt idx="664">
                  <c:v>130.6814432591417</c:v>
                </c:pt>
                <c:pt idx="665">
                  <c:v>130.68165551516896</c:v>
                </c:pt>
                <c:pt idx="666">
                  <c:v>130.68186776778603</c:v>
                </c:pt>
                <c:pt idx="667">
                  <c:v>130.68208001699301</c:v>
                </c:pt>
                <c:pt idx="668">
                  <c:v>130.68229226278996</c:v>
                </c:pt>
                <c:pt idx="669">
                  <c:v>130.68250450517678</c:v>
                </c:pt>
                <c:pt idx="670">
                  <c:v>130.68271674415357</c:v>
                </c:pt>
                <c:pt idx="671">
                  <c:v>130.68292897972034</c:v>
                </c:pt>
                <c:pt idx="672">
                  <c:v>130.68314121187711</c:v>
                </c:pt>
                <c:pt idx="673">
                  <c:v>130.68335344062396</c:v>
                </c:pt>
                <c:pt idx="674">
                  <c:v>130.68356566596083</c:v>
                </c:pt>
                <c:pt idx="675">
                  <c:v>130.6837778878878</c:v>
                </c:pt>
                <c:pt idx="676">
                  <c:v>130.68399010640488</c:v>
                </c:pt>
                <c:pt idx="677">
                  <c:v>130.68420232151206</c:v>
                </c:pt>
                <c:pt idx="678">
                  <c:v>130.68441453320943</c:v>
                </c:pt>
                <c:pt idx="679">
                  <c:v>130.684626741497</c:v>
                </c:pt>
                <c:pt idx="680">
                  <c:v>130.68483894637475</c:v>
                </c:pt>
                <c:pt idx="681">
                  <c:v>130.68505114784276</c:v>
                </c:pt>
                <c:pt idx="682">
                  <c:v>130.68526334590101</c:v>
                </c:pt>
                <c:pt idx="683">
                  <c:v>130.68547554054953</c:v>
                </c:pt>
                <c:pt idx="684">
                  <c:v>130.68568773178839</c:v>
                </c:pt>
                <c:pt idx="685">
                  <c:v>130.68589991961761</c:v>
                </c:pt>
                <c:pt idx="686">
                  <c:v>130.68611210403716</c:v>
                </c:pt>
                <c:pt idx="687">
                  <c:v>130.68632428504711</c:v>
                </c:pt>
                <c:pt idx="688">
                  <c:v>130.6865364626475</c:v>
                </c:pt>
                <c:pt idx="689">
                  <c:v>130.6867486368383</c:v>
                </c:pt>
                <c:pt idx="690">
                  <c:v>130.68696080761956</c:v>
                </c:pt>
                <c:pt idx="691">
                  <c:v>130.68717297499131</c:v>
                </c:pt>
                <c:pt idx="692">
                  <c:v>130.68738513895357</c:v>
                </c:pt>
                <c:pt idx="693">
                  <c:v>130.68759729950639</c:v>
                </c:pt>
                <c:pt idx="694">
                  <c:v>130.68780945664975</c:v>
                </c:pt>
                <c:pt idx="695">
                  <c:v>130.68802161038374</c:v>
                </c:pt>
                <c:pt idx="696">
                  <c:v>130.6882337607083</c:v>
                </c:pt>
                <c:pt idx="697">
                  <c:v>130.68844590762353</c:v>
                </c:pt>
                <c:pt idx="698">
                  <c:v>130.68865805112941</c:v>
                </c:pt>
                <c:pt idx="699">
                  <c:v>130.68887019122596</c:v>
                </c:pt>
                <c:pt idx="700">
                  <c:v>130.6890823279133</c:v>
                </c:pt>
                <c:pt idx="701">
                  <c:v>130.68929446119134</c:v>
                </c:pt>
                <c:pt idx="702">
                  <c:v>130.68950659106014</c:v>
                </c:pt>
                <c:pt idx="703">
                  <c:v>130.68971871751972</c:v>
                </c:pt>
                <c:pt idx="704">
                  <c:v>130.68993084057016</c:v>
                </c:pt>
                <c:pt idx="705">
                  <c:v>130.6901429602114</c:v>
                </c:pt>
                <c:pt idx="706">
                  <c:v>130.69035507644355</c:v>
                </c:pt>
                <c:pt idx="707">
                  <c:v>130.69056718926657</c:v>
                </c:pt>
                <c:pt idx="708">
                  <c:v>130.6907792986805</c:v>
                </c:pt>
                <c:pt idx="709">
                  <c:v>130.69099140468541</c:v>
                </c:pt>
                <c:pt idx="710">
                  <c:v>130.69120350728127</c:v>
                </c:pt>
                <c:pt idx="711">
                  <c:v>130.69141560646813</c:v>
                </c:pt>
                <c:pt idx="712">
                  <c:v>130.691627702246</c:v>
                </c:pt>
                <c:pt idx="713">
                  <c:v>130.69183979461491</c:v>
                </c:pt>
                <c:pt idx="714">
                  <c:v>130.69205188357492</c:v>
                </c:pt>
                <c:pt idx="715">
                  <c:v>130.692263969126</c:v>
                </c:pt>
                <c:pt idx="716">
                  <c:v>130.69247605126822</c:v>
                </c:pt>
                <c:pt idx="717">
                  <c:v>130.69268813000159</c:v>
                </c:pt>
                <c:pt idx="718">
                  <c:v>130.69290020532614</c:v>
                </c:pt>
                <c:pt idx="719">
                  <c:v>130.69311227724191</c:v>
                </c:pt>
                <c:pt idx="720">
                  <c:v>130.69332434574883</c:v>
                </c:pt>
                <c:pt idx="721">
                  <c:v>130.69353641084706</c:v>
                </c:pt>
                <c:pt idx="722">
                  <c:v>130.69374847253656</c:v>
                </c:pt>
                <c:pt idx="723">
                  <c:v>130.69396053081732</c:v>
                </c:pt>
                <c:pt idx="724">
                  <c:v>130.69417258568942</c:v>
                </c:pt>
                <c:pt idx="725">
                  <c:v>130.69438463715287</c:v>
                </c:pt>
                <c:pt idx="726">
                  <c:v>130.69459668520773</c:v>
                </c:pt>
                <c:pt idx="727">
                  <c:v>130.69480872985395</c:v>
                </c:pt>
                <c:pt idx="728">
                  <c:v>130.69502077109161</c:v>
                </c:pt>
                <c:pt idx="729">
                  <c:v>130.69523280892071</c:v>
                </c:pt>
                <c:pt idx="730">
                  <c:v>130.69544484334131</c:v>
                </c:pt>
                <c:pt idx="731">
                  <c:v>130.6956568743534</c:v>
                </c:pt>
                <c:pt idx="732">
                  <c:v>130.695868901957</c:v>
                </c:pt>
                <c:pt idx="733">
                  <c:v>130.69608092615218</c:v>
                </c:pt>
                <c:pt idx="734">
                  <c:v>130.69629294693894</c:v>
                </c:pt>
                <c:pt idx="735">
                  <c:v>130.69650496431731</c:v>
                </c:pt>
                <c:pt idx="736">
                  <c:v>130.69671697828727</c:v>
                </c:pt>
                <c:pt idx="737">
                  <c:v>130.69692898884892</c:v>
                </c:pt>
                <c:pt idx="738">
                  <c:v>130.69714099600222</c:v>
                </c:pt>
                <c:pt idx="739">
                  <c:v>130.69735299974727</c:v>
                </c:pt>
                <c:pt idx="740">
                  <c:v>130.69756500008398</c:v>
                </c:pt>
                <c:pt idx="741">
                  <c:v>130.69777699701248</c:v>
                </c:pt>
                <c:pt idx="742">
                  <c:v>130.69798899053276</c:v>
                </c:pt>
                <c:pt idx="743">
                  <c:v>130.69820098064486</c:v>
                </c:pt>
                <c:pt idx="744">
                  <c:v>130.69841296734879</c:v>
                </c:pt>
                <c:pt idx="745">
                  <c:v>130.69862495064459</c:v>
                </c:pt>
                <c:pt idx="746">
                  <c:v>130.69883693053222</c:v>
                </c:pt>
                <c:pt idx="747">
                  <c:v>130.69904890701179</c:v>
                </c:pt>
                <c:pt idx="748">
                  <c:v>130.69926088008327</c:v>
                </c:pt>
                <c:pt idx="749">
                  <c:v>130.69947284974674</c:v>
                </c:pt>
                <c:pt idx="750">
                  <c:v>130.69968481600216</c:v>
                </c:pt>
                <c:pt idx="751">
                  <c:v>130.69989677884959</c:v>
                </c:pt>
                <c:pt idx="752">
                  <c:v>130.70010873828909</c:v>
                </c:pt>
                <c:pt idx="753">
                  <c:v>130.7003206943206</c:v>
                </c:pt>
                <c:pt idx="754">
                  <c:v>130.70053264694423</c:v>
                </c:pt>
                <c:pt idx="755">
                  <c:v>130.70074459615995</c:v>
                </c:pt>
                <c:pt idx="756">
                  <c:v>130.7009565419678</c:v>
                </c:pt>
                <c:pt idx="757">
                  <c:v>130.70116848436783</c:v>
                </c:pt>
                <c:pt idx="758">
                  <c:v>130.70138042336006</c:v>
                </c:pt>
                <c:pt idx="759">
                  <c:v>130.70159235894448</c:v>
                </c:pt>
                <c:pt idx="760">
                  <c:v>130.70180429112114</c:v>
                </c:pt>
                <c:pt idx="761">
                  <c:v>130.70201621989006</c:v>
                </c:pt>
                <c:pt idx="762">
                  <c:v>130.70222814525127</c:v>
                </c:pt>
                <c:pt idx="763">
                  <c:v>130.70244006720478</c:v>
                </c:pt>
                <c:pt idx="764">
                  <c:v>130.70265198575066</c:v>
                </c:pt>
                <c:pt idx="765">
                  <c:v>130.70286390088887</c:v>
                </c:pt>
                <c:pt idx="766">
                  <c:v>130.70307581261949</c:v>
                </c:pt>
                <c:pt idx="767">
                  <c:v>130.70328772094251</c:v>
                </c:pt>
                <c:pt idx="768">
                  <c:v>130.70349962585794</c:v>
                </c:pt>
                <c:pt idx="769">
                  <c:v>130.70371152736587</c:v>
                </c:pt>
                <c:pt idx="770">
                  <c:v>130.70392342546626</c:v>
                </c:pt>
                <c:pt idx="771">
                  <c:v>130.7041353201592</c:v>
                </c:pt>
                <c:pt idx="772">
                  <c:v>130.70434721144466</c:v>
                </c:pt>
                <c:pt idx="773">
                  <c:v>130.70455909932269</c:v>
                </c:pt>
                <c:pt idx="774">
                  <c:v>130.70477098379334</c:v>
                </c:pt>
                <c:pt idx="775">
                  <c:v>130.70498286485656</c:v>
                </c:pt>
                <c:pt idx="776">
                  <c:v>130.70519474251245</c:v>
                </c:pt>
                <c:pt idx="777">
                  <c:v>130.70540661676097</c:v>
                </c:pt>
                <c:pt idx="778">
                  <c:v>130.70561848760224</c:v>
                </c:pt>
                <c:pt idx="779">
                  <c:v>130.70583035503617</c:v>
                </c:pt>
                <c:pt idx="780">
                  <c:v>130.70604221906288</c:v>
                </c:pt>
                <c:pt idx="781">
                  <c:v>130.70625407968234</c:v>
                </c:pt>
                <c:pt idx="782">
                  <c:v>130.7064659368946</c:v>
                </c:pt>
                <c:pt idx="783">
                  <c:v>130.70667779069967</c:v>
                </c:pt>
                <c:pt idx="784">
                  <c:v>130.7068896410976</c:v>
                </c:pt>
                <c:pt idx="785">
                  <c:v>130.7071014880884</c:v>
                </c:pt>
                <c:pt idx="786">
                  <c:v>130.70731333167208</c:v>
                </c:pt>
                <c:pt idx="787">
                  <c:v>130.70752517184872</c:v>
                </c:pt>
                <c:pt idx="788">
                  <c:v>130.70773700861827</c:v>
                </c:pt>
                <c:pt idx="789">
                  <c:v>130.70794884198079</c:v>
                </c:pt>
                <c:pt idx="790">
                  <c:v>130.7081606719363</c:v>
                </c:pt>
                <c:pt idx="791">
                  <c:v>130.70837249848483</c:v>
                </c:pt>
                <c:pt idx="792">
                  <c:v>130.7085843216264</c:v>
                </c:pt>
                <c:pt idx="793">
                  <c:v>130.70879614136106</c:v>
                </c:pt>
                <c:pt idx="794">
                  <c:v>130.70900795768884</c:v>
                </c:pt>
                <c:pt idx="795">
                  <c:v>130.70921977060971</c:v>
                </c:pt>
                <c:pt idx="796">
                  <c:v>130.70943158012372</c:v>
                </c:pt>
                <c:pt idx="797">
                  <c:v>130.70964338623094</c:v>
                </c:pt>
                <c:pt idx="798">
                  <c:v>130.70985518893133</c:v>
                </c:pt>
                <c:pt idx="799">
                  <c:v>130.71006698822492</c:v>
                </c:pt>
                <c:pt idx="800">
                  <c:v>130.71027878411178</c:v>
                </c:pt>
                <c:pt idx="801">
                  <c:v>130.71049057659192</c:v>
                </c:pt>
                <c:pt idx="802">
                  <c:v>130.71070236566533</c:v>
                </c:pt>
                <c:pt idx="803">
                  <c:v>130.71091415133208</c:v>
                </c:pt>
                <c:pt idx="804">
                  <c:v>130.7111259335922</c:v>
                </c:pt>
                <c:pt idx="805">
                  <c:v>130.71133771244567</c:v>
                </c:pt>
                <c:pt idx="806">
                  <c:v>130.71154948789257</c:v>
                </c:pt>
                <c:pt idx="807">
                  <c:v>130.7117612599329</c:v>
                </c:pt>
                <c:pt idx="808">
                  <c:v>130.71197302856666</c:v>
                </c:pt>
                <c:pt idx="809">
                  <c:v>130.71218479379391</c:v>
                </c:pt>
                <c:pt idx="810">
                  <c:v>130.71239655561467</c:v>
                </c:pt>
                <c:pt idx="811">
                  <c:v>130.71260831402896</c:v>
                </c:pt>
                <c:pt idx="812">
                  <c:v>130.71282006903675</c:v>
                </c:pt>
                <c:pt idx="813">
                  <c:v>130.71303182063818</c:v>
                </c:pt>
                <c:pt idx="814">
                  <c:v>130.71324356883318</c:v>
                </c:pt>
                <c:pt idx="815">
                  <c:v>130.71345531362181</c:v>
                </c:pt>
                <c:pt idx="816">
                  <c:v>130.71366705500412</c:v>
                </c:pt>
                <c:pt idx="817">
                  <c:v>130.7138787929801</c:v>
                </c:pt>
                <c:pt idx="818">
                  <c:v>130.71409052754976</c:v>
                </c:pt>
                <c:pt idx="819">
                  <c:v>130.71430225871319</c:v>
                </c:pt>
                <c:pt idx="820">
                  <c:v>130.71451398647037</c:v>
                </c:pt>
                <c:pt idx="821">
                  <c:v>130.71472571082128</c:v>
                </c:pt>
                <c:pt idx="822">
                  <c:v>130.71493743176603</c:v>
                </c:pt>
                <c:pt idx="823">
                  <c:v>130.71514914930461</c:v>
                </c:pt>
                <c:pt idx="824">
                  <c:v>130.71536086343704</c:v>
                </c:pt>
                <c:pt idx="825">
                  <c:v>130.71557257416336</c:v>
                </c:pt>
                <c:pt idx="826">
                  <c:v>130.71578428148359</c:v>
                </c:pt>
                <c:pt idx="827">
                  <c:v>130.71599598539774</c:v>
                </c:pt>
                <c:pt idx="828">
                  <c:v>130.71620768590583</c:v>
                </c:pt>
                <c:pt idx="829">
                  <c:v>130.71641938300795</c:v>
                </c:pt>
                <c:pt idx="830">
                  <c:v>130.71663107670403</c:v>
                </c:pt>
                <c:pt idx="831">
                  <c:v>130.7168427669942</c:v>
                </c:pt>
                <c:pt idx="832">
                  <c:v>130.7170544538784</c:v>
                </c:pt>
                <c:pt idx="833">
                  <c:v>130.71726613735666</c:v>
                </c:pt>
                <c:pt idx="834">
                  <c:v>130.71747781742906</c:v>
                </c:pt>
                <c:pt idx="835">
                  <c:v>130.71768949409557</c:v>
                </c:pt>
                <c:pt idx="836">
                  <c:v>130.71790116735625</c:v>
                </c:pt>
                <c:pt idx="837">
                  <c:v>130.71811283721112</c:v>
                </c:pt>
                <c:pt idx="838">
                  <c:v>130.7183245036602</c:v>
                </c:pt>
                <c:pt idx="839">
                  <c:v>130.71853616670353</c:v>
                </c:pt>
                <c:pt idx="840">
                  <c:v>130.71874782634112</c:v>
                </c:pt>
                <c:pt idx="841">
                  <c:v>130.71895948257301</c:v>
                </c:pt>
                <c:pt idx="842">
                  <c:v>130.71917113539919</c:v>
                </c:pt>
                <c:pt idx="843">
                  <c:v>130.71938278481969</c:v>
                </c:pt>
                <c:pt idx="844">
                  <c:v>130.71959443083458</c:v>
                </c:pt>
                <c:pt idx="845">
                  <c:v>130.71980607344383</c:v>
                </c:pt>
                <c:pt idx="846">
                  <c:v>130.72001771264755</c:v>
                </c:pt>
                <c:pt idx="847">
                  <c:v>130.72022934844568</c:v>
                </c:pt>
                <c:pt idx="848">
                  <c:v>130.72044098083825</c:v>
                </c:pt>
                <c:pt idx="849">
                  <c:v>130.72065260982532</c:v>
                </c:pt>
                <c:pt idx="850">
                  <c:v>130.72086423540691</c:v>
                </c:pt>
                <c:pt idx="851">
                  <c:v>130.72107585758303</c:v>
                </c:pt>
                <c:pt idx="852">
                  <c:v>130.72128747635372</c:v>
                </c:pt>
                <c:pt idx="853">
                  <c:v>130.72149909171901</c:v>
                </c:pt>
                <c:pt idx="854">
                  <c:v>130.72171070367889</c:v>
                </c:pt>
                <c:pt idx="855">
                  <c:v>130.72192231223346</c:v>
                </c:pt>
                <c:pt idx="856">
                  <c:v>130.72213391738268</c:v>
                </c:pt>
                <c:pt idx="857">
                  <c:v>130.72234551912655</c:v>
                </c:pt>
                <c:pt idx="858">
                  <c:v>130.72255711746519</c:v>
                </c:pt>
                <c:pt idx="859">
                  <c:v>130.72276871239856</c:v>
                </c:pt>
                <c:pt idx="860">
                  <c:v>130.72298030392668</c:v>
                </c:pt>
                <c:pt idx="861">
                  <c:v>130.72319189204961</c:v>
                </c:pt>
                <c:pt idx="862">
                  <c:v>130.72340347676737</c:v>
                </c:pt>
                <c:pt idx="863">
                  <c:v>130.72361505807996</c:v>
                </c:pt>
                <c:pt idx="864">
                  <c:v>130.72382663598742</c:v>
                </c:pt>
                <c:pt idx="865">
                  <c:v>130.72403821048979</c:v>
                </c:pt>
                <c:pt idx="866">
                  <c:v>130.72424978158705</c:v>
                </c:pt>
                <c:pt idx="867">
                  <c:v>130.7244613492793</c:v>
                </c:pt>
                <c:pt idx="868">
                  <c:v>130.72467291356648</c:v>
                </c:pt>
                <c:pt idx="869">
                  <c:v>130.72488447444866</c:v>
                </c:pt>
                <c:pt idx="870">
                  <c:v>130.72509603192589</c:v>
                </c:pt>
                <c:pt idx="871">
                  <c:v>130.72530758599817</c:v>
                </c:pt>
                <c:pt idx="872">
                  <c:v>130.72551913666547</c:v>
                </c:pt>
                <c:pt idx="873">
                  <c:v>130.72573068392788</c:v>
                </c:pt>
                <c:pt idx="874">
                  <c:v>130.72594222778542</c:v>
                </c:pt>
                <c:pt idx="875">
                  <c:v>130.72615376823813</c:v>
                </c:pt>
                <c:pt idx="876">
                  <c:v>130.72636530528598</c:v>
                </c:pt>
                <c:pt idx="877">
                  <c:v>130.72657683892905</c:v>
                </c:pt>
                <c:pt idx="878">
                  <c:v>130.72678836916734</c:v>
                </c:pt>
                <c:pt idx="879">
                  <c:v>130.72699989600088</c:v>
                </c:pt>
                <c:pt idx="880">
                  <c:v>130.72721141942969</c:v>
                </c:pt>
                <c:pt idx="881">
                  <c:v>130.72742293945379</c:v>
                </c:pt>
                <c:pt idx="882">
                  <c:v>130.72763445607325</c:v>
                </c:pt>
                <c:pt idx="883">
                  <c:v>130.72784596928801</c:v>
                </c:pt>
                <c:pt idx="884">
                  <c:v>130.7280574790982</c:v>
                </c:pt>
                <c:pt idx="885">
                  <c:v>130.72826898550377</c:v>
                </c:pt>
                <c:pt idx="886">
                  <c:v>130.72848048850477</c:v>
                </c:pt>
                <c:pt idx="887">
                  <c:v>130.72869198810122</c:v>
                </c:pt>
                <c:pt idx="888">
                  <c:v>130.72890348429317</c:v>
                </c:pt>
                <c:pt idx="889">
                  <c:v>130.72911497708057</c:v>
                </c:pt>
                <c:pt idx="890">
                  <c:v>130.72932646646353</c:v>
                </c:pt>
                <c:pt idx="891">
                  <c:v>130.72953795244206</c:v>
                </c:pt>
                <c:pt idx="892">
                  <c:v>130.72974943501615</c:v>
                </c:pt>
                <c:pt idx="893">
                  <c:v>130.72996091418582</c:v>
                </c:pt>
                <c:pt idx="894">
                  <c:v>130.73017238995112</c:v>
                </c:pt>
                <c:pt idx="895">
                  <c:v>130.7303838623121</c:v>
                </c:pt>
                <c:pt idx="896">
                  <c:v>130.73059533126874</c:v>
                </c:pt>
                <c:pt idx="897">
                  <c:v>130.73080679682113</c:v>
                </c:pt>
                <c:pt idx="898">
                  <c:v>130.73101825896919</c:v>
                </c:pt>
                <c:pt idx="899">
                  <c:v>130.73122971771303</c:v>
                </c:pt>
                <c:pt idx="900">
                  <c:v>130.73144117305264</c:v>
                </c:pt>
                <c:pt idx="901">
                  <c:v>130.73165262498804</c:v>
                </c:pt>
                <c:pt idx="902">
                  <c:v>130.73186407351932</c:v>
                </c:pt>
                <c:pt idx="903">
                  <c:v>130.73207551864641</c:v>
                </c:pt>
                <c:pt idx="904">
                  <c:v>130.73228696036941</c:v>
                </c:pt>
                <c:pt idx="905">
                  <c:v>130.73249839868834</c:v>
                </c:pt>
                <c:pt idx="906">
                  <c:v>130.7327098336032</c:v>
                </c:pt>
                <c:pt idx="907">
                  <c:v>130.73292126511399</c:v>
                </c:pt>
                <c:pt idx="908">
                  <c:v>130.73313269322074</c:v>
                </c:pt>
                <c:pt idx="909">
                  <c:v>130.73334411792354</c:v>
                </c:pt>
                <c:pt idx="910">
                  <c:v>130.73355553922238</c:v>
                </c:pt>
                <c:pt idx="911">
                  <c:v>130.73376695711724</c:v>
                </c:pt>
                <c:pt idx="912">
                  <c:v>130.7339783716082</c:v>
                </c:pt>
                <c:pt idx="913">
                  <c:v>130.7341897826953</c:v>
                </c:pt>
                <c:pt idx="914">
                  <c:v>130.73440119037852</c:v>
                </c:pt>
                <c:pt idx="915">
                  <c:v>130.73461259465788</c:v>
                </c:pt>
                <c:pt idx="916">
                  <c:v>130.73482399553345</c:v>
                </c:pt>
                <c:pt idx="917">
                  <c:v>130.73503539300521</c:v>
                </c:pt>
                <c:pt idx="918">
                  <c:v>130.73524678707321</c:v>
                </c:pt>
                <c:pt idx="919">
                  <c:v>130.73545817773748</c:v>
                </c:pt>
                <c:pt idx="920">
                  <c:v>130.73566956499803</c:v>
                </c:pt>
                <c:pt idx="921">
                  <c:v>130.73588094885491</c:v>
                </c:pt>
                <c:pt idx="922">
                  <c:v>130.73609232930815</c:v>
                </c:pt>
                <c:pt idx="923">
                  <c:v>130.73630370635769</c:v>
                </c:pt>
                <c:pt idx="924">
                  <c:v>130.73651508000367</c:v>
                </c:pt>
                <c:pt idx="925">
                  <c:v>130.73672645024604</c:v>
                </c:pt>
                <c:pt idx="926">
                  <c:v>130.73693781708485</c:v>
                </c:pt>
                <c:pt idx="927">
                  <c:v>130.73714918052011</c:v>
                </c:pt>
                <c:pt idx="928">
                  <c:v>130.73736054055189</c:v>
                </c:pt>
                <c:pt idx="929">
                  <c:v>130.73757189718017</c:v>
                </c:pt>
                <c:pt idx="930">
                  <c:v>130.73778325040502</c:v>
                </c:pt>
                <c:pt idx="931">
                  <c:v>130.73799460022641</c:v>
                </c:pt>
                <c:pt idx="932">
                  <c:v>130.7382059466444</c:v>
                </c:pt>
                <c:pt idx="933">
                  <c:v>130.738417289659</c:v>
                </c:pt>
                <c:pt idx="934">
                  <c:v>130.73862862927027</c:v>
                </c:pt>
                <c:pt idx="935">
                  <c:v>130.73883996547818</c:v>
                </c:pt>
                <c:pt idx="936">
                  <c:v>130.73905129828279</c:v>
                </c:pt>
                <c:pt idx="937">
                  <c:v>130.73926262768407</c:v>
                </c:pt>
                <c:pt idx="938">
                  <c:v>130.73947395368216</c:v>
                </c:pt>
                <c:pt idx="939">
                  <c:v>130.73968527627699</c:v>
                </c:pt>
                <c:pt idx="940">
                  <c:v>130.73989659546862</c:v>
                </c:pt>
                <c:pt idx="941">
                  <c:v>130.74010791125707</c:v>
                </c:pt>
                <c:pt idx="942">
                  <c:v>130.74031922364236</c:v>
                </c:pt>
                <c:pt idx="943">
                  <c:v>130.74053053262452</c:v>
                </c:pt>
                <c:pt idx="944">
                  <c:v>130.74074183820355</c:v>
                </c:pt>
                <c:pt idx="945">
                  <c:v>130.74095314037953</c:v>
                </c:pt>
                <c:pt idx="946">
                  <c:v>130.74116443915244</c:v>
                </c:pt>
                <c:pt idx="947">
                  <c:v>130.74137573452236</c:v>
                </c:pt>
                <c:pt idx="948">
                  <c:v>130.74158702648924</c:v>
                </c:pt>
                <c:pt idx="949">
                  <c:v>130.74179831505313</c:v>
                </c:pt>
                <c:pt idx="950">
                  <c:v>130.74200960021409</c:v>
                </c:pt>
                <c:pt idx="951">
                  <c:v>130.74222088197209</c:v>
                </c:pt>
                <c:pt idx="952">
                  <c:v>130.74243216032721</c:v>
                </c:pt>
                <c:pt idx="953">
                  <c:v>130.74264343527949</c:v>
                </c:pt>
                <c:pt idx="954">
                  <c:v>130.74285470682887</c:v>
                </c:pt>
                <c:pt idx="955">
                  <c:v>130.74306597497545</c:v>
                </c:pt>
                <c:pt idx="956">
                  <c:v>130.74327723971922</c:v>
                </c:pt>
                <c:pt idx="957">
                  <c:v>130.74348850106023</c:v>
                </c:pt>
                <c:pt idx="958">
                  <c:v>130.74369975899847</c:v>
                </c:pt>
                <c:pt idx="959">
                  <c:v>130.74391101353402</c:v>
                </c:pt>
                <c:pt idx="960">
                  <c:v>130.74412226466683</c:v>
                </c:pt>
                <c:pt idx="961">
                  <c:v>130.74433351239699</c:v>
                </c:pt>
                <c:pt idx="962">
                  <c:v>130.74454475672448</c:v>
                </c:pt>
                <c:pt idx="963">
                  <c:v>130.74475599764935</c:v>
                </c:pt>
                <c:pt idx="964">
                  <c:v>130.74496723517163</c:v>
                </c:pt>
                <c:pt idx="965">
                  <c:v>130.74517846929135</c:v>
                </c:pt>
                <c:pt idx="966">
                  <c:v>130.74538970000853</c:v>
                </c:pt>
                <c:pt idx="967">
                  <c:v>130.74560092732318</c:v>
                </c:pt>
                <c:pt idx="968">
                  <c:v>130.74581215123533</c:v>
                </c:pt>
                <c:pt idx="969">
                  <c:v>130.746023371745</c:v>
                </c:pt>
                <c:pt idx="970">
                  <c:v>130.74623458885222</c:v>
                </c:pt>
                <c:pt idx="971">
                  <c:v>130.74644580255702</c:v>
                </c:pt>
                <c:pt idx="972">
                  <c:v>130.74665701285943</c:v>
                </c:pt>
                <c:pt idx="973">
                  <c:v>130.74686821975945</c:v>
                </c:pt>
                <c:pt idx="974">
                  <c:v>130.74707942325713</c:v>
                </c:pt>
                <c:pt idx="975">
                  <c:v>130.74729062335251</c:v>
                </c:pt>
                <c:pt idx="976">
                  <c:v>130.74750182004561</c:v>
                </c:pt>
                <c:pt idx="977">
                  <c:v>130.74771301333641</c:v>
                </c:pt>
                <c:pt idx="978">
                  <c:v>130.74792420322495</c:v>
                </c:pt>
                <c:pt idx="979">
                  <c:v>130.74813538971131</c:v>
                </c:pt>
                <c:pt idx="980">
                  <c:v>130.74834657279547</c:v>
                </c:pt>
                <c:pt idx="981">
                  <c:v>130.74855775247744</c:v>
                </c:pt>
                <c:pt idx="982">
                  <c:v>130.74876892875727</c:v>
                </c:pt>
                <c:pt idx="983">
                  <c:v>130.74898010163497</c:v>
                </c:pt>
                <c:pt idx="984">
                  <c:v>130.74919127111059</c:v>
                </c:pt>
                <c:pt idx="985">
                  <c:v>130.74940243718416</c:v>
                </c:pt>
                <c:pt idx="986">
                  <c:v>130.74961359985568</c:v>
                </c:pt>
                <c:pt idx="987">
                  <c:v>130.7498247591252</c:v>
                </c:pt>
                <c:pt idx="988">
                  <c:v>130.75003591499274</c:v>
                </c:pt>
                <c:pt idx="989">
                  <c:v>130.75024706745828</c:v>
                </c:pt>
                <c:pt idx="990">
                  <c:v>130.75045821652188</c:v>
                </c:pt>
                <c:pt idx="991">
                  <c:v>130.7506693621836</c:v>
                </c:pt>
                <c:pt idx="992">
                  <c:v>130.75088050444342</c:v>
                </c:pt>
                <c:pt idx="993">
                  <c:v>130.75109164330135</c:v>
                </c:pt>
                <c:pt idx="994">
                  <c:v>130.75130277875746</c:v>
                </c:pt>
                <c:pt idx="995">
                  <c:v>130.75151391081175</c:v>
                </c:pt>
                <c:pt idx="996">
                  <c:v>130.75172503946428</c:v>
                </c:pt>
                <c:pt idx="997">
                  <c:v>130.751936164715</c:v>
                </c:pt>
                <c:pt idx="998">
                  <c:v>130.75214728656402</c:v>
                </c:pt>
                <c:pt idx="999">
                  <c:v>130.75235840501134</c:v>
                </c:pt>
                <c:pt idx="1000">
                  <c:v>130.75256952005694</c:v>
                </c:pt>
              </c:numCache>
            </c:numRef>
          </c:yVal>
          <c:smooth val="0"/>
          <c:extLst>
            <c:ext xmlns:c16="http://schemas.microsoft.com/office/drawing/2014/chart" uri="{C3380CC4-5D6E-409C-BE32-E72D297353CC}">
              <c16:uniqueId val="{00000000-011B-490F-A283-4EB42FA064EB}"/>
            </c:ext>
          </c:extLst>
        </c:ser>
        <c:dLbls>
          <c:showLegendKey val="0"/>
          <c:showVal val="0"/>
          <c:showCatName val="0"/>
          <c:showSerName val="0"/>
          <c:showPercent val="0"/>
          <c:showBubbleSize val="0"/>
        </c:dLbls>
        <c:axId val="149125760"/>
        <c:axId val="149132032"/>
      </c:scatterChart>
      <c:valAx>
        <c:axId val="149125760"/>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0"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132032"/>
        <c:crosses val="autoZero"/>
        <c:crossBetween val="midCat"/>
      </c:valAx>
      <c:valAx>
        <c:axId val="149132032"/>
        <c:scaling>
          <c:orientation val="minMax"/>
        </c:scaling>
        <c:delete val="0"/>
        <c:axPos val="l"/>
        <c:majorGridlines>
          <c:spPr>
            <a:ln w="3175">
              <a:solidFill>
                <a:srgbClr val="000000"/>
              </a:solidFill>
              <a:prstDash val="sysDash"/>
            </a:ln>
          </c:spPr>
        </c:majorGridlines>
        <c:title>
          <c:tx>
            <c:strRef>
              <c:f>Courbes!$B$141</c:f>
              <c:strCache>
                <c:ptCount val="1"/>
                <c:pt idx="0">
                  <c:v>Vitesse [m/s]</c:v>
                </c:pt>
              </c:strCache>
            </c:strRef>
          </c:tx>
          <c:layout>
            <c:manualLayout>
              <c:xMode val="edge"/>
              <c:yMode val="edge"/>
              <c:x val="2.5943396226415099E-2"/>
              <c:y val="0.22875870516185479"/>
            </c:manualLayout>
          </c:layout>
          <c:overlay val="0"/>
          <c:spPr>
            <a:noFill/>
            <a:ln w="25400">
              <a:noFill/>
            </a:ln>
          </c:spPr>
          <c:txPr>
            <a:bodyPr/>
            <a:lstStyle/>
            <a:p>
              <a:pPr>
                <a:defRPr sz="1000" b="1"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125760"/>
        <c:crosses val="autoZero"/>
        <c:crossBetween val="midCat"/>
      </c:valAx>
      <c:spPr>
        <a:noFill/>
        <a:ln w="12700">
          <a:solidFill>
            <a:srgbClr val="808080"/>
          </a:solidFill>
          <a:prstDash val="solid"/>
        </a:ln>
      </c:spPr>
    </c:plotArea>
    <c:legend>
      <c:legendPos val="r"/>
      <c:layout>
        <c:manualLayout>
          <c:xMode val="edge"/>
          <c:yMode val="edge"/>
          <c:x val="0.81839684544148961"/>
          <c:y val="0.46444479440069991"/>
          <c:w val="0.13207559550339221"/>
          <c:h val="7.7777777777777779E-2"/>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fr-FR"/>
              <a:t>Accélérations</a:t>
            </a:r>
          </a:p>
        </c:rich>
      </c:tx>
      <c:overlay val="1"/>
    </c:title>
    <c:autoTitleDeleted val="0"/>
    <c:plotArea>
      <c:layout>
        <c:manualLayout>
          <c:layoutTarget val="inner"/>
          <c:xMode val="edge"/>
          <c:yMode val="edge"/>
          <c:x val="9.4339622641509524E-2"/>
          <c:y val="9.4771241830065356E-2"/>
          <c:w val="0.88679245283019104"/>
          <c:h val="0.81699346405228768"/>
        </c:manualLayout>
      </c:layout>
      <c:scatterChart>
        <c:scatterStyle val="lineMarker"/>
        <c:varyColors val="0"/>
        <c:ser>
          <c:idx val="0"/>
          <c:order val="0"/>
          <c:tx>
            <c:strRef>
              <c:f>Courbes!$B$137</c:f>
              <c:strCache>
                <c:ptCount val="1"/>
                <c:pt idx="0">
                  <c:v>Accélération longitudinale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2.1000000000000014</c:v>
                </c:pt>
                <c:pt idx="202">
                  <c:v>2.2000000000000015</c:v>
                </c:pt>
                <c:pt idx="203">
                  <c:v>2.3000000000000016</c:v>
                </c:pt>
                <c:pt idx="204">
                  <c:v>2.4000000000000017</c:v>
                </c:pt>
                <c:pt idx="205">
                  <c:v>2.5000000000000018</c:v>
                </c:pt>
                <c:pt idx="206">
                  <c:v>2.6000000000000019</c:v>
                </c:pt>
                <c:pt idx="207">
                  <c:v>2.700000000000002</c:v>
                </c:pt>
                <c:pt idx="208">
                  <c:v>2.800000000000002</c:v>
                </c:pt>
                <c:pt idx="209">
                  <c:v>2.9000000000000021</c:v>
                </c:pt>
                <c:pt idx="210">
                  <c:v>3.0000000000000022</c:v>
                </c:pt>
                <c:pt idx="211">
                  <c:v>3.1000000000000023</c:v>
                </c:pt>
                <c:pt idx="212">
                  <c:v>3.2000000000000024</c:v>
                </c:pt>
                <c:pt idx="213">
                  <c:v>3.3000000000000025</c:v>
                </c:pt>
                <c:pt idx="214">
                  <c:v>3.4000000000000026</c:v>
                </c:pt>
                <c:pt idx="215">
                  <c:v>3.5000000000000027</c:v>
                </c:pt>
                <c:pt idx="216">
                  <c:v>3.6000000000000028</c:v>
                </c:pt>
                <c:pt idx="217">
                  <c:v>3.7000000000000028</c:v>
                </c:pt>
                <c:pt idx="218">
                  <c:v>3.8000000000000029</c:v>
                </c:pt>
                <c:pt idx="219">
                  <c:v>3.900000000000003</c:v>
                </c:pt>
                <c:pt idx="220">
                  <c:v>4.0000000000000027</c:v>
                </c:pt>
                <c:pt idx="221">
                  <c:v>4.1000000000000023</c:v>
                </c:pt>
                <c:pt idx="222">
                  <c:v>4.200000000000002</c:v>
                </c:pt>
                <c:pt idx="223">
                  <c:v>4.3000000000000016</c:v>
                </c:pt>
                <c:pt idx="224">
                  <c:v>4.4000000000000012</c:v>
                </c:pt>
                <c:pt idx="225">
                  <c:v>4.5000000000000009</c:v>
                </c:pt>
                <c:pt idx="226">
                  <c:v>4.6000000000000005</c:v>
                </c:pt>
                <c:pt idx="227">
                  <c:v>4.7</c:v>
                </c:pt>
                <c:pt idx="228">
                  <c:v>4.8</c:v>
                </c:pt>
                <c:pt idx="229">
                  <c:v>4.8999999999999995</c:v>
                </c:pt>
                <c:pt idx="230">
                  <c:v>4.9999999999999991</c:v>
                </c:pt>
                <c:pt idx="231">
                  <c:v>5.0999999999999988</c:v>
                </c:pt>
                <c:pt idx="232">
                  <c:v>5.1999999999999984</c:v>
                </c:pt>
                <c:pt idx="233">
                  <c:v>5.299999999999998</c:v>
                </c:pt>
                <c:pt idx="234">
                  <c:v>5.3999999999999977</c:v>
                </c:pt>
                <c:pt idx="235">
                  <c:v>5.4999999999999973</c:v>
                </c:pt>
                <c:pt idx="236">
                  <c:v>5.599999999999997</c:v>
                </c:pt>
                <c:pt idx="237">
                  <c:v>5.6999999999999966</c:v>
                </c:pt>
                <c:pt idx="238">
                  <c:v>5.7999999999999963</c:v>
                </c:pt>
                <c:pt idx="239">
                  <c:v>5.8999999999999959</c:v>
                </c:pt>
                <c:pt idx="240">
                  <c:v>5.9999999999999956</c:v>
                </c:pt>
                <c:pt idx="241">
                  <c:v>6.0999999999999952</c:v>
                </c:pt>
                <c:pt idx="242">
                  <c:v>6.1999999999999948</c:v>
                </c:pt>
                <c:pt idx="243">
                  <c:v>6.2999999999999945</c:v>
                </c:pt>
                <c:pt idx="244">
                  <c:v>6.3999999999999941</c:v>
                </c:pt>
                <c:pt idx="245">
                  <c:v>6.4999999999999938</c:v>
                </c:pt>
                <c:pt idx="246">
                  <c:v>6.5999999999999934</c:v>
                </c:pt>
                <c:pt idx="247">
                  <c:v>6.6999999999999931</c:v>
                </c:pt>
                <c:pt idx="248">
                  <c:v>6.7999999999999927</c:v>
                </c:pt>
                <c:pt idx="249">
                  <c:v>6.8999999999999924</c:v>
                </c:pt>
                <c:pt idx="250">
                  <c:v>6.999999999999992</c:v>
                </c:pt>
                <c:pt idx="251">
                  <c:v>7.0999999999999917</c:v>
                </c:pt>
                <c:pt idx="252">
                  <c:v>7.1999999999999913</c:v>
                </c:pt>
                <c:pt idx="253">
                  <c:v>7.2999999999999909</c:v>
                </c:pt>
                <c:pt idx="254">
                  <c:v>7.3999999999999906</c:v>
                </c:pt>
                <c:pt idx="255">
                  <c:v>7.4999999999999902</c:v>
                </c:pt>
                <c:pt idx="256">
                  <c:v>7.5999999999999899</c:v>
                </c:pt>
                <c:pt idx="257">
                  <c:v>7.6999999999999895</c:v>
                </c:pt>
                <c:pt idx="258">
                  <c:v>7.7999999999999892</c:v>
                </c:pt>
                <c:pt idx="259">
                  <c:v>7.8999999999999888</c:v>
                </c:pt>
                <c:pt idx="260">
                  <c:v>7.9999999999999885</c:v>
                </c:pt>
                <c:pt idx="261">
                  <c:v>8.099999999999989</c:v>
                </c:pt>
                <c:pt idx="262">
                  <c:v>8.1999999999999886</c:v>
                </c:pt>
                <c:pt idx="263">
                  <c:v>8.2999999999999883</c:v>
                </c:pt>
                <c:pt idx="264">
                  <c:v>8.3999999999999879</c:v>
                </c:pt>
                <c:pt idx="265">
                  <c:v>8.4999999999999876</c:v>
                </c:pt>
                <c:pt idx="266">
                  <c:v>8.5999999999999872</c:v>
                </c:pt>
                <c:pt idx="267">
                  <c:v>8.6999999999999869</c:v>
                </c:pt>
                <c:pt idx="268">
                  <c:v>8.7999999999999865</c:v>
                </c:pt>
                <c:pt idx="269">
                  <c:v>8.8999999999999861</c:v>
                </c:pt>
                <c:pt idx="270">
                  <c:v>8.9999999999999858</c:v>
                </c:pt>
                <c:pt idx="271">
                  <c:v>9.0999999999999854</c:v>
                </c:pt>
                <c:pt idx="272">
                  <c:v>9.1999999999999851</c:v>
                </c:pt>
                <c:pt idx="273">
                  <c:v>9.2999999999999847</c:v>
                </c:pt>
                <c:pt idx="274">
                  <c:v>9.3999999999999844</c:v>
                </c:pt>
                <c:pt idx="275">
                  <c:v>9.499999999999984</c:v>
                </c:pt>
                <c:pt idx="276">
                  <c:v>9.5999999999999837</c:v>
                </c:pt>
                <c:pt idx="277">
                  <c:v>9.6999999999999833</c:v>
                </c:pt>
                <c:pt idx="278">
                  <c:v>9.7999999999999829</c:v>
                </c:pt>
                <c:pt idx="279">
                  <c:v>9.8999999999999826</c:v>
                </c:pt>
                <c:pt idx="280">
                  <c:v>9.9999999999999822</c:v>
                </c:pt>
                <c:pt idx="281">
                  <c:v>10.099999999999982</c:v>
                </c:pt>
                <c:pt idx="282">
                  <c:v>10.199999999999982</c:v>
                </c:pt>
                <c:pt idx="283">
                  <c:v>10.299999999999981</c:v>
                </c:pt>
                <c:pt idx="284">
                  <c:v>10.399999999999981</c:v>
                </c:pt>
                <c:pt idx="285">
                  <c:v>10.49999999999998</c:v>
                </c:pt>
                <c:pt idx="286">
                  <c:v>10.59999999999998</c:v>
                </c:pt>
                <c:pt idx="287">
                  <c:v>10.69999999999998</c:v>
                </c:pt>
                <c:pt idx="288">
                  <c:v>10.799999999999979</c:v>
                </c:pt>
                <c:pt idx="289">
                  <c:v>10.899999999999979</c:v>
                </c:pt>
                <c:pt idx="290">
                  <c:v>10.999999999999979</c:v>
                </c:pt>
                <c:pt idx="291">
                  <c:v>11.099999999999978</c:v>
                </c:pt>
                <c:pt idx="292">
                  <c:v>11.199999999999978</c:v>
                </c:pt>
                <c:pt idx="293">
                  <c:v>11.299999999999978</c:v>
                </c:pt>
                <c:pt idx="294">
                  <c:v>11.399999999999977</c:v>
                </c:pt>
                <c:pt idx="295">
                  <c:v>11.499999999999977</c:v>
                </c:pt>
                <c:pt idx="296">
                  <c:v>11.599999999999977</c:v>
                </c:pt>
                <c:pt idx="297">
                  <c:v>11.699999999999976</c:v>
                </c:pt>
                <c:pt idx="298">
                  <c:v>11.799999999999976</c:v>
                </c:pt>
                <c:pt idx="299">
                  <c:v>11.899999999999975</c:v>
                </c:pt>
                <c:pt idx="300">
                  <c:v>11.999999999999975</c:v>
                </c:pt>
                <c:pt idx="301">
                  <c:v>12.099999999999975</c:v>
                </c:pt>
                <c:pt idx="302">
                  <c:v>12.199999999999974</c:v>
                </c:pt>
                <c:pt idx="303">
                  <c:v>12.299999999999974</c:v>
                </c:pt>
                <c:pt idx="304">
                  <c:v>12.399999999999974</c:v>
                </c:pt>
                <c:pt idx="305">
                  <c:v>12.499999999999973</c:v>
                </c:pt>
                <c:pt idx="306">
                  <c:v>12.599999999999973</c:v>
                </c:pt>
                <c:pt idx="307">
                  <c:v>12.699999999999973</c:v>
                </c:pt>
                <c:pt idx="308">
                  <c:v>12.799999999999972</c:v>
                </c:pt>
                <c:pt idx="309">
                  <c:v>12.899999999999972</c:v>
                </c:pt>
                <c:pt idx="310">
                  <c:v>12.999999999999972</c:v>
                </c:pt>
                <c:pt idx="311">
                  <c:v>13.099999999999971</c:v>
                </c:pt>
                <c:pt idx="312">
                  <c:v>13.199999999999971</c:v>
                </c:pt>
                <c:pt idx="313">
                  <c:v>13.299999999999971</c:v>
                </c:pt>
                <c:pt idx="314">
                  <c:v>13.39999999999997</c:v>
                </c:pt>
                <c:pt idx="315">
                  <c:v>13.49999999999997</c:v>
                </c:pt>
                <c:pt idx="316">
                  <c:v>13.599999999999969</c:v>
                </c:pt>
                <c:pt idx="317">
                  <c:v>13.699999999999969</c:v>
                </c:pt>
                <c:pt idx="318">
                  <c:v>13.799999999999969</c:v>
                </c:pt>
                <c:pt idx="319">
                  <c:v>13.899999999999968</c:v>
                </c:pt>
                <c:pt idx="320">
                  <c:v>13.999999999999968</c:v>
                </c:pt>
                <c:pt idx="321">
                  <c:v>14.099999999999968</c:v>
                </c:pt>
                <c:pt idx="322">
                  <c:v>14.199999999999967</c:v>
                </c:pt>
                <c:pt idx="323">
                  <c:v>14.299999999999967</c:v>
                </c:pt>
                <c:pt idx="324">
                  <c:v>14.399999999999967</c:v>
                </c:pt>
                <c:pt idx="325">
                  <c:v>14.499999999999966</c:v>
                </c:pt>
                <c:pt idx="326">
                  <c:v>14.599999999999966</c:v>
                </c:pt>
                <c:pt idx="327">
                  <c:v>14.699999999999966</c:v>
                </c:pt>
                <c:pt idx="328">
                  <c:v>14.799999999999965</c:v>
                </c:pt>
                <c:pt idx="329">
                  <c:v>14.899999999999965</c:v>
                </c:pt>
                <c:pt idx="330">
                  <c:v>14.999999999999964</c:v>
                </c:pt>
                <c:pt idx="331">
                  <c:v>15.099999999999964</c:v>
                </c:pt>
                <c:pt idx="332">
                  <c:v>15.199999999999964</c:v>
                </c:pt>
                <c:pt idx="333">
                  <c:v>15.299999999999963</c:v>
                </c:pt>
                <c:pt idx="334">
                  <c:v>15.399999999999963</c:v>
                </c:pt>
                <c:pt idx="335">
                  <c:v>15.499999999999963</c:v>
                </c:pt>
                <c:pt idx="336">
                  <c:v>15.599999999999962</c:v>
                </c:pt>
                <c:pt idx="337">
                  <c:v>15.699999999999962</c:v>
                </c:pt>
                <c:pt idx="338">
                  <c:v>15.799999999999962</c:v>
                </c:pt>
                <c:pt idx="339">
                  <c:v>15.899999999999961</c:v>
                </c:pt>
                <c:pt idx="340">
                  <c:v>15.999999999999961</c:v>
                </c:pt>
                <c:pt idx="341">
                  <c:v>16.099999999999962</c:v>
                </c:pt>
                <c:pt idx="342">
                  <c:v>16.199999999999964</c:v>
                </c:pt>
                <c:pt idx="343">
                  <c:v>16.299999999999965</c:v>
                </c:pt>
                <c:pt idx="344">
                  <c:v>16.399999999999967</c:v>
                </c:pt>
                <c:pt idx="345">
                  <c:v>16.499999999999968</c:v>
                </c:pt>
                <c:pt idx="346">
                  <c:v>16.599999999999969</c:v>
                </c:pt>
                <c:pt idx="347">
                  <c:v>16.699999999999971</c:v>
                </c:pt>
                <c:pt idx="348">
                  <c:v>16.799999999999972</c:v>
                </c:pt>
                <c:pt idx="349">
                  <c:v>16.899999999999974</c:v>
                </c:pt>
                <c:pt idx="350">
                  <c:v>16.999999999999975</c:v>
                </c:pt>
                <c:pt idx="351">
                  <c:v>17.099999999999977</c:v>
                </c:pt>
                <c:pt idx="352">
                  <c:v>17.199999999999978</c:v>
                </c:pt>
                <c:pt idx="353">
                  <c:v>17.299999999999979</c:v>
                </c:pt>
                <c:pt idx="354">
                  <c:v>17.399999999999981</c:v>
                </c:pt>
                <c:pt idx="355">
                  <c:v>17.499999999999982</c:v>
                </c:pt>
                <c:pt idx="356">
                  <c:v>17.599999999999984</c:v>
                </c:pt>
                <c:pt idx="357">
                  <c:v>17.699999999999985</c:v>
                </c:pt>
                <c:pt idx="358">
                  <c:v>17.799999999999986</c:v>
                </c:pt>
                <c:pt idx="359">
                  <c:v>17.899999999999988</c:v>
                </c:pt>
                <c:pt idx="360">
                  <c:v>17.999999999999989</c:v>
                </c:pt>
                <c:pt idx="361">
                  <c:v>18.099999999999991</c:v>
                </c:pt>
                <c:pt idx="362">
                  <c:v>18.199999999999992</c:v>
                </c:pt>
                <c:pt idx="363">
                  <c:v>18.299999999999994</c:v>
                </c:pt>
                <c:pt idx="364">
                  <c:v>18.399999999999995</c:v>
                </c:pt>
                <c:pt idx="365">
                  <c:v>18.499999999999996</c:v>
                </c:pt>
                <c:pt idx="366">
                  <c:v>18.599999999999998</c:v>
                </c:pt>
                <c:pt idx="367">
                  <c:v>18.7</c:v>
                </c:pt>
                <c:pt idx="368">
                  <c:v>18.8</c:v>
                </c:pt>
                <c:pt idx="369">
                  <c:v>18.900000000000002</c:v>
                </c:pt>
                <c:pt idx="370">
                  <c:v>19.000000000000004</c:v>
                </c:pt>
                <c:pt idx="371">
                  <c:v>19.100000000000005</c:v>
                </c:pt>
                <c:pt idx="372">
                  <c:v>19.200000000000006</c:v>
                </c:pt>
                <c:pt idx="373">
                  <c:v>19.300000000000008</c:v>
                </c:pt>
                <c:pt idx="374">
                  <c:v>19.400000000000009</c:v>
                </c:pt>
                <c:pt idx="375">
                  <c:v>19.500000000000011</c:v>
                </c:pt>
                <c:pt idx="376">
                  <c:v>19.600000000000012</c:v>
                </c:pt>
                <c:pt idx="377">
                  <c:v>19.700000000000014</c:v>
                </c:pt>
                <c:pt idx="378">
                  <c:v>19.800000000000015</c:v>
                </c:pt>
                <c:pt idx="379">
                  <c:v>19.900000000000016</c:v>
                </c:pt>
                <c:pt idx="380">
                  <c:v>20.000000000000018</c:v>
                </c:pt>
                <c:pt idx="381">
                  <c:v>20.100000000000019</c:v>
                </c:pt>
                <c:pt idx="382">
                  <c:v>20.200000000000021</c:v>
                </c:pt>
                <c:pt idx="383">
                  <c:v>20.300000000000022</c:v>
                </c:pt>
                <c:pt idx="384">
                  <c:v>20.400000000000023</c:v>
                </c:pt>
                <c:pt idx="385">
                  <c:v>20.500000000000025</c:v>
                </c:pt>
                <c:pt idx="386">
                  <c:v>20.600000000000026</c:v>
                </c:pt>
                <c:pt idx="387">
                  <c:v>20.700000000000028</c:v>
                </c:pt>
                <c:pt idx="388">
                  <c:v>20.800000000000029</c:v>
                </c:pt>
                <c:pt idx="389">
                  <c:v>20.900000000000031</c:v>
                </c:pt>
                <c:pt idx="390">
                  <c:v>21.000000000000032</c:v>
                </c:pt>
                <c:pt idx="391">
                  <c:v>21.100000000000033</c:v>
                </c:pt>
                <c:pt idx="392">
                  <c:v>21.200000000000035</c:v>
                </c:pt>
                <c:pt idx="393">
                  <c:v>21.300000000000036</c:v>
                </c:pt>
                <c:pt idx="394">
                  <c:v>21.400000000000038</c:v>
                </c:pt>
                <c:pt idx="395">
                  <c:v>21.500000000000039</c:v>
                </c:pt>
                <c:pt idx="396">
                  <c:v>21.600000000000041</c:v>
                </c:pt>
                <c:pt idx="397">
                  <c:v>21.700000000000042</c:v>
                </c:pt>
                <c:pt idx="398">
                  <c:v>21.800000000000043</c:v>
                </c:pt>
                <c:pt idx="399">
                  <c:v>21.900000000000045</c:v>
                </c:pt>
                <c:pt idx="400">
                  <c:v>22.000000000000046</c:v>
                </c:pt>
                <c:pt idx="401">
                  <c:v>22.100000000000048</c:v>
                </c:pt>
                <c:pt idx="402">
                  <c:v>22.200000000000049</c:v>
                </c:pt>
                <c:pt idx="403">
                  <c:v>22.30000000000005</c:v>
                </c:pt>
                <c:pt idx="404">
                  <c:v>22.400000000000052</c:v>
                </c:pt>
                <c:pt idx="405">
                  <c:v>22.500000000000053</c:v>
                </c:pt>
                <c:pt idx="406">
                  <c:v>22.600000000000055</c:v>
                </c:pt>
                <c:pt idx="407">
                  <c:v>22.700000000000056</c:v>
                </c:pt>
                <c:pt idx="408">
                  <c:v>22.800000000000058</c:v>
                </c:pt>
                <c:pt idx="409">
                  <c:v>22.900000000000059</c:v>
                </c:pt>
                <c:pt idx="410">
                  <c:v>23.00000000000006</c:v>
                </c:pt>
                <c:pt idx="411">
                  <c:v>23.100000000000062</c:v>
                </c:pt>
                <c:pt idx="412">
                  <c:v>23.200000000000063</c:v>
                </c:pt>
                <c:pt idx="413">
                  <c:v>23.300000000000065</c:v>
                </c:pt>
                <c:pt idx="414">
                  <c:v>23.400000000000066</c:v>
                </c:pt>
                <c:pt idx="415">
                  <c:v>23.500000000000068</c:v>
                </c:pt>
                <c:pt idx="416">
                  <c:v>23.600000000000069</c:v>
                </c:pt>
                <c:pt idx="417">
                  <c:v>23.70000000000007</c:v>
                </c:pt>
                <c:pt idx="418">
                  <c:v>23.800000000000072</c:v>
                </c:pt>
                <c:pt idx="419">
                  <c:v>23.900000000000073</c:v>
                </c:pt>
                <c:pt idx="420">
                  <c:v>24.000000000000075</c:v>
                </c:pt>
                <c:pt idx="421">
                  <c:v>24.100000000000076</c:v>
                </c:pt>
                <c:pt idx="422">
                  <c:v>24.200000000000077</c:v>
                </c:pt>
                <c:pt idx="423">
                  <c:v>24.300000000000079</c:v>
                </c:pt>
                <c:pt idx="424">
                  <c:v>24.40000000000008</c:v>
                </c:pt>
                <c:pt idx="425">
                  <c:v>24.500000000000082</c:v>
                </c:pt>
                <c:pt idx="426">
                  <c:v>24.600000000000083</c:v>
                </c:pt>
                <c:pt idx="427">
                  <c:v>24.700000000000085</c:v>
                </c:pt>
                <c:pt idx="428">
                  <c:v>24.800000000000086</c:v>
                </c:pt>
                <c:pt idx="429">
                  <c:v>24.900000000000087</c:v>
                </c:pt>
                <c:pt idx="430">
                  <c:v>25.000000000000089</c:v>
                </c:pt>
                <c:pt idx="431">
                  <c:v>25.10000000000009</c:v>
                </c:pt>
                <c:pt idx="432">
                  <c:v>25.200000000000092</c:v>
                </c:pt>
                <c:pt idx="433">
                  <c:v>25.300000000000093</c:v>
                </c:pt>
                <c:pt idx="434">
                  <c:v>25.400000000000095</c:v>
                </c:pt>
                <c:pt idx="435">
                  <c:v>25.500000000000096</c:v>
                </c:pt>
                <c:pt idx="436">
                  <c:v>25.600000000000097</c:v>
                </c:pt>
                <c:pt idx="437">
                  <c:v>25.700000000000099</c:v>
                </c:pt>
                <c:pt idx="438">
                  <c:v>25.8000000000001</c:v>
                </c:pt>
                <c:pt idx="439">
                  <c:v>25.900000000000102</c:v>
                </c:pt>
                <c:pt idx="440">
                  <c:v>26.000000000000103</c:v>
                </c:pt>
                <c:pt idx="441">
                  <c:v>26.100000000000104</c:v>
                </c:pt>
                <c:pt idx="442">
                  <c:v>26.200000000000106</c:v>
                </c:pt>
                <c:pt idx="443">
                  <c:v>26.300000000000107</c:v>
                </c:pt>
                <c:pt idx="444">
                  <c:v>26.400000000000109</c:v>
                </c:pt>
                <c:pt idx="445">
                  <c:v>26.50000000000011</c:v>
                </c:pt>
                <c:pt idx="446">
                  <c:v>26.600000000000112</c:v>
                </c:pt>
                <c:pt idx="447">
                  <c:v>26.700000000000113</c:v>
                </c:pt>
                <c:pt idx="448">
                  <c:v>26.800000000000114</c:v>
                </c:pt>
                <c:pt idx="449">
                  <c:v>26.900000000000116</c:v>
                </c:pt>
                <c:pt idx="450">
                  <c:v>27.000000000000117</c:v>
                </c:pt>
                <c:pt idx="451">
                  <c:v>27.100000000000119</c:v>
                </c:pt>
                <c:pt idx="452">
                  <c:v>27.20000000000012</c:v>
                </c:pt>
                <c:pt idx="453">
                  <c:v>27.300000000000122</c:v>
                </c:pt>
                <c:pt idx="454">
                  <c:v>27.400000000000123</c:v>
                </c:pt>
                <c:pt idx="455">
                  <c:v>27.500000000000124</c:v>
                </c:pt>
                <c:pt idx="456">
                  <c:v>27.600000000000126</c:v>
                </c:pt>
                <c:pt idx="457">
                  <c:v>27.700000000000127</c:v>
                </c:pt>
                <c:pt idx="458">
                  <c:v>27.800000000000129</c:v>
                </c:pt>
                <c:pt idx="459">
                  <c:v>27.90000000000013</c:v>
                </c:pt>
                <c:pt idx="460">
                  <c:v>28.000000000000131</c:v>
                </c:pt>
                <c:pt idx="461">
                  <c:v>28.100000000000133</c:v>
                </c:pt>
                <c:pt idx="462">
                  <c:v>28.200000000000134</c:v>
                </c:pt>
                <c:pt idx="463">
                  <c:v>28.300000000000136</c:v>
                </c:pt>
                <c:pt idx="464">
                  <c:v>28.400000000000137</c:v>
                </c:pt>
                <c:pt idx="465">
                  <c:v>28.500000000000139</c:v>
                </c:pt>
                <c:pt idx="466">
                  <c:v>28.60000000000014</c:v>
                </c:pt>
                <c:pt idx="467">
                  <c:v>28.700000000000141</c:v>
                </c:pt>
                <c:pt idx="468">
                  <c:v>28.800000000000143</c:v>
                </c:pt>
                <c:pt idx="469">
                  <c:v>28.900000000000144</c:v>
                </c:pt>
                <c:pt idx="470">
                  <c:v>29.000000000000146</c:v>
                </c:pt>
                <c:pt idx="471">
                  <c:v>29.100000000000147</c:v>
                </c:pt>
                <c:pt idx="472">
                  <c:v>29.200000000000149</c:v>
                </c:pt>
                <c:pt idx="473">
                  <c:v>29.30000000000015</c:v>
                </c:pt>
                <c:pt idx="474">
                  <c:v>29.400000000000151</c:v>
                </c:pt>
                <c:pt idx="475">
                  <c:v>29.500000000000153</c:v>
                </c:pt>
                <c:pt idx="476">
                  <c:v>29.600000000000154</c:v>
                </c:pt>
                <c:pt idx="477">
                  <c:v>29.700000000000156</c:v>
                </c:pt>
                <c:pt idx="478">
                  <c:v>29.800000000000157</c:v>
                </c:pt>
                <c:pt idx="479">
                  <c:v>29.900000000000158</c:v>
                </c:pt>
                <c:pt idx="480">
                  <c:v>30.00000000000016</c:v>
                </c:pt>
                <c:pt idx="481">
                  <c:v>30.100000000000161</c:v>
                </c:pt>
                <c:pt idx="482">
                  <c:v>30.200000000000163</c:v>
                </c:pt>
                <c:pt idx="483">
                  <c:v>30.300000000000164</c:v>
                </c:pt>
                <c:pt idx="484">
                  <c:v>30.400000000000166</c:v>
                </c:pt>
                <c:pt idx="485">
                  <c:v>30.500000000000167</c:v>
                </c:pt>
                <c:pt idx="486">
                  <c:v>30.600000000000168</c:v>
                </c:pt>
                <c:pt idx="487">
                  <c:v>30.70000000000017</c:v>
                </c:pt>
                <c:pt idx="488">
                  <c:v>30.800000000000171</c:v>
                </c:pt>
                <c:pt idx="489">
                  <c:v>30.900000000000173</c:v>
                </c:pt>
                <c:pt idx="490">
                  <c:v>31.000000000000174</c:v>
                </c:pt>
                <c:pt idx="491">
                  <c:v>31.100000000000176</c:v>
                </c:pt>
                <c:pt idx="492">
                  <c:v>31.200000000000177</c:v>
                </c:pt>
                <c:pt idx="493">
                  <c:v>31.300000000000178</c:v>
                </c:pt>
                <c:pt idx="494">
                  <c:v>31.40000000000018</c:v>
                </c:pt>
                <c:pt idx="495">
                  <c:v>31.500000000000181</c:v>
                </c:pt>
                <c:pt idx="496">
                  <c:v>31.600000000000183</c:v>
                </c:pt>
                <c:pt idx="497">
                  <c:v>31.700000000000184</c:v>
                </c:pt>
                <c:pt idx="498">
                  <c:v>31.800000000000185</c:v>
                </c:pt>
                <c:pt idx="499">
                  <c:v>31.900000000000187</c:v>
                </c:pt>
                <c:pt idx="500">
                  <c:v>32.000000000000185</c:v>
                </c:pt>
                <c:pt idx="501">
                  <c:v>32.100000000000186</c:v>
                </c:pt>
                <c:pt idx="502">
                  <c:v>32.200000000000188</c:v>
                </c:pt>
                <c:pt idx="503">
                  <c:v>32.300000000000189</c:v>
                </c:pt>
                <c:pt idx="504">
                  <c:v>32.40000000000019</c:v>
                </c:pt>
                <c:pt idx="505">
                  <c:v>32.500000000000192</c:v>
                </c:pt>
                <c:pt idx="506">
                  <c:v>32.600000000000193</c:v>
                </c:pt>
                <c:pt idx="507">
                  <c:v>32.700000000000195</c:v>
                </c:pt>
                <c:pt idx="508">
                  <c:v>32.800000000000196</c:v>
                </c:pt>
                <c:pt idx="509">
                  <c:v>32.900000000000198</c:v>
                </c:pt>
                <c:pt idx="510">
                  <c:v>33.000000000000199</c:v>
                </c:pt>
                <c:pt idx="511">
                  <c:v>33.1000000000002</c:v>
                </c:pt>
                <c:pt idx="512">
                  <c:v>33.200000000000202</c:v>
                </c:pt>
                <c:pt idx="513">
                  <c:v>33.300000000000203</c:v>
                </c:pt>
                <c:pt idx="514">
                  <c:v>33.400000000000205</c:v>
                </c:pt>
                <c:pt idx="515">
                  <c:v>33.500000000000206</c:v>
                </c:pt>
                <c:pt idx="516">
                  <c:v>33.600000000000207</c:v>
                </c:pt>
                <c:pt idx="517">
                  <c:v>33.700000000000209</c:v>
                </c:pt>
                <c:pt idx="518">
                  <c:v>33.80000000000021</c:v>
                </c:pt>
                <c:pt idx="519">
                  <c:v>33.900000000000212</c:v>
                </c:pt>
                <c:pt idx="520">
                  <c:v>34.000000000000213</c:v>
                </c:pt>
                <c:pt idx="521">
                  <c:v>34.100000000000215</c:v>
                </c:pt>
                <c:pt idx="522">
                  <c:v>34.200000000000216</c:v>
                </c:pt>
                <c:pt idx="523">
                  <c:v>34.300000000000217</c:v>
                </c:pt>
                <c:pt idx="524">
                  <c:v>34.400000000000219</c:v>
                </c:pt>
                <c:pt idx="525">
                  <c:v>34.50000000000022</c:v>
                </c:pt>
                <c:pt idx="526">
                  <c:v>34.600000000000222</c:v>
                </c:pt>
                <c:pt idx="527">
                  <c:v>34.700000000000223</c:v>
                </c:pt>
                <c:pt idx="528">
                  <c:v>34.800000000000225</c:v>
                </c:pt>
                <c:pt idx="529">
                  <c:v>34.900000000000226</c:v>
                </c:pt>
                <c:pt idx="530">
                  <c:v>35.000000000000227</c:v>
                </c:pt>
                <c:pt idx="531">
                  <c:v>35.100000000000229</c:v>
                </c:pt>
                <c:pt idx="532">
                  <c:v>35.20000000000023</c:v>
                </c:pt>
                <c:pt idx="533">
                  <c:v>35.300000000000232</c:v>
                </c:pt>
                <c:pt idx="534">
                  <c:v>35.400000000000233</c:v>
                </c:pt>
                <c:pt idx="535">
                  <c:v>35.500000000000234</c:v>
                </c:pt>
                <c:pt idx="536">
                  <c:v>35.600000000000236</c:v>
                </c:pt>
                <c:pt idx="537">
                  <c:v>35.700000000000237</c:v>
                </c:pt>
                <c:pt idx="538">
                  <c:v>35.800000000000239</c:v>
                </c:pt>
                <c:pt idx="539">
                  <c:v>35.90000000000024</c:v>
                </c:pt>
                <c:pt idx="540">
                  <c:v>36.000000000000242</c:v>
                </c:pt>
                <c:pt idx="541">
                  <c:v>36.100000000000243</c:v>
                </c:pt>
                <c:pt idx="542">
                  <c:v>36.200000000000244</c:v>
                </c:pt>
                <c:pt idx="543">
                  <c:v>36.300000000000246</c:v>
                </c:pt>
                <c:pt idx="544">
                  <c:v>36.400000000000247</c:v>
                </c:pt>
                <c:pt idx="545">
                  <c:v>36.500000000000249</c:v>
                </c:pt>
                <c:pt idx="546">
                  <c:v>36.60000000000025</c:v>
                </c:pt>
                <c:pt idx="547">
                  <c:v>36.700000000000252</c:v>
                </c:pt>
                <c:pt idx="548">
                  <c:v>36.700100000000255</c:v>
                </c:pt>
                <c:pt idx="549">
                  <c:v>36.700200000000258</c:v>
                </c:pt>
                <c:pt idx="550">
                  <c:v>36.700300000000261</c:v>
                </c:pt>
                <c:pt idx="551">
                  <c:v>36.700400000000265</c:v>
                </c:pt>
                <c:pt idx="552">
                  <c:v>36.700500000000268</c:v>
                </c:pt>
                <c:pt idx="553">
                  <c:v>36.700600000000271</c:v>
                </c:pt>
                <c:pt idx="554">
                  <c:v>36.700700000000275</c:v>
                </c:pt>
                <c:pt idx="555">
                  <c:v>36.700800000000278</c:v>
                </c:pt>
                <c:pt idx="556">
                  <c:v>36.700900000000281</c:v>
                </c:pt>
                <c:pt idx="557">
                  <c:v>36.701000000000285</c:v>
                </c:pt>
                <c:pt idx="558">
                  <c:v>36.701100000000288</c:v>
                </c:pt>
                <c:pt idx="559">
                  <c:v>36.701200000000291</c:v>
                </c:pt>
                <c:pt idx="560">
                  <c:v>36.701300000000295</c:v>
                </c:pt>
                <c:pt idx="561">
                  <c:v>36.701400000000298</c:v>
                </c:pt>
                <c:pt idx="562">
                  <c:v>36.701500000000301</c:v>
                </c:pt>
                <c:pt idx="563">
                  <c:v>36.701600000000305</c:v>
                </c:pt>
                <c:pt idx="564">
                  <c:v>36.701700000000308</c:v>
                </c:pt>
                <c:pt idx="565">
                  <c:v>36.701800000000311</c:v>
                </c:pt>
                <c:pt idx="566">
                  <c:v>36.701900000000315</c:v>
                </c:pt>
                <c:pt idx="567">
                  <c:v>36.702000000000318</c:v>
                </c:pt>
                <c:pt idx="568">
                  <c:v>36.702100000000321</c:v>
                </c:pt>
                <c:pt idx="569">
                  <c:v>36.702200000000325</c:v>
                </c:pt>
                <c:pt idx="570">
                  <c:v>36.702300000000328</c:v>
                </c:pt>
                <c:pt idx="571">
                  <c:v>36.702400000000331</c:v>
                </c:pt>
                <c:pt idx="572">
                  <c:v>36.702500000000335</c:v>
                </c:pt>
                <c:pt idx="573">
                  <c:v>36.702600000000338</c:v>
                </c:pt>
                <c:pt idx="574">
                  <c:v>36.702700000000341</c:v>
                </c:pt>
                <c:pt idx="575">
                  <c:v>36.702800000000344</c:v>
                </c:pt>
                <c:pt idx="576">
                  <c:v>36.702900000000348</c:v>
                </c:pt>
                <c:pt idx="577">
                  <c:v>36.703000000000351</c:v>
                </c:pt>
                <c:pt idx="578">
                  <c:v>36.703100000000354</c:v>
                </c:pt>
                <c:pt idx="579">
                  <c:v>36.703200000000358</c:v>
                </c:pt>
                <c:pt idx="580">
                  <c:v>36.703300000000361</c:v>
                </c:pt>
                <c:pt idx="581">
                  <c:v>36.703400000000364</c:v>
                </c:pt>
                <c:pt idx="582">
                  <c:v>36.703500000000368</c:v>
                </c:pt>
                <c:pt idx="583">
                  <c:v>36.703600000000371</c:v>
                </c:pt>
                <c:pt idx="584">
                  <c:v>36.703700000000374</c:v>
                </c:pt>
                <c:pt idx="585">
                  <c:v>36.703800000000378</c:v>
                </c:pt>
                <c:pt idx="586">
                  <c:v>36.703900000000381</c:v>
                </c:pt>
                <c:pt idx="587">
                  <c:v>36.704000000000384</c:v>
                </c:pt>
                <c:pt idx="588">
                  <c:v>36.704100000000388</c:v>
                </c:pt>
                <c:pt idx="589">
                  <c:v>36.704200000000391</c:v>
                </c:pt>
                <c:pt idx="590">
                  <c:v>36.704300000000394</c:v>
                </c:pt>
                <c:pt idx="591">
                  <c:v>36.704400000000398</c:v>
                </c:pt>
                <c:pt idx="592">
                  <c:v>36.704500000000401</c:v>
                </c:pt>
                <c:pt idx="593">
                  <c:v>36.704600000000404</c:v>
                </c:pt>
                <c:pt idx="594">
                  <c:v>36.704700000000408</c:v>
                </c:pt>
                <c:pt idx="595">
                  <c:v>36.704800000000411</c:v>
                </c:pt>
                <c:pt idx="596">
                  <c:v>36.704900000000414</c:v>
                </c:pt>
                <c:pt idx="597">
                  <c:v>36.705000000000418</c:v>
                </c:pt>
                <c:pt idx="598">
                  <c:v>36.705100000000421</c:v>
                </c:pt>
                <c:pt idx="599">
                  <c:v>36.705200000000424</c:v>
                </c:pt>
                <c:pt idx="600">
                  <c:v>36.705300000000427</c:v>
                </c:pt>
                <c:pt idx="601">
                  <c:v>36.705400000000431</c:v>
                </c:pt>
                <c:pt idx="602">
                  <c:v>36.705500000000434</c:v>
                </c:pt>
                <c:pt idx="603">
                  <c:v>36.705600000000437</c:v>
                </c:pt>
                <c:pt idx="604">
                  <c:v>36.705700000000441</c:v>
                </c:pt>
                <c:pt idx="605">
                  <c:v>36.705800000000444</c:v>
                </c:pt>
                <c:pt idx="606">
                  <c:v>36.705900000000447</c:v>
                </c:pt>
                <c:pt idx="607">
                  <c:v>36.706000000000451</c:v>
                </c:pt>
                <c:pt idx="608">
                  <c:v>36.706100000000454</c:v>
                </c:pt>
                <c:pt idx="609">
                  <c:v>36.706200000000457</c:v>
                </c:pt>
                <c:pt idx="610">
                  <c:v>36.706300000000461</c:v>
                </c:pt>
                <c:pt idx="611">
                  <c:v>36.706400000000464</c:v>
                </c:pt>
                <c:pt idx="612">
                  <c:v>36.706500000000467</c:v>
                </c:pt>
                <c:pt idx="613">
                  <c:v>36.706600000000471</c:v>
                </c:pt>
                <c:pt idx="614">
                  <c:v>36.706700000000474</c:v>
                </c:pt>
                <c:pt idx="615">
                  <c:v>36.706800000000477</c:v>
                </c:pt>
                <c:pt idx="616">
                  <c:v>36.706900000000481</c:v>
                </c:pt>
                <c:pt idx="617">
                  <c:v>36.707000000000484</c:v>
                </c:pt>
                <c:pt idx="618">
                  <c:v>36.707100000000487</c:v>
                </c:pt>
                <c:pt idx="619">
                  <c:v>36.707200000000491</c:v>
                </c:pt>
                <c:pt idx="620">
                  <c:v>36.707300000000494</c:v>
                </c:pt>
                <c:pt idx="621">
                  <c:v>36.707400000000497</c:v>
                </c:pt>
                <c:pt idx="622">
                  <c:v>36.707500000000501</c:v>
                </c:pt>
                <c:pt idx="623">
                  <c:v>36.707600000000504</c:v>
                </c:pt>
                <c:pt idx="624">
                  <c:v>36.707700000000507</c:v>
                </c:pt>
                <c:pt idx="625">
                  <c:v>36.70780000000051</c:v>
                </c:pt>
                <c:pt idx="626">
                  <c:v>36.707900000000514</c:v>
                </c:pt>
                <c:pt idx="627">
                  <c:v>36.708000000000517</c:v>
                </c:pt>
                <c:pt idx="628">
                  <c:v>36.70810000000052</c:v>
                </c:pt>
                <c:pt idx="629">
                  <c:v>36.708200000000524</c:v>
                </c:pt>
                <c:pt idx="630">
                  <c:v>36.708300000000527</c:v>
                </c:pt>
                <c:pt idx="631">
                  <c:v>36.70840000000053</c:v>
                </c:pt>
                <c:pt idx="632">
                  <c:v>36.708500000000534</c:v>
                </c:pt>
                <c:pt idx="633">
                  <c:v>36.708600000000537</c:v>
                </c:pt>
                <c:pt idx="634">
                  <c:v>36.70870000000054</c:v>
                </c:pt>
                <c:pt idx="635">
                  <c:v>36.708800000000544</c:v>
                </c:pt>
                <c:pt idx="636">
                  <c:v>36.708900000000547</c:v>
                </c:pt>
                <c:pt idx="637">
                  <c:v>36.70900000000055</c:v>
                </c:pt>
                <c:pt idx="638">
                  <c:v>36.709100000000554</c:v>
                </c:pt>
                <c:pt idx="639">
                  <c:v>36.709200000000557</c:v>
                </c:pt>
                <c:pt idx="640">
                  <c:v>36.70930000000056</c:v>
                </c:pt>
                <c:pt idx="641">
                  <c:v>36.709400000000564</c:v>
                </c:pt>
                <c:pt idx="642">
                  <c:v>36.709500000000567</c:v>
                </c:pt>
                <c:pt idx="643">
                  <c:v>36.70960000000057</c:v>
                </c:pt>
                <c:pt idx="644">
                  <c:v>36.709700000000574</c:v>
                </c:pt>
                <c:pt idx="645">
                  <c:v>36.709800000000577</c:v>
                </c:pt>
                <c:pt idx="646">
                  <c:v>36.70990000000058</c:v>
                </c:pt>
                <c:pt idx="647">
                  <c:v>36.710000000000583</c:v>
                </c:pt>
                <c:pt idx="648">
                  <c:v>36.710100000000587</c:v>
                </c:pt>
                <c:pt idx="649">
                  <c:v>36.71020000000059</c:v>
                </c:pt>
                <c:pt idx="650">
                  <c:v>36.710300000000593</c:v>
                </c:pt>
                <c:pt idx="651">
                  <c:v>36.710400000000597</c:v>
                </c:pt>
                <c:pt idx="652">
                  <c:v>36.7105000000006</c:v>
                </c:pt>
                <c:pt idx="653">
                  <c:v>36.710600000000603</c:v>
                </c:pt>
                <c:pt idx="654">
                  <c:v>36.710700000000607</c:v>
                </c:pt>
                <c:pt idx="655">
                  <c:v>36.71080000000061</c:v>
                </c:pt>
                <c:pt idx="656">
                  <c:v>36.710900000000613</c:v>
                </c:pt>
                <c:pt idx="657">
                  <c:v>36.711000000000617</c:v>
                </c:pt>
                <c:pt idx="658">
                  <c:v>36.71110000000062</c:v>
                </c:pt>
                <c:pt idx="659">
                  <c:v>36.711200000000623</c:v>
                </c:pt>
                <c:pt idx="660">
                  <c:v>36.711300000000627</c:v>
                </c:pt>
                <c:pt idx="661">
                  <c:v>36.71140000000063</c:v>
                </c:pt>
                <c:pt idx="662">
                  <c:v>36.711500000000633</c:v>
                </c:pt>
                <c:pt idx="663">
                  <c:v>36.711600000000637</c:v>
                </c:pt>
                <c:pt idx="664">
                  <c:v>36.71170000000064</c:v>
                </c:pt>
                <c:pt idx="665">
                  <c:v>36.711800000000643</c:v>
                </c:pt>
                <c:pt idx="666">
                  <c:v>36.711900000000647</c:v>
                </c:pt>
                <c:pt idx="667">
                  <c:v>36.71200000000065</c:v>
                </c:pt>
                <c:pt idx="668">
                  <c:v>36.712100000000653</c:v>
                </c:pt>
                <c:pt idx="669">
                  <c:v>36.712200000000657</c:v>
                </c:pt>
                <c:pt idx="670">
                  <c:v>36.71230000000066</c:v>
                </c:pt>
                <c:pt idx="671">
                  <c:v>36.712400000000663</c:v>
                </c:pt>
                <c:pt idx="672">
                  <c:v>36.712500000000666</c:v>
                </c:pt>
                <c:pt idx="673">
                  <c:v>36.71260000000067</c:v>
                </c:pt>
                <c:pt idx="674">
                  <c:v>36.712700000000673</c:v>
                </c:pt>
                <c:pt idx="675">
                  <c:v>36.712800000000676</c:v>
                </c:pt>
                <c:pt idx="676">
                  <c:v>36.71290000000068</c:v>
                </c:pt>
                <c:pt idx="677">
                  <c:v>36.713000000000683</c:v>
                </c:pt>
                <c:pt idx="678">
                  <c:v>36.713100000000686</c:v>
                </c:pt>
                <c:pt idx="679">
                  <c:v>36.71320000000069</c:v>
                </c:pt>
                <c:pt idx="680">
                  <c:v>36.713300000000693</c:v>
                </c:pt>
                <c:pt idx="681">
                  <c:v>36.713400000000696</c:v>
                </c:pt>
                <c:pt idx="682">
                  <c:v>36.7135000000007</c:v>
                </c:pt>
                <c:pt idx="683">
                  <c:v>36.713600000000703</c:v>
                </c:pt>
                <c:pt idx="684">
                  <c:v>36.713700000000706</c:v>
                </c:pt>
                <c:pt idx="685">
                  <c:v>36.71380000000071</c:v>
                </c:pt>
                <c:pt idx="686">
                  <c:v>36.713900000000713</c:v>
                </c:pt>
                <c:pt idx="687">
                  <c:v>36.714000000000716</c:v>
                </c:pt>
                <c:pt idx="688">
                  <c:v>36.71410000000072</c:v>
                </c:pt>
                <c:pt idx="689">
                  <c:v>36.714200000000723</c:v>
                </c:pt>
                <c:pt idx="690">
                  <c:v>36.714300000000726</c:v>
                </c:pt>
                <c:pt idx="691">
                  <c:v>36.71440000000073</c:v>
                </c:pt>
                <c:pt idx="692">
                  <c:v>36.714500000000733</c:v>
                </c:pt>
                <c:pt idx="693">
                  <c:v>36.714600000000736</c:v>
                </c:pt>
                <c:pt idx="694">
                  <c:v>36.71470000000074</c:v>
                </c:pt>
                <c:pt idx="695">
                  <c:v>36.714800000000743</c:v>
                </c:pt>
                <c:pt idx="696">
                  <c:v>36.714900000000746</c:v>
                </c:pt>
                <c:pt idx="697">
                  <c:v>36.715000000000749</c:v>
                </c:pt>
                <c:pt idx="698">
                  <c:v>36.715100000000753</c:v>
                </c:pt>
                <c:pt idx="699">
                  <c:v>36.715200000000756</c:v>
                </c:pt>
                <c:pt idx="700">
                  <c:v>36.715300000000759</c:v>
                </c:pt>
                <c:pt idx="701">
                  <c:v>36.715400000000763</c:v>
                </c:pt>
                <c:pt idx="702">
                  <c:v>36.715500000000766</c:v>
                </c:pt>
                <c:pt idx="703">
                  <c:v>36.715600000000769</c:v>
                </c:pt>
                <c:pt idx="704">
                  <c:v>36.715700000000773</c:v>
                </c:pt>
                <c:pt idx="705">
                  <c:v>36.715800000000776</c:v>
                </c:pt>
                <c:pt idx="706">
                  <c:v>36.715900000000779</c:v>
                </c:pt>
                <c:pt idx="707">
                  <c:v>36.716000000000783</c:v>
                </c:pt>
                <c:pt idx="708">
                  <c:v>36.716100000000786</c:v>
                </c:pt>
                <c:pt idx="709">
                  <c:v>36.716200000000789</c:v>
                </c:pt>
                <c:pt idx="710">
                  <c:v>36.716300000000793</c:v>
                </c:pt>
                <c:pt idx="711">
                  <c:v>36.716400000000796</c:v>
                </c:pt>
                <c:pt idx="712">
                  <c:v>36.716500000000799</c:v>
                </c:pt>
                <c:pt idx="713">
                  <c:v>36.716600000000803</c:v>
                </c:pt>
                <c:pt idx="714">
                  <c:v>36.716700000000806</c:v>
                </c:pt>
                <c:pt idx="715">
                  <c:v>36.716800000000809</c:v>
                </c:pt>
                <c:pt idx="716">
                  <c:v>36.716900000000813</c:v>
                </c:pt>
                <c:pt idx="717">
                  <c:v>36.717000000000816</c:v>
                </c:pt>
                <c:pt idx="718">
                  <c:v>36.717100000000819</c:v>
                </c:pt>
                <c:pt idx="719">
                  <c:v>36.717200000000823</c:v>
                </c:pt>
                <c:pt idx="720">
                  <c:v>36.717300000000826</c:v>
                </c:pt>
                <c:pt idx="721">
                  <c:v>36.717400000000829</c:v>
                </c:pt>
                <c:pt idx="722">
                  <c:v>36.717500000000832</c:v>
                </c:pt>
                <c:pt idx="723">
                  <c:v>36.717600000000836</c:v>
                </c:pt>
                <c:pt idx="724">
                  <c:v>36.717700000000839</c:v>
                </c:pt>
                <c:pt idx="725">
                  <c:v>36.717800000000842</c:v>
                </c:pt>
                <c:pt idx="726">
                  <c:v>36.717900000000846</c:v>
                </c:pt>
                <c:pt idx="727">
                  <c:v>36.718000000000849</c:v>
                </c:pt>
                <c:pt idx="728">
                  <c:v>36.718100000000852</c:v>
                </c:pt>
                <c:pt idx="729">
                  <c:v>36.718200000000856</c:v>
                </c:pt>
                <c:pt idx="730">
                  <c:v>36.718300000000859</c:v>
                </c:pt>
                <c:pt idx="731">
                  <c:v>36.718400000000862</c:v>
                </c:pt>
                <c:pt idx="732">
                  <c:v>36.718500000000866</c:v>
                </c:pt>
                <c:pt idx="733">
                  <c:v>36.718600000000869</c:v>
                </c:pt>
                <c:pt idx="734">
                  <c:v>36.718700000000872</c:v>
                </c:pt>
                <c:pt idx="735">
                  <c:v>36.718800000000876</c:v>
                </c:pt>
                <c:pt idx="736">
                  <c:v>36.718900000000879</c:v>
                </c:pt>
                <c:pt idx="737">
                  <c:v>36.719000000000882</c:v>
                </c:pt>
                <c:pt idx="738">
                  <c:v>36.719100000000886</c:v>
                </c:pt>
                <c:pt idx="739">
                  <c:v>36.719200000000889</c:v>
                </c:pt>
                <c:pt idx="740">
                  <c:v>36.719300000000892</c:v>
                </c:pt>
                <c:pt idx="741">
                  <c:v>36.719400000000896</c:v>
                </c:pt>
                <c:pt idx="742">
                  <c:v>36.719500000000899</c:v>
                </c:pt>
                <c:pt idx="743">
                  <c:v>36.719600000000902</c:v>
                </c:pt>
                <c:pt idx="744">
                  <c:v>36.719700000000906</c:v>
                </c:pt>
                <c:pt idx="745">
                  <c:v>36.719800000000909</c:v>
                </c:pt>
                <c:pt idx="746">
                  <c:v>36.719900000000912</c:v>
                </c:pt>
                <c:pt idx="747">
                  <c:v>36.720000000000915</c:v>
                </c:pt>
                <c:pt idx="748">
                  <c:v>36.720100000000919</c:v>
                </c:pt>
                <c:pt idx="749">
                  <c:v>36.720200000000922</c:v>
                </c:pt>
                <c:pt idx="750">
                  <c:v>36.720300000000925</c:v>
                </c:pt>
                <c:pt idx="751">
                  <c:v>36.720400000000929</c:v>
                </c:pt>
                <c:pt idx="752">
                  <c:v>36.720500000000932</c:v>
                </c:pt>
                <c:pt idx="753">
                  <c:v>36.720600000000935</c:v>
                </c:pt>
                <c:pt idx="754">
                  <c:v>36.720700000000939</c:v>
                </c:pt>
                <c:pt idx="755">
                  <c:v>36.720800000000942</c:v>
                </c:pt>
                <c:pt idx="756">
                  <c:v>36.720900000000945</c:v>
                </c:pt>
                <c:pt idx="757">
                  <c:v>36.721000000000949</c:v>
                </c:pt>
                <c:pt idx="758">
                  <c:v>36.721100000000952</c:v>
                </c:pt>
                <c:pt idx="759">
                  <c:v>36.721200000000955</c:v>
                </c:pt>
                <c:pt idx="760">
                  <c:v>36.721300000000959</c:v>
                </c:pt>
                <c:pt idx="761">
                  <c:v>36.721400000000962</c:v>
                </c:pt>
                <c:pt idx="762">
                  <c:v>36.721500000000965</c:v>
                </c:pt>
                <c:pt idx="763">
                  <c:v>36.721600000000969</c:v>
                </c:pt>
                <c:pt idx="764">
                  <c:v>36.721700000000972</c:v>
                </c:pt>
                <c:pt idx="765">
                  <c:v>36.721800000000975</c:v>
                </c:pt>
                <c:pt idx="766">
                  <c:v>36.721900000000979</c:v>
                </c:pt>
                <c:pt idx="767">
                  <c:v>36.722000000000982</c:v>
                </c:pt>
                <c:pt idx="768">
                  <c:v>36.722100000000985</c:v>
                </c:pt>
                <c:pt idx="769">
                  <c:v>36.722200000000988</c:v>
                </c:pt>
                <c:pt idx="770">
                  <c:v>36.722300000000992</c:v>
                </c:pt>
                <c:pt idx="771">
                  <c:v>36.722400000000995</c:v>
                </c:pt>
                <c:pt idx="772">
                  <c:v>36.722500000000998</c:v>
                </c:pt>
                <c:pt idx="773">
                  <c:v>36.722600000001002</c:v>
                </c:pt>
                <c:pt idx="774">
                  <c:v>36.722700000001005</c:v>
                </c:pt>
                <c:pt idx="775">
                  <c:v>36.722800000001008</c:v>
                </c:pt>
                <c:pt idx="776">
                  <c:v>36.722900000001012</c:v>
                </c:pt>
                <c:pt idx="777">
                  <c:v>36.723000000001015</c:v>
                </c:pt>
                <c:pt idx="778">
                  <c:v>36.723100000001018</c:v>
                </c:pt>
                <c:pt idx="779">
                  <c:v>36.723200000001022</c:v>
                </c:pt>
                <c:pt idx="780">
                  <c:v>36.723300000001025</c:v>
                </c:pt>
                <c:pt idx="781">
                  <c:v>36.723400000001028</c:v>
                </c:pt>
                <c:pt idx="782">
                  <c:v>36.723500000001032</c:v>
                </c:pt>
                <c:pt idx="783">
                  <c:v>36.723600000001035</c:v>
                </c:pt>
                <c:pt idx="784">
                  <c:v>36.723700000001038</c:v>
                </c:pt>
                <c:pt idx="785">
                  <c:v>36.723800000001042</c:v>
                </c:pt>
                <c:pt idx="786">
                  <c:v>36.723900000001045</c:v>
                </c:pt>
                <c:pt idx="787">
                  <c:v>36.724000000001048</c:v>
                </c:pt>
                <c:pt idx="788">
                  <c:v>36.724100000001052</c:v>
                </c:pt>
                <c:pt idx="789">
                  <c:v>36.724200000001055</c:v>
                </c:pt>
                <c:pt idx="790">
                  <c:v>36.724300000001058</c:v>
                </c:pt>
                <c:pt idx="791">
                  <c:v>36.724400000001062</c:v>
                </c:pt>
                <c:pt idx="792">
                  <c:v>36.724500000001065</c:v>
                </c:pt>
                <c:pt idx="793">
                  <c:v>36.724600000001068</c:v>
                </c:pt>
                <c:pt idx="794">
                  <c:v>36.724700000001071</c:v>
                </c:pt>
                <c:pt idx="795">
                  <c:v>36.724800000001075</c:v>
                </c:pt>
                <c:pt idx="796">
                  <c:v>36.724900000001078</c:v>
                </c:pt>
                <c:pt idx="797">
                  <c:v>36.725000000001081</c:v>
                </c:pt>
                <c:pt idx="798">
                  <c:v>36.725100000001085</c:v>
                </c:pt>
                <c:pt idx="799">
                  <c:v>36.725200000001088</c:v>
                </c:pt>
                <c:pt idx="800">
                  <c:v>36.725300000001091</c:v>
                </c:pt>
                <c:pt idx="801">
                  <c:v>36.725400000001095</c:v>
                </c:pt>
                <c:pt idx="802">
                  <c:v>36.725500000001098</c:v>
                </c:pt>
                <c:pt idx="803">
                  <c:v>36.725600000001101</c:v>
                </c:pt>
                <c:pt idx="804">
                  <c:v>36.725700000001105</c:v>
                </c:pt>
                <c:pt idx="805">
                  <c:v>36.725800000001108</c:v>
                </c:pt>
                <c:pt idx="806">
                  <c:v>36.725900000001111</c:v>
                </c:pt>
                <c:pt idx="807">
                  <c:v>36.726000000001115</c:v>
                </c:pt>
                <c:pt idx="808">
                  <c:v>36.726100000001118</c:v>
                </c:pt>
                <c:pt idx="809">
                  <c:v>36.726200000001121</c:v>
                </c:pt>
                <c:pt idx="810">
                  <c:v>36.726300000001125</c:v>
                </c:pt>
                <c:pt idx="811">
                  <c:v>36.726400000001128</c:v>
                </c:pt>
                <c:pt idx="812">
                  <c:v>36.726500000001131</c:v>
                </c:pt>
                <c:pt idx="813">
                  <c:v>36.726600000001135</c:v>
                </c:pt>
                <c:pt idx="814">
                  <c:v>36.726700000001138</c:v>
                </c:pt>
                <c:pt idx="815">
                  <c:v>36.726800000001141</c:v>
                </c:pt>
                <c:pt idx="816">
                  <c:v>36.726900000001145</c:v>
                </c:pt>
                <c:pt idx="817">
                  <c:v>36.727000000001148</c:v>
                </c:pt>
                <c:pt idx="818">
                  <c:v>36.727100000001151</c:v>
                </c:pt>
                <c:pt idx="819">
                  <c:v>36.727200000001154</c:v>
                </c:pt>
                <c:pt idx="820">
                  <c:v>36.727300000001158</c:v>
                </c:pt>
                <c:pt idx="821">
                  <c:v>36.727400000001161</c:v>
                </c:pt>
                <c:pt idx="822">
                  <c:v>36.727500000001164</c:v>
                </c:pt>
                <c:pt idx="823">
                  <c:v>36.727600000001168</c:v>
                </c:pt>
                <c:pt idx="824">
                  <c:v>36.727700000001171</c:v>
                </c:pt>
                <c:pt idx="825">
                  <c:v>36.727800000001174</c:v>
                </c:pt>
                <c:pt idx="826">
                  <c:v>36.727900000001178</c:v>
                </c:pt>
                <c:pt idx="827">
                  <c:v>36.728000000001181</c:v>
                </c:pt>
                <c:pt idx="828">
                  <c:v>36.728100000001184</c:v>
                </c:pt>
                <c:pt idx="829">
                  <c:v>36.728200000001188</c:v>
                </c:pt>
                <c:pt idx="830">
                  <c:v>36.728300000001191</c:v>
                </c:pt>
                <c:pt idx="831">
                  <c:v>36.728400000001194</c:v>
                </c:pt>
                <c:pt idx="832">
                  <c:v>36.728500000001198</c:v>
                </c:pt>
                <c:pt idx="833">
                  <c:v>36.728600000001201</c:v>
                </c:pt>
                <c:pt idx="834">
                  <c:v>36.728700000001204</c:v>
                </c:pt>
                <c:pt idx="835">
                  <c:v>36.728800000001208</c:v>
                </c:pt>
                <c:pt idx="836">
                  <c:v>36.728900000001211</c:v>
                </c:pt>
                <c:pt idx="837">
                  <c:v>36.729000000001214</c:v>
                </c:pt>
                <c:pt idx="838">
                  <c:v>36.729100000001218</c:v>
                </c:pt>
                <c:pt idx="839">
                  <c:v>36.729200000001221</c:v>
                </c:pt>
                <c:pt idx="840">
                  <c:v>36.729300000001224</c:v>
                </c:pt>
                <c:pt idx="841">
                  <c:v>36.729400000001228</c:v>
                </c:pt>
                <c:pt idx="842">
                  <c:v>36.729500000001231</c:v>
                </c:pt>
                <c:pt idx="843">
                  <c:v>36.729600000001234</c:v>
                </c:pt>
                <c:pt idx="844">
                  <c:v>36.729700000001237</c:v>
                </c:pt>
                <c:pt idx="845">
                  <c:v>36.729800000001241</c:v>
                </c:pt>
                <c:pt idx="846">
                  <c:v>36.729900000001244</c:v>
                </c:pt>
                <c:pt idx="847">
                  <c:v>36.730000000001247</c:v>
                </c:pt>
                <c:pt idx="848">
                  <c:v>36.730100000001251</c:v>
                </c:pt>
                <c:pt idx="849">
                  <c:v>36.730200000001254</c:v>
                </c:pt>
                <c:pt idx="850">
                  <c:v>36.730300000001257</c:v>
                </c:pt>
                <c:pt idx="851">
                  <c:v>36.730400000001261</c:v>
                </c:pt>
                <c:pt idx="852">
                  <c:v>36.730500000001264</c:v>
                </c:pt>
                <c:pt idx="853">
                  <c:v>36.730600000001267</c:v>
                </c:pt>
                <c:pt idx="854">
                  <c:v>36.730700000001271</c:v>
                </c:pt>
                <c:pt idx="855">
                  <c:v>36.730800000001274</c:v>
                </c:pt>
                <c:pt idx="856">
                  <c:v>36.730900000001277</c:v>
                </c:pt>
                <c:pt idx="857">
                  <c:v>36.731000000001281</c:v>
                </c:pt>
                <c:pt idx="858">
                  <c:v>36.731100000001284</c:v>
                </c:pt>
                <c:pt idx="859">
                  <c:v>36.731200000001287</c:v>
                </c:pt>
                <c:pt idx="860">
                  <c:v>36.731300000001291</c:v>
                </c:pt>
                <c:pt idx="861">
                  <c:v>36.731400000001294</c:v>
                </c:pt>
                <c:pt idx="862">
                  <c:v>36.731500000001297</c:v>
                </c:pt>
                <c:pt idx="863">
                  <c:v>36.731600000001301</c:v>
                </c:pt>
                <c:pt idx="864">
                  <c:v>36.731700000001304</c:v>
                </c:pt>
                <c:pt idx="865">
                  <c:v>36.731800000001307</c:v>
                </c:pt>
                <c:pt idx="866">
                  <c:v>36.731900000001311</c:v>
                </c:pt>
                <c:pt idx="867">
                  <c:v>36.732000000001314</c:v>
                </c:pt>
                <c:pt idx="868">
                  <c:v>36.732100000001317</c:v>
                </c:pt>
                <c:pt idx="869">
                  <c:v>36.73220000000132</c:v>
                </c:pt>
                <c:pt idx="870">
                  <c:v>36.732300000001324</c:v>
                </c:pt>
                <c:pt idx="871">
                  <c:v>36.732400000001327</c:v>
                </c:pt>
                <c:pt idx="872">
                  <c:v>36.73250000000133</c:v>
                </c:pt>
                <c:pt idx="873">
                  <c:v>36.732600000001334</c:v>
                </c:pt>
                <c:pt idx="874">
                  <c:v>36.732700000001337</c:v>
                </c:pt>
                <c:pt idx="875">
                  <c:v>36.73280000000134</c:v>
                </c:pt>
                <c:pt idx="876">
                  <c:v>36.732900000001344</c:v>
                </c:pt>
                <c:pt idx="877">
                  <c:v>36.733000000001347</c:v>
                </c:pt>
                <c:pt idx="878">
                  <c:v>36.73310000000135</c:v>
                </c:pt>
                <c:pt idx="879">
                  <c:v>36.733200000001354</c:v>
                </c:pt>
                <c:pt idx="880">
                  <c:v>36.733300000001357</c:v>
                </c:pt>
                <c:pt idx="881">
                  <c:v>36.73340000000136</c:v>
                </c:pt>
                <c:pt idx="882">
                  <c:v>36.733500000001364</c:v>
                </c:pt>
                <c:pt idx="883">
                  <c:v>36.733600000001367</c:v>
                </c:pt>
                <c:pt idx="884">
                  <c:v>36.73370000000137</c:v>
                </c:pt>
                <c:pt idx="885">
                  <c:v>36.733800000001374</c:v>
                </c:pt>
                <c:pt idx="886">
                  <c:v>36.733900000001377</c:v>
                </c:pt>
                <c:pt idx="887">
                  <c:v>36.73400000000138</c:v>
                </c:pt>
                <c:pt idx="888">
                  <c:v>36.734100000001384</c:v>
                </c:pt>
                <c:pt idx="889">
                  <c:v>36.734200000001387</c:v>
                </c:pt>
                <c:pt idx="890">
                  <c:v>36.73430000000139</c:v>
                </c:pt>
                <c:pt idx="891">
                  <c:v>36.734400000001393</c:v>
                </c:pt>
                <c:pt idx="892">
                  <c:v>36.734500000001397</c:v>
                </c:pt>
                <c:pt idx="893">
                  <c:v>36.7346000000014</c:v>
                </c:pt>
                <c:pt idx="894">
                  <c:v>36.734700000001403</c:v>
                </c:pt>
                <c:pt idx="895">
                  <c:v>36.734800000001407</c:v>
                </c:pt>
                <c:pt idx="896">
                  <c:v>36.73490000000141</c:v>
                </c:pt>
                <c:pt idx="897">
                  <c:v>36.735000000001413</c:v>
                </c:pt>
                <c:pt idx="898">
                  <c:v>36.735100000001417</c:v>
                </c:pt>
                <c:pt idx="899">
                  <c:v>36.73520000000142</c:v>
                </c:pt>
                <c:pt idx="900">
                  <c:v>36.735300000001423</c:v>
                </c:pt>
                <c:pt idx="901">
                  <c:v>36.735400000001427</c:v>
                </c:pt>
                <c:pt idx="902">
                  <c:v>36.73550000000143</c:v>
                </c:pt>
                <c:pt idx="903">
                  <c:v>36.735600000001433</c:v>
                </c:pt>
                <c:pt idx="904">
                  <c:v>36.735700000001437</c:v>
                </c:pt>
                <c:pt idx="905">
                  <c:v>36.73580000000144</c:v>
                </c:pt>
                <c:pt idx="906">
                  <c:v>36.735900000001443</c:v>
                </c:pt>
                <c:pt idx="907">
                  <c:v>36.736000000001447</c:v>
                </c:pt>
                <c:pt idx="908">
                  <c:v>36.73610000000145</c:v>
                </c:pt>
                <c:pt idx="909">
                  <c:v>36.736200000001453</c:v>
                </c:pt>
                <c:pt idx="910">
                  <c:v>36.736300000001457</c:v>
                </c:pt>
                <c:pt idx="911">
                  <c:v>36.73640000000146</c:v>
                </c:pt>
                <c:pt idx="912">
                  <c:v>36.736500000001463</c:v>
                </c:pt>
                <c:pt idx="913">
                  <c:v>36.736600000001467</c:v>
                </c:pt>
                <c:pt idx="914">
                  <c:v>36.73670000000147</c:v>
                </c:pt>
                <c:pt idx="915">
                  <c:v>36.736800000001473</c:v>
                </c:pt>
                <c:pt idx="916">
                  <c:v>36.736900000001476</c:v>
                </c:pt>
                <c:pt idx="917">
                  <c:v>36.73700000000148</c:v>
                </c:pt>
                <c:pt idx="918">
                  <c:v>36.737100000001483</c:v>
                </c:pt>
                <c:pt idx="919">
                  <c:v>36.737200000001486</c:v>
                </c:pt>
                <c:pt idx="920">
                  <c:v>36.73730000000149</c:v>
                </c:pt>
                <c:pt idx="921">
                  <c:v>36.737400000001493</c:v>
                </c:pt>
                <c:pt idx="922">
                  <c:v>36.737500000001496</c:v>
                </c:pt>
                <c:pt idx="923">
                  <c:v>36.7376000000015</c:v>
                </c:pt>
                <c:pt idx="924">
                  <c:v>36.737700000001503</c:v>
                </c:pt>
                <c:pt idx="925">
                  <c:v>36.737800000001506</c:v>
                </c:pt>
                <c:pt idx="926">
                  <c:v>36.73790000000151</c:v>
                </c:pt>
                <c:pt idx="927">
                  <c:v>36.738000000001513</c:v>
                </c:pt>
                <c:pt idx="928">
                  <c:v>36.738100000001516</c:v>
                </c:pt>
                <c:pt idx="929">
                  <c:v>36.73820000000152</c:v>
                </c:pt>
                <c:pt idx="930">
                  <c:v>36.738300000001523</c:v>
                </c:pt>
                <c:pt idx="931">
                  <c:v>36.738400000001526</c:v>
                </c:pt>
                <c:pt idx="932">
                  <c:v>36.73850000000153</c:v>
                </c:pt>
                <c:pt idx="933">
                  <c:v>36.738600000001533</c:v>
                </c:pt>
                <c:pt idx="934">
                  <c:v>36.738700000001536</c:v>
                </c:pt>
                <c:pt idx="935">
                  <c:v>36.73880000000154</c:v>
                </c:pt>
                <c:pt idx="936">
                  <c:v>36.738900000001543</c:v>
                </c:pt>
                <c:pt idx="937">
                  <c:v>36.739000000001546</c:v>
                </c:pt>
                <c:pt idx="938">
                  <c:v>36.73910000000155</c:v>
                </c:pt>
                <c:pt idx="939">
                  <c:v>36.739200000001553</c:v>
                </c:pt>
                <c:pt idx="940">
                  <c:v>36.739300000001556</c:v>
                </c:pt>
                <c:pt idx="941">
                  <c:v>36.739400000001559</c:v>
                </c:pt>
                <c:pt idx="942">
                  <c:v>36.739500000001563</c:v>
                </c:pt>
                <c:pt idx="943">
                  <c:v>36.739600000001566</c:v>
                </c:pt>
                <c:pt idx="944">
                  <c:v>36.739700000001569</c:v>
                </c:pt>
                <c:pt idx="945">
                  <c:v>36.739800000001573</c:v>
                </c:pt>
                <c:pt idx="946">
                  <c:v>36.739900000001576</c:v>
                </c:pt>
                <c:pt idx="947">
                  <c:v>36.740000000001579</c:v>
                </c:pt>
                <c:pt idx="948">
                  <c:v>36.740100000001583</c:v>
                </c:pt>
                <c:pt idx="949">
                  <c:v>36.740200000001586</c:v>
                </c:pt>
                <c:pt idx="950">
                  <c:v>36.740300000001589</c:v>
                </c:pt>
                <c:pt idx="951">
                  <c:v>36.740400000001593</c:v>
                </c:pt>
                <c:pt idx="952">
                  <c:v>36.740500000001596</c:v>
                </c:pt>
                <c:pt idx="953">
                  <c:v>36.740600000001599</c:v>
                </c:pt>
                <c:pt idx="954">
                  <c:v>36.740700000001603</c:v>
                </c:pt>
                <c:pt idx="955">
                  <c:v>36.740800000001606</c:v>
                </c:pt>
                <c:pt idx="956">
                  <c:v>36.740900000001609</c:v>
                </c:pt>
                <c:pt idx="957">
                  <c:v>36.741000000001613</c:v>
                </c:pt>
                <c:pt idx="958">
                  <c:v>36.741100000001616</c:v>
                </c:pt>
                <c:pt idx="959">
                  <c:v>36.741200000001619</c:v>
                </c:pt>
                <c:pt idx="960">
                  <c:v>36.741300000001623</c:v>
                </c:pt>
                <c:pt idx="961">
                  <c:v>36.741400000001626</c:v>
                </c:pt>
                <c:pt idx="962">
                  <c:v>36.741500000001629</c:v>
                </c:pt>
                <c:pt idx="963">
                  <c:v>36.741600000001633</c:v>
                </c:pt>
                <c:pt idx="964">
                  <c:v>36.741700000001636</c:v>
                </c:pt>
                <c:pt idx="965">
                  <c:v>36.741800000001639</c:v>
                </c:pt>
                <c:pt idx="966">
                  <c:v>36.741900000001642</c:v>
                </c:pt>
                <c:pt idx="967">
                  <c:v>36.742000000001646</c:v>
                </c:pt>
                <c:pt idx="968">
                  <c:v>36.742100000001649</c:v>
                </c:pt>
                <c:pt idx="969">
                  <c:v>36.742200000001652</c:v>
                </c:pt>
                <c:pt idx="970">
                  <c:v>36.742300000001656</c:v>
                </c:pt>
                <c:pt idx="971">
                  <c:v>36.742400000001659</c:v>
                </c:pt>
                <c:pt idx="972">
                  <c:v>36.742500000001662</c:v>
                </c:pt>
                <c:pt idx="973">
                  <c:v>36.742600000001666</c:v>
                </c:pt>
                <c:pt idx="974">
                  <c:v>36.742700000001669</c:v>
                </c:pt>
                <c:pt idx="975">
                  <c:v>36.742800000001672</c:v>
                </c:pt>
                <c:pt idx="976">
                  <c:v>36.742900000001676</c:v>
                </c:pt>
                <c:pt idx="977">
                  <c:v>36.743000000001679</c:v>
                </c:pt>
                <c:pt idx="978">
                  <c:v>36.743100000001682</c:v>
                </c:pt>
                <c:pt idx="979">
                  <c:v>36.743200000001686</c:v>
                </c:pt>
                <c:pt idx="980">
                  <c:v>36.743300000001689</c:v>
                </c:pt>
                <c:pt idx="981">
                  <c:v>36.743400000001692</c:v>
                </c:pt>
                <c:pt idx="982">
                  <c:v>36.743500000001696</c:v>
                </c:pt>
                <c:pt idx="983">
                  <c:v>36.743600000001699</c:v>
                </c:pt>
                <c:pt idx="984">
                  <c:v>36.743700000001702</c:v>
                </c:pt>
                <c:pt idx="985">
                  <c:v>36.743800000001706</c:v>
                </c:pt>
                <c:pt idx="986">
                  <c:v>36.743900000001709</c:v>
                </c:pt>
                <c:pt idx="987">
                  <c:v>36.744000000001712</c:v>
                </c:pt>
                <c:pt idx="988">
                  <c:v>36.744100000001716</c:v>
                </c:pt>
                <c:pt idx="989">
                  <c:v>36.744200000001719</c:v>
                </c:pt>
                <c:pt idx="990">
                  <c:v>36.744300000001722</c:v>
                </c:pt>
                <c:pt idx="991">
                  <c:v>36.744400000001725</c:v>
                </c:pt>
                <c:pt idx="992">
                  <c:v>36.744500000001729</c:v>
                </c:pt>
                <c:pt idx="993">
                  <c:v>36.744600000001732</c:v>
                </c:pt>
                <c:pt idx="994">
                  <c:v>36.744700000001735</c:v>
                </c:pt>
                <c:pt idx="995">
                  <c:v>36.744800000001739</c:v>
                </c:pt>
                <c:pt idx="996">
                  <c:v>36.744900000001742</c:v>
                </c:pt>
                <c:pt idx="997">
                  <c:v>36.745000000001745</c:v>
                </c:pt>
                <c:pt idx="998">
                  <c:v>36.745100000001749</c:v>
                </c:pt>
                <c:pt idx="999">
                  <c:v>36.745200000001752</c:v>
                </c:pt>
                <c:pt idx="1000">
                  <c:v>36.745300000001755</c:v>
                </c:pt>
              </c:numCache>
            </c:numRef>
          </c:xVal>
          <c:yVal>
            <c:numRef>
              <c:f>Calculs!$AG$4:$AG$1004</c:f>
              <c:numCache>
                <c:formatCode>0.00</c:formatCode>
                <c:ptCount val="1001"/>
                <c:pt idx="0">
                  <c:v>0</c:v>
                </c:pt>
                <c:pt idx="1">
                  <c:v>20.60977051685143</c:v>
                </c:pt>
                <c:pt idx="2">
                  <c:v>104.88864554118274</c:v>
                </c:pt>
                <c:pt idx="3">
                  <c:v>156.26027340061367</c:v>
                </c:pt>
                <c:pt idx="4">
                  <c:v>150.90585356047208</c:v>
                </c:pt>
                <c:pt idx="5">
                  <c:v>145.53704971534981</c:v>
                </c:pt>
                <c:pt idx="6">
                  <c:v>143.43892948930804</c:v>
                </c:pt>
                <c:pt idx="7">
                  <c:v>144.62143925791011</c:v>
                </c:pt>
                <c:pt idx="8">
                  <c:v>145.80485751882588</c:v>
                </c:pt>
                <c:pt idx="9">
                  <c:v>146.98916453762209</c:v>
                </c:pt>
                <c:pt idx="10">
                  <c:v>148.17434019171532</c:v>
                </c:pt>
                <c:pt idx="11">
                  <c:v>149.01932133897796</c:v>
                </c:pt>
                <c:pt idx="12">
                  <c:v>149.52305119030947</c:v>
                </c:pt>
                <c:pt idx="13">
                  <c:v>150.02605528149431</c:v>
                </c:pt>
                <c:pt idx="14">
                  <c:v>150.52831716157047</c:v>
                </c:pt>
                <c:pt idx="15">
                  <c:v>151.02982031364252</c:v>
                </c:pt>
                <c:pt idx="16">
                  <c:v>151.53054815594365</c:v>
                </c:pt>
                <c:pt idx="17">
                  <c:v>152.03048404291656</c:v>
                </c:pt>
                <c:pt idx="18">
                  <c:v>152.529611266313</c:v>
                </c:pt>
                <c:pt idx="19">
                  <c:v>153.02791305631231</c:v>
                </c:pt>
                <c:pt idx="20">
                  <c:v>153.52537258265889</c:v>
                </c:pt>
                <c:pt idx="21">
                  <c:v>153.88496545062537</c:v>
                </c:pt>
                <c:pt idx="22">
                  <c:v>154.1062642230967</c:v>
                </c:pt>
                <c:pt idx="23">
                  <c:v>154.32607454505876</c:v>
                </c:pt>
                <c:pt idx="24">
                  <c:v>154.54438576263379</c:v>
                </c:pt>
                <c:pt idx="25">
                  <c:v>154.76118726589297</c:v>
                </c:pt>
                <c:pt idx="26">
                  <c:v>154.97646849002086</c:v>
                </c:pt>
                <c:pt idx="27">
                  <c:v>155.19097969548744</c:v>
                </c:pt>
                <c:pt idx="28">
                  <c:v>155.4039369118388</c:v>
                </c:pt>
                <c:pt idx="29">
                  <c:v>155.61531703263083</c:v>
                </c:pt>
                <c:pt idx="30">
                  <c:v>155.82511137025088</c:v>
                </c:pt>
                <c:pt idx="31">
                  <c:v>156.03331111726322</c:v>
                </c:pt>
                <c:pt idx="32">
                  <c:v>156.23990736994918</c:v>
                </c:pt>
                <c:pt idx="33">
                  <c:v>156.44489114828272</c:v>
                </c:pt>
                <c:pt idx="34">
                  <c:v>156.64825341300283</c:v>
                </c:pt>
                <c:pt idx="35">
                  <c:v>156.84998508030725</c:v>
                </c:pt>
                <c:pt idx="36">
                  <c:v>157.05007703458259</c:v>
                </c:pt>
                <c:pt idx="37">
                  <c:v>157.24852013950451</c:v>
                </c:pt>
                <c:pt idx="38">
                  <c:v>157.44530524777647</c:v>
                </c:pt>
                <c:pt idx="39">
                  <c:v>157.64042320972536</c:v>
                </c:pt>
                <c:pt idx="40">
                  <c:v>157.83386488093265</c:v>
                </c:pt>
                <c:pt idx="41">
                  <c:v>157.91870577371398</c:v>
                </c:pt>
                <c:pt idx="42">
                  <c:v>157.8946347085319</c:v>
                </c:pt>
                <c:pt idx="43">
                  <c:v>157.86843834819999</c:v>
                </c:pt>
                <c:pt idx="44">
                  <c:v>157.8401147419402</c:v>
                </c:pt>
                <c:pt idx="45">
                  <c:v>157.80966202810657</c:v>
                </c:pt>
                <c:pt idx="46">
                  <c:v>157.77707843793726</c:v>
                </c:pt>
                <c:pt idx="47">
                  <c:v>157.74236229892486</c:v>
                </c:pt>
                <c:pt idx="48">
                  <c:v>157.70551203785286</c:v>
                </c:pt>
                <c:pt idx="49">
                  <c:v>157.66652618353953</c:v>
                </c:pt>
                <c:pt idx="50">
                  <c:v>157.62540336932415</c:v>
                </c:pt>
                <c:pt idx="51">
                  <c:v>157.5821423353249</c:v>
                </c:pt>
                <c:pt idx="52">
                  <c:v>157.53674193049449</c:v>
                </c:pt>
                <c:pt idx="53">
                  <c:v>157.48920111449499</c:v>
                </c:pt>
                <c:pt idx="54">
                  <c:v>157.43951895941183</c:v>
                </c:pt>
                <c:pt idx="55">
                  <c:v>157.38769465132197</c:v>
                </c:pt>
                <c:pt idx="56">
                  <c:v>157.33372749173208</c:v>
                </c:pt>
                <c:pt idx="57">
                  <c:v>157.27761689889786</c:v>
                </c:pt>
                <c:pt idx="58">
                  <c:v>157.21936240903679</c:v>
                </c:pt>
                <c:pt idx="59">
                  <c:v>157.15896367744168</c:v>
                </c:pt>
                <c:pt idx="60">
                  <c:v>157.09642047950618</c:v>
                </c:pt>
                <c:pt idx="61">
                  <c:v>157.03173271166699</c:v>
                </c:pt>
                <c:pt idx="62">
                  <c:v>156.96490039227123</c:v>
                </c:pt>
                <c:pt idx="63">
                  <c:v>156.89592366237292</c:v>
                </c:pt>
                <c:pt idx="64">
                  <c:v>156.82480278646545</c:v>
                </c:pt>
                <c:pt idx="65">
                  <c:v>156.75153815315329</c:v>
                </c:pt>
                <c:pt idx="66">
                  <c:v>156.67613027576706</c:v>
                </c:pt>
                <c:pt idx="67">
                  <c:v>156.59857979292627</c:v>
                </c:pt>
                <c:pt idx="68">
                  <c:v>156.51888746905192</c:v>
                </c:pt>
                <c:pt idx="69">
                  <c:v>156.43705419483297</c:v>
                </c:pt>
                <c:pt idx="70">
                  <c:v>156.35308098764781</c:v>
                </c:pt>
                <c:pt idx="71">
                  <c:v>156.26696899194417</c:v>
                </c:pt>
                <c:pt idx="72">
                  <c:v>156.17871947957951</c:v>
                </c:pt>
                <c:pt idx="73">
                  <c:v>156.08833385012244</c:v>
                </c:pt>
                <c:pt idx="74">
                  <c:v>155.99581363111872</c:v>
                </c:pt>
                <c:pt idx="75">
                  <c:v>155.90116047832194</c:v>
                </c:pt>
                <c:pt idx="76">
                  <c:v>155.80437617589092</c:v>
                </c:pt>
                <c:pt idx="77">
                  <c:v>155.70546263655476</c:v>
                </c:pt>
                <c:pt idx="78">
                  <c:v>155.60442190174686</c:v>
                </c:pt>
                <c:pt idx="79">
                  <c:v>155.50125614170901</c:v>
                </c:pt>
                <c:pt idx="80">
                  <c:v>155.39596765556638</c:v>
                </c:pt>
                <c:pt idx="81">
                  <c:v>155.17929219955857</c:v>
                </c:pt>
                <c:pt idx="82">
                  <c:v>154.85098173840547</c:v>
                </c:pt>
                <c:pt idx="83">
                  <c:v>154.52024469875417</c:v>
                </c:pt>
                <c:pt idx="84">
                  <c:v>154.18709322017111</c:v>
                </c:pt>
                <c:pt idx="85">
                  <c:v>153.85153959190728</c:v>
                </c:pt>
                <c:pt idx="86">
                  <c:v>153.51359625149641</c:v>
                </c:pt>
                <c:pt idx="87">
                  <c:v>153.17327578332362</c:v>
                </c:pt>
                <c:pt idx="88">
                  <c:v>152.83059091716612</c:v>
                </c:pt>
                <c:pt idx="89">
                  <c:v>152.48555452670627</c:v>
                </c:pt>
                <c:pt idx="90">
                  <c:v>152.13817962801832</c:v>
                </c:pt>
                <c:pt idx="91">
                  <c:v>151.74012062604925</c:v>
                </c:pt>
                <c:pt idx="92">
                  <c:v>151.29128886901847</c:v>
                </c:pt>
                <c:pt idx="93">
                  <c:v>150.84003789007184</c:v>
                </c:pt>
                <c:pt idx="94">
                  <c:v>150.38638583814895</c:v>
                </c:pt>
                <c:pt idx="95">
                  <c:v>149.93035099641236</c:v>
                </c:pt>
                <c:pt idx="96">
                  <c:v>149.4719517798668</c:v>
                </c:pt>
                <c:pt idx="97">
                  <c:v>149.01120673295924</c:v>
                </c:pt>
                <c:pt idx="98">
                  <c:v>148.54813452715987</c:v>
                </c:pt>
                <c:pt idx="99">
                  <c:v>148.08275395852522</c:v>
                </c:pt>
                <c:pt idx="100">
                  <c:v>147.61508394524407</c:v>
                </c:pt>
                <c:pt idx="101">
                  <c:v>147.13739567569783</c:v>
                </c:pt>
                <c:pt idx="102">
                  <c:v>146.64969352071884</c:v>
                </c:pt>
                <c:pt idx="103">
                  <c:v>146.15974295971139</c:v>
                </c:pt>
                <c:pt idx="104">
                  <c:v>145.66756412929223</c:v>
                </c:pt>
                <c:pt idx="105">
                  <c:v>145.17317727465564</c:v>
                </c:pt>
                <c:pt idx="106">
                  <c:v>144.67660274691252</c:v>
                </c:pt>
                <c:pt idx="107">
                  <c:v>144.17786100041877</c:v>
                </c:pt>
                <c:pt idx="108">
                  <c:v>143.67697259009344</c:v>
                </c:pt>
                <c:pt idx="109">
                  <c:v>143.17395816872767</c:v>
                </c:pt>
                <c:pt idx="110">
                  <c:v>142.66883848428489</c:v>
                </c:pt>
                <c:pt idx="111">
                  <c:v>142.25098631388656</c:v>
                </c:pt>
                <c:pt idx="112">
                  <c:v>141.92057553066249</c:v>
                </c:pt>
                <c:pt idx="113">
                  <c:v>141.58827935451549</c:v>
                </c:pt>
                <c:pt idx="114">
                  <c:v>141.25411069063651</c:v>
                </c:pt>
                <c:pt idx="115">
                  <c:v>140.91808253954832</c:v>
                </c:pt>
                <c:pt idx="116">
                  <c:v>140.58020799559097</c:v>
                </c:pt>
                <c:pt idx="117">
                  <c:v>140.24050024539662</c:v>
                </c:pt>
                <c:pt idx="118">
                  <c:v>139.89897256635373</c:v>
                </c:pt>
                <c:pt idx="119">
                  <c:v>139.55563832506209</c:v>
                </c:pt>
                <c:pt idx="120">
                  <c:v>139.21051097577771</c:v>
                </c:pt>
                <c:pt idx="121">
                  <c:v>138.71516295226974</c:v>
                </c:pt>
                <c:pt idx="122">
                  <c:v>138.06937860851073</c:v>
                </c:pt>
                <c:pt idx="123">
                  <c:v>137.42162904205679</c:v>
                </c:pt>
                <c:pt idx="124">
                  <c:v>136.77194208538842</c:v>
                </c:pt>
                <c:pt idx="125">
                  <c:v>136.1203456098084</c:v>
                </c:pt>
                <c:pt idx="126">
                  <c:v>135.46686752172681</c:v>
                </c:pt>
                <c:pt idx="127">
                  <c:v>134.811535758959</c:v>
                </c:pt>
                <c:pt idx="128">
                  <c:v>134.15437828703551</c:v>
                </c:pt>
                <c:pt idx="129">
                  <c:v>133.49542309552541</c:v>
                </c:pt>
                <c:pt idx="130">
                  <c:v>132.83469819437406</c:v>
                </c:pt>
                <c:pt idx="131">
                  <c:v>132.13330752639885</c:v>
                </c:pt>
                <c:pt idx="132">
                  <c:v>131.3912279595495</c:v>
                </c:pt>
                <c:pt idx="133">
                  <c:v>130.64742329913113</c:v>
                </c:pt>
                <c:pt idx="134">
                  <c:v>129.90192561903052</c:v>
                </c:pt>
                <c:pt idx="135">
                  <c:v>129.15476697460423</c:v>
                </c:pt>
                <c:pt idx="136">
                  <c:v>128.40597939849408</c:v>
                </c:pt>
                <c:pt idx="137">
                  <c:v>127.65559489647177</c:v>
                </c:pt>
                <c:pt idx="138">
                  <c:v>126.903645443313</c:v>
                </c:pt>
                <c:pt idx="139">
                  <c:v>126.15016297870237</c:v>
                </c:pt>
                <c:pt idx="140">
                  <c:v>125.39517940317019</c:v>
                </c:pt>
                <c:pt idx="141">
                  <c:v>124.17260564762533</c:v>
                </c:pt>
                <c:pt idx="142">
                  <c:v>122.48198025042319</c:v>
                </c:pt>
                <c:pt idx="143">
                  <c:v>120.78969519457084</c:v>
                </c:pt>
                <c:pt idx="144">
                  <c:v>119.09584249718674</c:v>
                </c:pt>
                <c:pt idx="145">
                  <c:v>117.40051359462669</c:v>
                </c:pt>
                <c:pt idx="146">
                  <c:v>115.70379932782021</c:v>
                </c:pt>
                <c:pt idx="147">
                  <c:v>114.00578992791793</c:v>
                </c:pt>
                <c:pt idx="148">
                  <c:v>112.30657500225286</c:v>
                </c:pt>
                <c:pt idx="149">
                  <c:v>110.60624352061626</c:v>
                </c:pt>
                <c:pt idx="150">
                  <c:v>108.90488380185133</c:v>
                </c:pt>
                <c:pt idx="151">
                  <c:v>107.20258350076524</c:v>
                </c:pt>
                <c:pt idx="152">
                  <c:v>105.49942959536145</c:v>
                </c:pt>
                <c:pt idx="153">
                  <c:v>103.79550837439345</c:v>
                </c:pt>
                <c:pt idx="154">
                  <c:v>102.090905425241</c:v>
                </c:pt>
                <c:pt idx="155">
                  <c:v>100.3857056221098</c:v>
                </c:pt>
                <c:pt idx="156">
                  <c:v>96.467969998333331</c:v>
                </c:pt>
                <c:pt idx="157">
                  <c:v>90.337055029412738</c:v>
                </c:pt>
                <c:pt idx="158">
                  <c:v>84.207429047574678</c:v>
                </c:pt>
                <c:pt idx="159">
                  <c:v>78.079772493738758</c:v>
                </c:pt>
                <c:pt idx="160">
                  <c:v>71.954755484007151</c:v>
                </c:pt>
                <c:pt idx="161">
                  <c:v>63.019374059725273</c:v>
                </c:pt>
                <c:pt idx="162">
                  <c:v>51.275741098575004</c:v>
                </c:pt>
                <c:pt idx="163">
                  <c:v>39.811225201649194</c:v>
                </c:pt>
                <c:pt idx="164">
                  <c:v>28.627678290474499</c:v>
                </c:pt>
                <c:pt idx="165">
                  <c:v>20.146735064001415</c:v>
                </c:pt>
                <c:pt idx="166">
                  <c:v>14.366487172700054</c:v>
                </c:pt>
                <c:pt idx="167">
                  <c:v>6.5506693448861473</c:v>
                </c:pt>
                <c:pt idx="168">
                  <c:v>-1.8180419040438549</c:v>
                </c:pt>
                <c:pt idx="169">
                  <c:v>-14.393935532859253</c:v>
                </c:pt>
                <c:pt idx="170">
                  <c:v>-28.209171014372792</c:v>
                </c:pt>
                <c:pt idx="171">
                  <c:v>-32.853099815962565</c:v>
                </c:pt>
                <c:pt idx="172">
                  <c:v>-32.781484861930181</c:v>
                </c:pt>
                <c:pt idx="173">
                  <c:v>-32.710146580323638</c:v>
                </c:pt>
                <c:pt idx="174">
                  <c:v>-32.639083541351837</c:v>
                </c:pt>
                <c:pt idx="175">
                  <c:v>-32.568294324516948</c:v>
                </c:pt>
                <c:pt idx="176">
                  <c:v>-32.49777751854154</c:v>
                </c:pt>
                <c:pt idx="177">
                  <c:v>-32.427531721296589</c:v>
                </c:pt>
                <c:pt idx="178">
                  <c:v>-32.35755553972988</c:v>
                </c:pt>
                <c:pt idx="179">
                  <c:v>-32.287847589795248</c:v>
                </c:pt>
                <c:pt idx="180">
                  <c:v>-32.218406496382414</c:v>
                </c:pt>
                <c:pt idx="181">
                  <c:v>-32.149230893247434</c:v>
                </c:pt>
                <c:pt idx="182">
                  <c:v>-32.080319422943781</c:v>
                </c:pt>
                <c:pt idx="183">
                  <c:v>-32.011670736754141</c:v>
                </c:pt>
                <c:pt idx="184">
                  <c:v>-31.943283494622658</c:v>
                </c:pt>
                <c:pt idx="185">
                  <c:v>-31.875156365087992</c:v>
                </c:pt>
                <c:pt idx="186">
                  <c:v>-31.807288025216792</c:v>
                </c:pt>
                <c:pt idx="187">
                  <c:v>-31.739677160537923</c:v>
                </c:pt>
                <c:pt idx="188">
                  <c:v>-31.672322464977192</c:v>
                </c:pt>
                <c:pt idx="189">
                  <c:v>-31.605222640792697</c:v>
                </c:pt>
                <c:pt idx="190">
                  <c:v>-31.538376398510785</c:v>
                </c:pt>
                <c:pt idx="191">
                  <c:v>-31.471782456862485</c:v>
                </c:pt>
                <c:pt idx="192">
                  <c:v>-31.405439542720671</c:v>
                </c:pt>
                <c:pt idx="193">
                  <c:v>-31.339346391037594</c:v>
                </c:pt>
                <c:pt idx="194">
                  <c:v>-31.273501744783182</c:v>
                </c:pt>
                <c:pt idx="195">
                  <c:v>-31.207904354883688</c:v>
                </c:pt>
                <c:pt idx="196">
                  <c:v>-31.142552980161078</c:v>
                </c:pt>
                <c:pt idx="197">
                  <c:v>-31.077446387272779</c:v>
                </c:pt>
                <c:pt idx="198">
                  <c:v>-31.012583350652108</c:v>
                </c:pt>
                <c:pt idx="199">
                  <c:v>-30.947962652449135</c:v>
                </c:pt>
                <c:pt idx="200">
                  <c:v>-30.883583082472128</c:v>
                </c:pt>
                <c:pt idx="201">
                  <c:v>-30.819443438129497</c:v>
                </c:pt>
                <c:pt idx="202">
                  <c:v>-30.185611245951733</c:v>
                </c:pt>
                <c:pt idx="203">
                  <c:v>-29.574970776690098</c:v>
                </c:pt>
                <c:pt idx="204">
                  <c:v>-28.986398168576887</c:v>
                </c:pt>
                <c:pt idx="205">
                  <c:v>-28.418837398969032</c:v>
                </c:pt>
                <c:pt idx="206">
                  <c:v>-27.871295393104845</c:v>
                </c:pt>
                <c:pt idx="207">
                  <c:v>-27.342837540763739</c:v>
                </c:pt>
                <c:pt idx="208">
                  <c:v>-26.832583582257335</c:v>
                </c:pt>
                <c:pt idx="209">
                  <c:v>-26.339703829245444</c:v>
                </c:pt>
                <c:pt idx="210">
                  <c:v>-25.863415689463071</c:v>
                </c:pt>
                <c:pt idx="211">
                  <c:v>-25.402980467625881</c:v>
                </c:pt>
                <c:pt idx="212">
                  <c:v>-24.957700417602396</c:v>
                </c:pt>
                <c:pt idx="213">
                  <c:v>-24.526916023445644</c:v>
                </c:pt>
                <c:pt idx="214">
                  <c:v>-24.110003489104248</c:v>
                </c:pt>
                <c:pt idx="215">
                  <c:v>-23.706372418616283</c:v>
                </c:pt>
                <c:pt idx="216">
                  <c:v>-23.315463670357587</c:v>
                </c:pt>
                <c:pt idx="217">
                  <c:v>-22.936747370495389</c:v>
                </c:pt>
                <c:pt idx="218">
                  <c:v>-22.569721072209475</c:v>
                </c:pt>
                <c:pt idx="219">
                  <c:v>-22.213908048507065</c:v>
                </c:pt>
                <c:pt idx="220">
                  <c:v>-21.868855707589784</c:v>
                </c:pt>
                <c:pt idx="221">
                  <c:v>-21.534134120747591</c:v>
                </c:pt>
                <c:pt idx="222">
                  <c:v>-21.209334653667341</c:v>
                </c:pt>
                <c:pt idx="223">
                  <c:v>-20.894068692864888</c:v>
                </c:pt>
                <c:pt idx="224">
                  <c:v>-20.587966459688968</c:v>
                </c:pt>
                <c:pt idx="225">
                  <c:v>-20.290675905011426</c:v>
                </c:pt>
                <c:pt idx="226">
                  <c:v>-20.001861678320005</c:v>
                </c:pt>
                <c:pt idx="227">
                  <c:v>-19.721204165472837</c:v>
                </c:pt>
                <c:pt idx="228">
                  <c:v>-19.448398589865235</c:v>
                </c:pt>
                <c:pt idx="229">
                  <c:v>-19.18315417220353</c:v>
                </c:pt>
                <c:pt idx="230">
                  <c:v>-18.925193344484043</c:v>
                </c:pt>
                <c:pt idx="231">
                  <c:v>-18.674251014139934</c:v>
                </c:pt>
                <c:pt idx="232">
                  <c:v>-18.430073874650358</c:v>
                </c:pt>
                <c:pt idx="233">
                  <c:v>-18.192419759207606</c:v>
                </c:pt>
                <c:pt idx="234">
                  <c:v>-17.961057034311281</c:v>
                </c:pt>
                <c:pt idx="235">
                  <c:v>-17.735764030407964</c:v>
                </c:pt>
                <c:pt idx="236">
                  <c:v>-17.516328506921468</c:v>
                </c:pt>
                <c:pt idx="237">
                  <c:v>-17.30254714922533</c:v>
                </c:pt>
                <c:pt idx="238">
                  <c:v>-17.094225095297833</c:v>
                </c:pt>
                <c:pt idx="239">
                  <c:v>-16.891175489971623</c:v>
                </c:pt>
                <c:pt idx="240">
                  <c:v>-16.693219064846993</c:v>
                </c:pt>
                <c:pt idx="241">
                  <c:v>-16.500183742081173</c:v>
                </c:pt>
                <c:pt idx="242">
                  <c:v>-16.311904260397277</c:v>
                </c:pt>
                <c:pt idx="243">
                  <c:v>-16.128221821775782</c:v>
                </c:pt>
                <c:pt idx="244">
                  <c:v>-15.948983757401555</c:v>
                </c:pt>
                <c:pt idx="245">
                  <c:v>-15.774043211539091</c:v>
                </c:pt>
                <c:pt idx="246">
                  <c:v>-15.603258842100512</c:v>
                </c:pt>
                <c:pt idx="247">
                  <c:v>-15.436494536754573</c:v>
                </c:pt>
                <c:pt idx="248">
                  <c:v>-15.273619143501596</c:v>
                </c:pt>
                <c:pt idx="249">
                  <c:v>-15.114506214709174</c:v>
                </c:pt>
                <c:pt idx="250">
                  <c:v>-14.959033763667557</c:v>
                </c:pt>
                <c:pt idx="251">
                  <c:v>-14.80708403278199</c:v>
                </c:pt>
                <c:pt idx="252">
                  <c:v>-14.658543272572434</c:v>
                </c:pt>
                <c:pt idx="253">
                  <c:v>-14.513301530699575</c:v>
                </c:pt>
                <c:pt idx="254">
                  <c:v>-14.371252450279993</c:v>
                </c:pt>
                <c:pt idx="255">
                  <c:v>-14.232293076793177</c:v>
                </c:pt>
                <c:pt idx="256">
                  <c:v>-14.09632367291908</c:v>
                </c:pt>
                <c:pt idx="257">
                  <c:v>-13.963247540677123</c:v>
                </c:pt>
                <c:pt idx="258">
                  <c:v>-13.832970850266573</c:v>
                </c:pt>
                <c:pt idx="259">
                  <c:v>-13.705402475033683</c:v>
                </c:pt>
                <c:pt idx="260">
                  <c:v>-13.580453832013724</c:v>
                </c:pt>
                <c:pt idx="261">
                  <c:v>-13.458038727515394</c:v>
                </c:pt>
                <c:pt idx="262">
                  <c:v>-13.338073207231984</c:v>
                </c:pt>
                <c:pt idx="263">
                  <c:v>-13.220475410377512</c:v>
                </c:pt>
                <c:pt idx="264">
                  <c:v>-13.105165427357417</c:v>
                </c:pt>
                <c:pt idx="265">
                  <c:v>-12.992065160491876</c:v>
                </c:pt>
                <c:pt idx="266">
                  <c:v>-12.881098187315976</c:v>
                </c:pt>
                <c:pt idx="267">
                  <c:v>-12.772189625984225</c:v>
                </c:pt>
                <c:pt idx="268">
                  <c:v>-12.665266002307776</c:v>
                </c:pt>
                <c:pt idx="269">
                  <c:v>-12.560255117950827</c:v>
                </c:pt>
                <c:pt idx="270">
                  <c:v>-12.457085919308211</c:v>
                </c:pt>
                <c:pt idx="271">
                  <c:v>-12.355688366578866</c:v>
                </c:pt>
                <c:pt idx="272">
                  <c:v>-12.255993302539871</c:v>
                </c:pt>
                <c:pt idx="273">
                  <c:v>-12.157932320512705</c:v>
                </c:pt>
                <c:pt idx="274">
                  <c:v>-12.061437630997505</c:v>
                </c:pt>
                <c:pt idx="275">
                  <c:v>-11.966441926431843</c:v>
                </c:pt>
                <c:pt idx="276">
                  <c:v>-11.872878243508241</c:v>
                </c:pt>
                <c:pt idx="277">
                  <c:v>-11.780679822458803</c:v>
                </c:pt>
                <c:pt idx="278">
                  <c:v>-11.689779962685764</c:v>
                </c:pt>
                <c:pt idx="279">
                  <c:v>-11.600111874083723</c:v>
                </c:pt>
                <c:pt idx="280">
                  <c:v>-11.511608523361902</c:v>
                </c:pt>
                <c:pt idx="281">
                  <c:v>-11.424202474633558</c:v>
                </c:pt>
                <c:pt idx="282">
                  <c:v>-11.337825723493804</c:v>
                </c:pt>
                <c:pt idx="283">
                  <c:v>-11.252409523756878</c:v>
                </c:pt>
                <c:pt idx="284">
                  <c:v>-11.167884205968917</c:v>
                </c:pt>
                <c:pt idx="285">
                  <c:v>-11.084178986752356</c:v>
                </c:pt>
                <c:pt idx="286">
                  <c:v>-11.001221767973338</c:v>
                </c:pt>
                <c:pt idx="287">
                  <c:v>-10.918938924653808</c:v>
                </c:pt>
                <c:pt idx="288">
                  <c:v>-10.837255080475099</c:v>
                </c:pt>
                <c:pt idx="289">
                  <c:v>-10.756092869640574</c:v>
                </c:pt>
                <c:pt idx="290">
                  <c:v>-10.675372683780868</c:v>
                </c:pt>
                <c:pt idx="291">
                  <c:v>-10.595012402497565</c:v>
                </c:pt>
                <c:pt idx="292">
                  <c:v>-10.514927106050269</c:v>
                </c:pt>
                <c:pt idx="293">
                  <c:v>-10.435028768599226</c:v>
                </c:pt>
                <c:pt idx="294">
                  <c:v>-10.355225930322382</c:v>
                </c:pt>
                <c:pt idx="295">
                  <c:v>-10.275423346634383</c:v>
                </c:pt>
                <c:pt idx="296">
                  <c:v>-10.195521612647966</c:v>
                </c:pt>
                <c:pt idx="297">
                  <c:v>-10.115416760939594</c:v>
                </c:pt>
                <c:pt idx="298">
                  <c:v>-10.034999830615481</c:v>
                </c:pt>
                <c:pt idx="299">
                  <c:v>-9.9541564056275202</c:v>
                </c:pt>
                <c:pt idx="300">
                  <c:v>-9.8727661202689916</c:v>
                </c:pt>
                <c:pt idx="301">
                  <c:v>-9.7907021297969088</c:v>
                </c:pt>
                <c:pt idx="302">
                  <c:v>-9.7078305441939499</c:v>
                </c:pt>
                <c:pt idx="303">
                  <c:v>-9.6240098232132993</c:v>
                </c:pt>
                <c:pt idx="304">
                  <c:v>-9.5390901310636593</c:v>
                </c:pt>
                <c:pt idx="305">
                  <c:v>-9.4529126494125641</c:v>
                </c:pt>
                <c:pt idx="306">
                  <c:v>-9.3653088478427886</c:v>
                </c:pt>
                <c:pt idx="307">
                  <c:v>-9.2760997115242301</c:v>
                </c:pt>
                <c:pt idx="308">
                  <c:v>-9.1850949267049025</c:v>
                </c:pt>
                <c:pt idx="309">
                  <c:v>-9.092092025730409</c:v>
                </c:pt>
                <c:pt idx="310">
                  <c:v>-8.9968754947332563</c:v>
                </c:pt>
                <c:pt idx="311">
                  <c:v>-8.8992158489631965</c:v>
                </c:pt>
                <c:pt idx="312">
                  <c:v>-8.7988686830428424</c:v>
                </c:pt>
                <c:pt idx="313">
                  <c:v>-8.6955737063264245</c:v>
                </c:pt>
                <c:pt idx="314">
                  <c:v>-8.5890537771256845</c:v>
                </c:pt>
                <c:pt idx="315">
                  <c:v>-8.4790139539698099</c:v>
                </c:pt>
                <c:pt idx="316">
                  <c:v>-8.3651405874218714</c:v>
                </c:pt>
                <c:pt idx="317">
                  <c:v>-8.2471004824252567</c:v>
                </c:pt>
                <c:pt idx="318">
                  <c:v>-8.1245401688430707</c:v>
                </c:pt>
                <c:pt idx="319">
                  <c:v>-7.9970853269138473</c:v>
                </c:pt>
                <c:pt idx="320">
                  <c:v>-7.8643404248826423</c:v>
                </c:pt>
                <c:pt idx="321">
                  <c:v>-7.7258886381311287</c:v>
                </c:pt>
                <c:pt idx="322">
                  <c:v>-7.5812921326925693</c:v>
                </c:pt>
                <c:pt idx="323">
                  <c:v>-7.430092810937567</c:v>
                </c:pt>
                <c:pt idx="324">
                  <c:v>-7.2718136331087946</c:v>
                </c:pt>
                <c:pt idx="325">
                  <c:v>-7.105960644665438</c:v>
                </c:pt>
                <c:pt idx="326">
                  <c:v>-6.9320258551287051</c:v>
                </c:pt>
                <c:pt idx="327">
                  <c:v>-6.7494911279229681</c:v>
                </c:pt>
                <c:pt idx="328">
                  <c:v>-6.5578332506799697</c:v>
                </c:pt>
                <c:pt idx="329">
                  <c:v>-6.3565303591040205</c:v>
                </c:pt>
                <c:pt idx="330">
                  <c:v>-6.1450698816173688</c:v>
                </c:pt>
                <c:pt idx="331">
                  <c:v>-5.9229581528190582</c:v>
                </c:pt>
                <c:pt idx="332">
                  <c:v>-5.6897318070034189</c:v>
                </c:pt>
                <c:pt idx="333">
                  <c:v>-5.4449710041058728</c:v>
                </c:pt>
                <c:pt idx="334">
                  <c:v>-5.1883144553056857</c:v>
                </c:pt>
                <c:pt idx="335">
                  <c:v>-4.9194761010484314</c:v>
                </c:pt>
                <c:pt idx="336">
                  <c:v>-4.6382631495346898</c:v>
                </c:pt>
                <c:pt idx="337">
                  <c:v>-4.3445950112504725</c:v>
                </c:pt>
                <c:pt idx="338">
                  <c:v>-4.0385224721468473</c:v>
                </c:pt>
                <c:pt idx="339">
                  <c:v>-3.7202462477943681</c:v>
                </c:pt>
                <c:pt idx="340">
                  <c:v>-3.3901338729529327</c:v>
                </c:pt>
                <c:pt idx="341">
                  <c:v>-3.0487337313185119</c:v>
                </c:pt>
                <c:pt idx="342">
                  <c:v>-2.6967849487314002</c:v>
                </c:pt>
                <c:pt idx="343">
                  <c:v>-2.3352218903640836</c:v>
                </c:pt>
                <c:pt idx="344">
                  <c:v>-1.9651721440135559</c:v>
                </c:pt>
                <c:pt idx="345">
                  <c:v>-1.5879471520192077</c:v>
                </c:pt>
                <c:pt idx="346">
                  <c:v>-1.2050250704753385</c:v>
                </c:pt>
                <c:pt idx="347">
                  <c:v>-0.81802596150694962</c:v>
                </c:pt>
                <c:pt idx="348">
                  <c:v>-0.42868001522165622</c:v>
                </c:pt>
                <c:pt idx="349">
                  <c:v>-3.879008716801377E-2</c:v>
                </c:pt>
                <c:pt idx="350">
                  <c:v>0.34980964960960581</c:v>
                </c:pt>
                <c:pt idx="351">
                  <c:v>0.73529677206958766</c:v>
                </c:pt>
                <c:pt idx="352">
                  <c:v>1.1159030613463827</c:v>
                </c:pt>
                <c:pt idx="353">
                  <c:v>1.4899540684441466</c:v>
                </c:pt>
                <c:pt idx="354">
                  <c:v>1.8559037902784126</c:v>
                </c:pt>
                <c:pt idx="355">
                  <c:v>2.2123629049055462</c:v>
                </c:pt>
                <c:pt idx="356">
                  <c:v>2.5581195772352188</c:v>
                </c:pt>
                <c:pt idx="357">
                  <c:v>2.8921524471121489</c:v>
                </c:pt>
                <c:pt idx="358">
                  <c:v>3.213635978926245</c:v>
                </c:pt>
                <c:pt idx="359">
                  <c:v>3.5219388285630191</c:v>
                </c:pt>
                <c:pt idx="360">
                  <c:v>3.8166162332403575</c:v>
                </c:pt>
                <c:pt idx="361">
                  <c:v>4.0973976390307802</c:v>
                </c:pt>
                <c:pt idx="362">
                  <c:v>4.3641708561360675</c:v>
                </c:pt>
                <c:pt idx="363">
                  <c:v>4.6169639943073459</c:v>
                </c:pt>
                <c:pt idx="364">
                  <c:v>4.8559263092471685</c:v>
                </c:pt>
                <c:pt idx="365">
                  <c:v>5.0813089164282603</c:v>
                </c:pt>
                <c:pt idx="366">
                  <c:v>5.2934461299421907</c:v>
                </c:pt>
                <c:pt idx="367">
                  <c:v>5.4927379837699553</c:v>
                </c:pt>
                <c:pt idx="368">
                  <c:v>5.6796343077332283</c:v>
                </c:pt>
                <c:pt idx="369">
                  <c:v>5.8546205704501535</c:v>
                </c:pt>
                <c:pt idx="370">
                  <c:v>6.018205571563314</c:v>
                </c:pt>
                <c:pt idx="371">
                  <c:v>6.1709109658918848</c:v>
                </c:pt>
                <c:pt idx="372">
                  <c:v>6.313262530773204</c:v>
                </c:pt>
                <c:pt idx="373">
                  <c:v>6.4457830408972141</c:v>
                </c:pt>
                <c:pt idx="374">
                  <c:v>6.5689865879266351</c:v>
                </c:pt>
                <c:pt idx="375">
                  <c:v>6.6833741706402421</c:v>
                </c:pt>
                <c:pt idx="376">
                  <c:v>6.7894303811234655</c:v>
                </c:pt>
                <c:pt idx="377">
                  <c:v>6.8876210201384707</c:v>
                </c:pt>
                <c:pt idx="378">
                  <c:v>6.9783914873794206</c:v>
                </c:pt>
                <c:pt idx="379">
                  <c:v>7.0621658076482534</c:v>
                </c:pt>
                <c:pt idx="380">
                  <c:v>7.1393461704406089</c:v>
                </c:pt>
                <c:pt idx="381">
                  <c:v>7.2103128768642994</c:v>
                </c:pt>
                <c:pt idx="382">
                  <c:v>7.2754246034669556</c:v>
                </c:pt>
                <c:pt idx="383">
                  <c:v>7.3350189069662886</c:v>
                </c:pt>
                <c:pt idx="384">
                  <c:v>7.3894129068175145</c:v>
                </c:pt>
                <c:pt idx="385">
                  <c:v>7.4389040939346138</c:v>
                </c:pt>
                <c:pt idx="386">
                  <c:v>7.4837712237274712</c:v>
                </c:pt>
                <c:pt idx="387">
                  <c:v>7.5242752600130389</c:v>
                </c:pt>
                <c:pt idx="388">
                  <c:v>7.5606603434314792</c:v>
                </c:pt>
                <c:pt idx="389">
                  <c:v>7.5931547638908086</c:v>
                </c:pt>
                <c:pt idx="390">
                  <c:v>7.6219719214233805</c:v>
                </c:pt>
                <c:pt idx="391">
                  <c:v>7.6473112638071772</c:v>
                </c:pt>
                <c:pt idx="392">
                  <c:v>7.6693591925168318</c:v>
                </c:pt>
                <c:pt idx="393">
                  <c:v>7.6882899311435144</c:v>
                </c:pt>
                <c:pt idx="394">
                  <c:v>7.7042663524652317</c:v>
                </c:pt>
                <c:pt idx="395">
                  <c:v>7.7174407619516652</c:v>
                </c:pt>
                <c:pt idx="396">
                  <c:v>7.7279556367297575</c:v>
                </c:pt>
                <c:pt idx="397">
                  <c:v>7.7359443199847213</c:v>
                </c:pt>
                <c:pt idx="398">
                  <c:v>7.7415316714821856</c:v>
                </c:pt>
                <c:pt idx="399">
                  <c:v>7.7448346754182555</c:v>
                </c:pt>
                <c:pt idx="400">
                  <c:v>7.7459630071733692</c:v>
                </c:pt>
                <c:pt idx="401">
                  <c:v>7.745019560795777</c:v>
                </c:pt>
                <c:pt idx="402">
                  <c:v>7.7421009391965896</c:v>
                </c:pt>
                <c:pt idx="403">
                  <c:v>7.737297909122133</c:v>
                </c:pt>
                <c:pt idx="404">
                  <c:v>7.7306958229978182</c:v>
                </c:pt>
                <c:pt idx="405">
                  <c:v>7.7223750097245336</c:v>
                </c:pt>
                <c:pt idx="406">
                  <c:v>7.7124111364646764</c:v>
                </c:pt>
                <c:pt idx="407">
                  <c:v>7.7008755433889151</c:v>
                </c:pt>
                <c:pt idx="408">
                  <c:v>7.6878355532735778</c:v>
                </c:pt>
                <c:pt idx="409">
                  <c:v>7.6733547577473864</c:v>
                </c:pt>
                <c:pt idx="410">
                  <c:v>7.6574932818892751</c:v>
                </c:pt>
                <c:pt idx="411">
                  <c:v>7.640308028779355</c:v>
                </c:pt>
                <c:pt idx="412">
                  <c:v>7.6218529055051594</c:v>
                </c:pt>
                <c:pt idx="413">
                  <c:v>7.6021790320268039</c:v>
                </c:pt>
                <c:pt idx="414">
                  <c:v>7.5813349342089715</c:v>
                </c:pt>
                <c:pt idx="415">
                  <c:v>7.5593667222354792</c:v>
                </c:pt>
                <c:pt idx="416">
                  <c:v>7.5363182555344252</c:v>
                </c:pt>
                <c:pt idx="417">
                  <c:v>7.5122312952584949</c:v>
                </c:pt>
                <c:pt idx="418">
                  <c:v>7.4871456452867049</c:v>
                </c:pt>
                <c:pt idx="419">
                  <c:v>7.4610992826401752</c:v>
                </c:pt>
                <c:pt idx="420">
                  <c:v>7.4341284781357215</c:v>
                </c:pt>
                <c:pt idx="421">
                  <c:v>7.406267908037047</c:v>
                </c:pt>
                <c:pt idx="422">
                  <c:v>7.3775507574037373</c:v>
                </c:pt>
                <c:pt idx="423">
                  <c:v>7.3480088157830172</c:v>
                </c:pt>
                <c:pt idx="424">
                  <c:v>7.3176725658383024</c:v>
                </c:pt>
                <c:pt idx="425">
                  <c:v>7.2865712654612169</c:v>
                </c:pt>
                <c:pt idx="426">
                  <c:v>7.2547330238703429</c:v>
                </c:pt>
                <c:pt idx="427">
                  <c:v>7.2221848721597866</c:v>
                </c:pt>
                <c:pt idx="428">
                  <c:v>7.1889528287237425</c:v>
                </c:pt>
                <c:pt idx="429">
                  <c:v>7.1550619599491769</c:v>
                </c:pt>
                <c:pt idx="430">
                  <c:v>7.120536436537602</c:v>
                </c:pt>
                <c:pt idx="431">
                  <c:v>7.0853995857880578</c:v>
                </c:pt>
                <c:pt idx="432">
                  <c:v>7.0496739401471533</c:v>
                </c:pt>
                <c:pt idx="433">
                  <c:v>7.0133812823076793</c:v>
                </c:pt>
                <c:pt idx="434">
                  <c:v>6.9765426871150789</c:v>
                </c:pt>
                <c:pt idx="435">
                  <c:v>6.9391785605206557</c:v>
                </c:pt>
                <c:pt idx="436">
                  <c:v>6.901308675801566</c:v>
                </c:pt>
                <c:pt idx="437">
                  <c:v>6.862952207250463</c:v>
                </c:pt>
                <c:pt idx="438">
                  <c:v>6.824127761521833</c:v>
                </c:pt>
                <c:pt idx="439">
                  <c:v>6.7848534068074864</c:v>
                </c:pt>
                <c:pt idx="440">
                  <c:v>6.7451467000003937</c:v>
                </c:pt>
                <c:pt idx="441">
                  <c:v>6.7050247119937705</c:v>
                </c:pt>
                <c:pt idx="442">
                  <c:v>6.6645040512509972</c:v>
                </c:pt>
                <c:pt idx="443">
                  <c:v>6.6236008857717046</c:v>
                </c:pt>
                <c:pt idx="444">
                  <c:v>6.5823309635698131</c:v>
                </c:pt>
                <c:pt idx="445">
                  <c:v>6.5407096317704418</c:v>
                </c:pt>
                <c:pt idx="446">
                  <c:v>6.4987518544247926</c:v>
                </c:pt>
                <c:pt idx="447">
                  <c:v>6.4564722291344792</c:v>
                </c:pt>
                <c:pt idx="448">
                  <c:v>6.4138850025700638</c:v>
                </c:pt>
                <c:pt idx="449">
                  <c:v>6.3710040849622995</c:v>
                </c:pt>
                <c:pt idx="450">
                  <c:v>6.3278430636387295</c:v>
                </c:pt>
                <c:pt idx="451">
                  <c:v>6.2844152156730209</c:v>
                </c:pt>
                <c:pt idx="452">
                  <c:v>6.2407335197094174</c:v>
                </c:pt>
                <c:pt idx="453">
                  <c:v>6.1968106670203316</c:v>
                </c:pt>
                <c:pt idx="454">
                  <c:v>6.1526590718506569</c:v>
                </c:pt>
                <c:pt idx="455">
                  <c:v>6.1082908810987622</c:v>
                </c:pt>
                <c:pt idx="456">
                  <c:v>6.0637179833804442</c:v>
                </c:pt>
                <c:pt idx="457">
                  <c:v>6.018952017518818</c:v>
                </c:pt>
                <c:pt idx="458">
                  <c:v>5.9740043805001166</c:v>
                </c:pt>
                <c:pt idx="459">
                  <c:v>5.9288862349325218</c:v>
                </c:pt>
                <c:pt idx="460">
                  <c:v>5.8836085160426048</c:v>
                </c:pt>
                <c:pt idx="461">
                  <c:v>5.8381819382414246</c:v>
                </c:pt>
                <c:pt idx="462">
                  <c:v>5.7926170012902212</c:v>
                </c:pt>
                <c:pt idx="463">
                  <c:v>5.7469239960935097</c:v>
                </c:pt>
                <c:pt idx="464">
                  <c:v>5.7011130101454555</c:v>
                </c:pt>
                <c:pt idx="465">
                  <c:v>5.6551939326536491</c:v>
                </c:pt>
                <c:pt idx="466">
                  <c:v>5.6091764593627538</c:v>
                </c:pt>
                <c:pt idx="467">
                  <c:v>5.5630700970989357</c:v>
                </c:pt>
                <c:pt idx="468">
                  <c:v>5.5168841680546237</c:v>
                </c:pt>
                <c:pt idx="469">
                  <c:v>5.4706278138317108</c:v>
                </c:pt>
                <c:pt idx="470">
                  <c:v>5.4243099992602426</c:v>
                </c:pt>
                <c:pt idx="471">
                  <c:v>5.3779395160083094</c:v>
                </c:pt>
                <c:pt idx="472">
                  <c:v>5.3315249859979454</c:v>
                </c:pt>
                <c:pt idx="473">
                  <c:v>5.2850748646407872</c:v>
                </c:pt>
                <c:pt idx="474">
                  <c:v>5.2385974439062952</c:v>
                </c:pt>
                <c:pt idx="475">
                  <c:v>5.192100855234524</c:v>
                </c:pt>
                <c:pt idx="476">
                  <c:v>5.1455930723046182</c:v>
                </c:pt>
                <c:pt idx="477">
                  <c:v>5.0990819136694556</c:v>
                </c:pt>
                <c:pt idx="478">
                  <c:v>5.0525750452661731</c:v>
                </c:pt>
                <c:pt idx="479">
                  <c:v>5.0060799828116265</c:v>
                </c:pt>
                <c:pt idx="480">
                  <c:v>4.9596040940912802</c:v>
                </c:pt>
                <c:pt idx="481">
                  <c:v>4.9131546011494214</c:v>
                </c:pt>
                <c:pt idx="482">
                  <c:v>4.8667385823880984</c:v>
                </c:pt>
                <c:pt idx="483">
                  <c:v>4.8203629745815979</c:v>
                </c:pt>
                <c:pt idx="484">
                  <c:v>4.7740345748129398</c:v>
                </c:pt>
                <c:pt idx="485">
                  <c:v>4.7277600423383568</c:v>
                </c:pt>
                <c:pt idx="486">
                  <c:v>4.6815459003853368</c:v>
                </c:pt>
                <c:pt idx="487">
                  <c:v>4.6353985378893974</c:v>
                </c:pt>
                <c:pt idx="488">
                  <c:v>4.589324211174489</c:v>
                </c:pt>
                <c:pt idx="489">
                  <c:v>4.5433290455815101</c:v>
                </c:pt>
                <c:pt idx="490">
                  <c:v>4.4974190370491502</c:v>
                </c:pt>
                <c:pt idx="491">
                  <c:v>4.4516000536509237</c:v>
                </c:pt>
                <c:pt idx="492">
                  <c:v>4.4058778370921425</c:v>
                </c:pt>
                <c:pt idx="493">
                  <c:v>4.360258004170058</c:v>
                </c:pt>
                <c:pt idx="494">
                  <c:v>4.3147460482004671</c:v>
                </c:pt>
                <c:pt idx="495">
                  <c:v>4.2693473404135647</c:v>
                </c:pt>
                <c:pt idx="496">
                  <c:v>4.2240671313218625</c:v>
                </c:pt>
                <c:pt idx="497">
                  <c:v>4.1789105520625975</c:v>
                </c:pt>
                <c:pt idx="498">
                  <c:v>4.1338826157169875</c:v>
                </c:pt>
                <c:pt idx="499">
                  <c:v>4.0889882186085096</c:v>
                </c:pt>
                <c:pt idx="500">
                  <c:v>4.0442321415821123</c:v>
                </c:pt>
                <c:pt idx="501">
                  <c:v>3.9996190512662881</c:v>
                </c:pt>
                <c:pt idx="502">
                  <c:v>3.9551535013195993</c:v>
                </c:pt>
                <c:pt idx="503">
                  <c:v>3.9108399336633077</c:v>
                </c:pt>
                <c:pt idx="504">
                  <c:v>3.8666826797014373</c:v>
                </c:pt>
                <c:pt idx="505">
                  <c:v>3.8226859615296611</c:v>
                </c:pt>
                <c:pt idx="506">
                  <c:v>3.7788538931341753</c:v>
                </c:pt>
                <c:pt idx="507">
                  <c:v>3.7351904815816352</c:v>
                </c:pt>
                <c:pt idx="508">
                  <c:v>3.6916996282011869</c:v>
                </c:pt>
                <c:pt idx="509">
                  <c:v>3.6483851297594958</c:v>
                </c:pt>
                <c:pt idx="510">
                  <c:v>3.6052506796295498</c:v>
                </c:pt>
                <c:pt idx="511">
                  <c:v>3.5622998689540104</c:v>
                </c:pt>
                <c:pt idx="512">
                  <c:v>3.5195361878038005</c:v>
                </c:pt>
                <c:pt idx="513">
                  <c:v>3.4769630263324505</c:v>
                </c:pt>
                <c:pt idx="514">
                  <c:v>3.4345836759267963</c:v>
                </c:pt>
                <c:pt idx="515">
                  <c:v>3.3924013303544527</c:v>
                </c:pt>
                <c:pt idx="516">
                  <c:v>3.3504190869085084</c:v>
                </c:pt>
                <c:pt idx="517">
                  <c:v>3.3086399475497466</c:v>
                </c:pt>
                <c:pt idx="518">
                  <c:v>3.2670668200467707</c:v>
                </c:pt>
                <c:pt idx="519">
                  <c:v>3.2257025191141997</c:v>
                </c:pt>
                <c:pt idx="520">
                  <c:v>3.1845497675492487</c:v>
                </c:pt>
                <c:pt idx="521">
                  <c:v>3.143611197366746</c:v>
                </c:pt>
                <c:pt idx="522">
                  <c:v>3.1028893509328901</c:v>
                </c:pt>
                <c:pt idx="523">
                  <c:v>3.0623866820976806</c:v>
                </c:pt>
                <c:pt idx="524">
                  <c:v>3.0221055573261797</c:v>
                </c:pt>
                <c:pt idx="525">
                  <c:v>2.9820482568286719</c:v>
                </c:pt>
                <c:pt idx="526">
                  <c:v>2.9422169756896466</c:v>
                </c:pt>
                <c:pt idx="527">
                  <c:v>2.9026138249956448</c:v>
                </c:pt>
                <c:pt idx="528">
                  <c:v>2.8632408329619636</c:v>
                </c:pt>
                <c:pt idx="529">
                  <c:v>2.8240999460580793</c:v>
                </c:pt>
                <c:pt idx="530">
                  <c:v>2.7851930301317536</c:v>
                </c:pt>
                <c:pt idx="531">
                  <c:v>2.7465218715317929</c:v>
                </c:pt>
                <c:pt idx="532">
                  <c:v>2.7080881782291923</c:v>
                </c:pt>
                <c:pt idx="533">
                  <c:v>2.6698935809366908</c:v>
                </c:pt>
                <c:pt idx="534">
                  <c:v>2.6319396342265016</c:v>
                </c:pt>
                <c:pt idx="535">
                  <c:v>2.594227817646142</c:v>
                </c:pt>
                <c:pt idx="536">
                  <c:v>2.5567595368321037</c:v>
                </c:pt>
                <c:pt idx="537">
                  <c:v>2.5195361246212524</c:v>
                </c:pt>
                <c:pt idx="538">
                  <c:v>2.4825588421598068</c:v>
                </c:pt>
                <c:pt idx="539">
                  <c:v>2.4458288800096124</c:v>
                </c:pt>
                <c:pt idx="540">
                  <c:v>2.4093473592515746</c:v>
                </c:pt>
                <c:pt idx="541">
                  <c:v>2.3731153325861047</c:v>
                </c:pt>
                <c:pt idx="542">
                  <c:v>2.3371337854301855</c:v>
                </c:pt>
                <c:pt idx="543">
                  <c:v>2.3014036370111279</c:v>
                </c:pt>
                <c:pt idx="544">
                  <c:v>2.2659257414565106</c:v>
                </c:pt>
                <c:pt idx="545">
                  <c:v>2.2307008888803148</c:v>
                </c:pt>
                <c:pt idx="546">
                  <c:v>2.1957298064649136</c:v>
                </c:pt>
                <c:pt idx="547">
                  <c:v>2.1610131595387392</c:v>
                </c:pt>
                <c:pt idx="548">
                  <c:v>2.1265515526494232</c:v>
                </c:pt>
                <c:pt idx="549">
                  <c:v>2.12651742160942</c:v>
                </c:pt>
                <c:pt idx="550">
                  <c:v>2.1264832908224838</c:v>
                </c:pt>
                <c:pt idx="551">
                  <c:v>2.1264491602886135</c:v>
                </c:pt>
                <c:pt idx="552">
                  <c:v>2.1264150300078075</c:v>
                </c:pt>
                <c:pt idx="553">
                  <c:v>2.126380899980064</c:v>
                </c:pt>
                <c:pt idx="554">
                  <c:v>2.12634677020539</c:v>
                </c:pt>
                <c:pt idx="555">
                  <c:v>2.1263126406837811</c:v>
                </c:pt>
                <c:pt idx="556">
                  <c:v>2.1262785114152347</c:v>
                </c:pt>
                <c:pt idx="557">
                  <c:v>2.126244382399757</c:v>
                </c:pt>
                <c:pt idx="558">
                  <c:v>2.1262102536373488</c:v>
                </c:pt>
                <c:pt idx="559">
                  <c:v>2.1261761251280111</c:v>
                </c:pt>
                <c:pt idx="560">
                  <c:v>2.1261419968717421</c:v>
                </c:pt>
                <c:pt idx="561">
                  <c:v>2.1261078688685391</c:v>
                </c:pt>
                <c:pt idx="562">
                  <c:v>2.1260737411184056</c:v>
                </c:pt>
                <c:pt idx="563">
                  <c:v>2.1260396136213444</c:v>
                </c:pt>
                <c:pt idx="564">
                  <c:v>2.1260054863773528</c:v>
                </c:pt>
                <c:pt idx="565">
                  <c:v>2.1259713593864316</c:v>
                </c:pt>
                <c:pt idx="566">
                  <c:v>2.1259372326485826</c:v>
                </c:pt>
                <c:pt idx="567">
                  <c:v>2.1259031061638032</c:v>
                </c:pt>
                <c:pt idx="568">
                  <c:v>2.1258689799321004</c:v>
                </c:pt>
                <c:pt idx="569">
                  <c:v>2.1258348539534735</c:v>
                </c:pt>
                <c:pt idx="570">
                  <c:v>2.1258007282279152</c:v>
                </c:pt>
                <c:pt idx="571">
                  <c:v>2.1257666027554318</c:v>
                </c:pt>
                <c:pt idx="572">
                  <c:v>2.1257324775360189</c:v>
                </c:pt>
                <c:pt idx="573">
                  <c:v>2.1256983525696818</c:v>
                </c:pt>
                <c:pt idx="574">
                  <c:v>2.1256642278564266</c:v>
                </c:pt>
                <c:pt idx="575">
                  <c:v>2.125630103396249</c:v>
                </c:pt>
                <c:pt idx="576">
                  <c:v>2.1255959791891446</c:v>
                </c:pt>
                <c:pt idx="577">
                  <c:v>2.1255618552351123</c:v>
                </c:pt>
                <c:pt idx="578">
                  <c:v>2.1255277315341647</c:v>
                </c:pt>
                <c:pt idx="579">
                  <c:v>2.1254936080862921</c:v>
                </c:pt>
                <c:pt idx="580">
                  <c:v>2.1254594848914969</c:v>
                </c:pt>
                <c:pt idx="581">
                  <c:v>2.1254253619497856</c:v>
                </c:pt>
                <c:pt idx="582">
                  <c:v>2.1253912392611465</c:v>
                </c:pt>
                <c:pt idx="583">
                  <c:v>2.125357116825592</c:v>
                </c:pt>
                <c:pt idx="584">
                  <c:v>2.1253229946431205</c:v>
                </c:pt>
                <c:pt idx="585">
                  <c:v>2.1252888727137274</c:v>
                </c:pt>
                <c:pt idx="586">
                  <c:v>2.1252547510374171</c:v>
                </c:pt>
                <c:pt idx="587">
                  <c:v>2.1252206296141836</c:v>
                </c:pt>
                <c:pt idx="588">
                  <c:v>2.1251865084440418</c:v>
                </c:pt>
                <c:pt idx="589">
                  <c:v>2.1251523875269775</c:v>
                </c:pt>
                <c:pt idx="590">
                  <c:v>2.1251182668629989</c:v>
                </c:pt>
                <c:pt idx="591">
                  <c:v>2.1250841464521049</c:v>
                </c:pt>
                <c:pt idx="592">
                  <c:v>2.1250500262942911</c:v>
                </c:pt>
                <c:pt idx="593">
                  <c:v>2.1250159063895619</c:v>
                </c:pt>
                <c:pt idx="594">
                  <c:v>2.1249817867379228</c:v>
                </c:pt>
                <c:pt idx="595">
                  <c:v>2.1249476673393675</c:v>
                </c:pt>
                <c:pt idx="596">
                  <c:v>2.1249135481938932</c:v>
                </c:pt>
                <c:pt idx="597">
                  <c:v>2.124879429301517</c:v>
                </c:pt>
                <c:pt idx="598">
                  <c:v>2.1248453106622209</c:v>
                </c:pt>
                <c:pt idx="599">
                  <c:v>2.1248111922760096</c:v>
                </c:pt>
                <c:pt idx="600">
                  <c:v>2.1247770741428917</c:v>
                </c:pt>
                <c:pt idx="601">
                  <c:v>2.1247429562628657</c:v>
                </c:pt>
                <c:pt idx="602">
                  <c:v>2.1247088386359261</c:v>
                </c:pt>
                <c:pt idx="603">
                  <c:v>2.1246747212620765</c:v>
                </c:pt>
                <c:pt idx="604">
                  <c:v>2.1246406041413177</c:v>
                </c:pt>
                <c:pt idx="605">
                  <c:v>2.1246064872736463</c:v>
                </c:pt>
                <c:pt idx="606">
                  <c:v>2.1245723706590702</c:v>
                </c:pt>
                <c:pt idx="607">
                  <c:v>2.1245382542975877</c:v>
                </c:pt>
                <c:pt idx="608">
                  <c:v>2.1245041381891969</c:v>
                </c:pt>
                <c:pt idx="609">
                  <c:v>2.124470022333897</c:v>
                </c:pt>
                <c:pt idx="610">
                  <c:v>2.124435906731688</c:v>
                </c:pt>
                <c:pt idx="611">
                  <c:v>2.1244017913825735</c:v>
                </c:pt>
                <c:pt idx="612">
                  <c:v>2.1243676762865542</c:v>
                </c:pt>
                <c:pt idx="613">
                  <c:v>2.1243335614436303</c:v>
                </c:pt>
                <c:pt idx="614">
                  <c:v>2.1242994468538017</c:v>
                </c:pt>
                <c:pt idx="615">
                  <c:v>2.1242653325170684</c:v>
                </c:pt>
                <c:pt idx="616">
                  <c:v>2.1242312184334349</c:v>
                </c:pt>
                <c:pt idx="617">
                  <c:v>2.1241971046028958</c:v>
                </c:pt>
                <c:pt idx="618">
                  <c:v>2.1241629910254494</c:v>
                </c:pt>
                <c:pt idx="619">
                  <c:v>2.124128877701108</c:v>
                </c:pt>
                <c:pt idx="620">
                  <c:v>2.1240947646298602</c:v>
                </c:pt>
                <c:pt idx="621">
                  <c:v>2.1240606518117158</c:v>
                </c:pt>
                <c:pt idx="622">
                  <c:v>2.1240265392466613</c:v>
                </c:pt>
                <c:pt idx="623">
                  <c:v>2.1239924269347128</c:v>
                </c:pt>
                <c:pt idx="624">
                  <c:v>2.1239583148758641</c:v>
                </c:pt>
                <c:pt idx="625">
                  <c:v>2.1239242030701169</c:v>
                </c:pt>
                <c:pt idx="626">
                  <c:v>2.1238900915174694</c:v>
                </c:pt>
                <c:pt idx="627">
                  <c:v>2.1238559802179289</c:v>
                </c:pt>
                <c:pt idx="628">
                  <c:v>2.1238218691714827</c:v>
                </c:pt>
                <c:pt idx="629">
                  <c:v>2.1237877583781426</c:v>
                </c:pt>
                <c:pt idx="630">
                  <c:v>2.1237536478379049</c:v>
                </c:pt>
                <c:pt idx="631">
                  <c:v>2.1237195375507767</c:v>
                </c:pt>
                <c:pt idx="632">
                  <c:v>2.1236854275167456</c:v>
                </c:pt>
                <c:pt idx="633">
                  <c:v>2.1236513177358205</c:v>
                </c:pt>
                <c:pt idx="634">
                  <c:v>2.1236172082079978</c:v>
                </c:pt>
                <c:pt idx="635">
                  <c:v>2.1235830989332882</c:v>
                </c:pt>
                <c:pt idx="636">
                  <c:v>2.1235489899116793</c:v>
                </c:pt>
                <c:pt idx="637">
                  <c:v>2.1235148811431772</c:v>
                </c:pt>
                <c:pt idx="638">
                  <c:v>2.1234807726277865</c:v>
                </c:pt>
                <c:pt idx="639">
                  <c:v>2.1234466643654999</c:v>
                </c:pt>
                <c:pt idx="640">
                  <c:v>2.1234125563563193</c:v>
                </c:pt>
                <c:pt idx="641">
                  <c:v>2.1233784486002527</c:v>
                </c:pt>
                <c:pt idx="642">
                  <c:v>2.1233443410972948</c:v>
                </c:pt>
                <c:pt idx="643">
                  <c:v>2.1233102338474374</c:v>
                </c:pt>
                <c:pt idx="644">
                  <c:v>2.1232761268506932</c:v>
                </c:pt>
                <c:pt idx="645">
                  <c:v>2.1232420201070674</c:v>
                </c:pt>
                <c:pt idx="646">
                  <c:v>2.1232079136165458</c:v>
                </c:pt>
                <c:pt idx="647">
                  <c:v>2.1231738073791364</c:v>
                </c:pt>
                <c:pt idx="648">
                  <c:v>2.123139701394841</c:v>
                </c:pt>
                <c:pt idx="649">
                  <c:v>2.1231055956636586</c:v>
                </c:pt>
                <c:pt idx="650">
                  <c:v>2.1230714901855814</c:v>
                </c:pt>
                <c:pt idx="651">
                  <c:v>2.123037384960627</c:v>
                </c:pt>
                <c:pt idx="652">
                  <c:v>2.1230032799887839</c:v>
                </c:pt>
                <c:pt idx="653">
                  <c:v>2.122969175270053</c:v>
                </c:pt>
                <c:pt idx="654">
                  <c:v>2.1229350708044397</c:v>
                </c:pt>
                <c:pt idx="655">
                  <c:v>2.1229009665919465</c:v>
                </c:pt>
                <c:pt idx="656">
                  <c:v>2.1228668626325637</c:v>
                </c:pt>
                <c:pt idx="657">
                  <c:v>2.1228327589262967</c:v>
                </c:pt>
                <c:pt idx="658">
                  <c:v>2.1227986554731482</c:v>
                </c:pt>
                <c:pt idx="659">
                  <c:v>2.122764552273118</c:v>
                </c:pt>
                <c:pt idx="660">
                  <c:v>2.1227304493261983</c:v>
                </c:pt>
                <c:pt idx="661">
                  <c:v>2.1226963466324049</c:v>
                </c:pt>
                <c:pt idx="662">
                  <c:v>2.1226622441917256</c:v>
                </c:pt>
                <c:pt idx="663">
                  <c:v>2.1226281420041682</c:v>
                </c:pt>
                <c:pt idx="664">
                  <c:v>2.1225940400697274</c:v>
                </c:pt>
                <c:pt idx="665">
                  <c:v>2.1225599383884104</c:v>
                </c:pt>
                <c:pt idx="666">
                  <c:v>2.1225258369602091</c:v>
                </c:pt>
                <c:pt idx="667">
                  <c:v>2.1224917357851405</c:v>
                </c:pt>
                <c:pt idx="668">
                  <c:v>2.1224576348631841</c:v>
                </c:pt>
                <c:pt idx="669">
                  <c:v>2.1224235341943469</c:v>
                </c:pt>
                <c:pt idx="670">
                  <c:v>2.1223894337786415</c:v>
                </c:pt>
                <c:pt idx="671">
                  <c:v>2.1223553336160546</c:v>
                </c:pt>
                <c:pt idx="672">
                  <c:v>2.122321233706594</c:v>
                </c:pt>
                <c:pt idx="673">
                  <c:v>2.1222871340502527</c:v>
                </c:pt>
                <c:pt idx="674">
                  <c:v>2.1222530346470352</c:v>
                </c:pt>
                <c:pt idx="675">
                  <c:v>2.1222189354969494</c:v>
                </c:pt>
                <c:pt idx="676">
                  <c:v>2.1221848365999829</c:v>
                </c:pt>
                <c:pt idx="677">
                  <c:v>2.1221507379561464</c:v>
                </c:pt>
                <c:pt idx="678">
                  <c:v>2.1221166395654389</c:v>
                </c:pt>
                <c:pt idx="679">
                  <c:v>2.1220825414278544</c:v>
                </c:pt>
                <c:pt idx="680">
                  <c:v>2.1220484435433944</c:v>
                </c:pt>
                <c:pt idx="681">
                  <c:v>2.1220143459120688</c:v>
                </c:pt>
                <c:pt idx="682">
                  <c:v>2.1219802485338688</c:v>
                </c:pt>
                <c:pt idx="683">
                  <c:v>2.1219461514087996</c:v>
                </c:pt>
                <c:pt idx="684">
                  <c:v>2.1219120545368648</c:v>
                </c:pt>
                <c:pt idx="685">
                  <c:v>2.121877957918052</c:v>
                </c:pt>
                <c:pt idx="686">
                  <c:v>2.12184386155237</c:v>
                </c:pt>
                <c:pt idx="687">
                  <c:v>2.1218097654398225</c:v>
                </c:pt>
                <c:pt idx="688">
                  <c:v>2.1217756695804013</c:v>
                </c:pt>
                <c:pt idx="689">
                  <c:v>2.1217415739741137</c:v>
                </c:pt>
                <c:pt idx="690">
                  <c:v>2.1217074786209622</c:v>
                </c:pt>
                <c:pt idx="691">
                  <c:v>2.1216733835209407</c:v>
                </c:pt>
                <c:pt idx="692">
                  <c:v>2.1216392886740545</c:v>
                </c:pt>
                <c:pt idx="693">
                  <c:v>2.1216051940803027</c:v>
                </c:pt>
                <c:pt idx="694">
                  <c:v>2.1215710997396853</c:v>
                </c:pt>
                <c:pt idx="695">
                  <c:v>2.1215370056522014</c:v>
                </c:pt>
                <c:pt idx="696">
                  <c:v>2.1215029118178501</c:v>
                </c:pt>
                <c:pt idx="697">
                  <c:v>2.1214688182366404</c:v>
                </c:pt>
                <c:pt idx="698">
                  <c:v>2.121434724908565</c:v>
                </c:pt>
                <c:pt idx="699">
                  <c:v>2.1214006318336276</c:v>
                </c:pt>
                <c:pt idx="700">
                  <c:v>2.1213665390118255</c:v>
                </c:pt>
                <c:pt idx="701">
                  <c:v>2.1213324464431578</c:v>
                </c:pt>
                <c:pt idx="702">
                  <c:v>2.1212983541276316</c:v>
                </c:pt>
                <c:pt idx="703">
                  <c:v>2.1212642620652469</c:v>
                </c:pt>
                <c:pt idx="704">
                  <c:v>2.1212301702559992</c:v>
                </c:pt>
                <c:pt idx="705">
                  <c:v>2.1211960786998922</c:v>
                </c:pt>
                <c:pt idx="706">
                  <c:v>2.121161987396925</c:v>
                </c:pt>
                <c:pt idx="707">
                  <c:v>2.1211278963470974</c:v>
                </c:pt>
                <c:pt idx="708">
                  <c:v>2.1210938055504123</c:v>
                </c:pt>
                <c:pt idx="709">
                  <c:v>2.1210597150068704</c:v>
                </c:pt>
                <c:pt idx="710">
                  <c:v>2.1210256247164674</c:v>
                </c:pt>
                <c:pt idx="711">
                  <c:v>2.1209915346792059</c:v>
                </c:pt>
                <c:pt idx="712">
                  <c:v>2.1209574448950894</c:v>
                </c:pt>
                <c:pt idx="713">
                  <c:v>2.1209233553641198</c:v>
                </c:pt>
                <c:pt idx="714">
                  <c:v>2.1208892660862952</c:v>
                </c:pt>
                <c:pt idx="715">
                  <c:v>2.1208551770616095</c:v>
                </c:pt>
                <c:pt idx="716">
                  <c:v>2.1208210882900698</c:v>
                </c:pt>
                <c:pt idx="717">
                  <c:v>2.1207869997716751</c:v>
                </c:pt>
                <c:pt idx="718">
                  <c:v>2.1207529115064281</c:v>
                </c:pt>
                <c:pt idx="719">
                  <c:v>2.1207188234943288</c:v>
                </c:pt>
                <c:pt idx="720">
                  <c:v>2.1206847357353675</c:v>
                </c:pt>
                <c:pt idx="721">
                  <c:v>2.1206506482295682</c:v>
                </c:pt>
                <c:pt idx="722">
                  <c:v>2.1206165609769059</c:v>
                </c:pt>
                <c:pt idx="723">
                  <c:v>2.120582473977394</c:v>
                </c:pt>
                <c:pt idx="724">
                  <c:v>2.1205483872310387</c:v>
                </c:pt>
                <c:pt idx="725">
                  <c:v>2.1205143007378267</c:v>
                </c:pt>
                <c:pt idx="726">
                  <c:v>2.1204802144977686</c:v>
                </c:pt>
                <c:pt idx="727">
                  <c:v>2.1204461285108529</c:v>
                </c:pt>
                <c:pt idx="728">
                  <c:v>2.1204120427770921</c:v>
                </c:pt>
                <c:pt idx="729">
                  <c:v>2.1203779572964825</c:v>
                </c:pt>
                <c:pt idx="730">
                  <c:v>2.1203438720690277</c:v>
                </c:pt>
                <c:pt idx="731">
                  <c:v>2.1203097870947207</c:v>
                </c:pt>
                <c:pt idx="732">
                  <c:v>2.1202757023735703</c:v>
                </c:pt>
                <c:pt idx="733">
                  <c:v>2.1202416179055712</c:v>
                </c:pt>
                <c:pt idx="734">
                  <c:v>2.1202075336907313</c:v>
                </c:pt>
                <c:pt idx="735">
                  <c:v>2.1201734497290365</c:v>
                </c:pt>
                <c:pt idx="736">
                  <c:v>2.1201393660204992</c:v>
                </c:pt>
                <c:pt idx="737">
                  <c:v>2.1201052825651212</c:v>
                </c:pt>
                <c:pt idx="738">
                  <c:v>2.1200711993628971</c:v>
                </c:pt>
                <c:pt idx="739">
                  <c:v>2.1200371164138287</c:v>
                </c:pt>
                <c:pt idx="740">
                  <c:v>2.1200030337179134</c:v>
                </c:pt>
                <c:pt idx="741">
                  <c:v>2.1199689512751636</c:v>
                </c:pt>
                <c:pt idx="742">
                  <c:v>2.1199348690855642</c:v>
                </c:pt>
                <c:pt idx="743">
                  <c:v>2.1199007871491293</c:v>
                </c:pt>
                <c:pt idx="744">
                  <c:v>2.1198667054658467</c:v>
                </c:pt>
                <c:pt idx="745">
                  <c:v>2.119832624035725</c:v>
                </c:pt>
                <c:pt idx="746">
                  <c:v>2.1197985428587609</c:v>
                </c:pt>
                <c:pt idx="747">
                  <c:v>2.1197644619349658</c:v>
                </c:pt>
                <c:pt idx="748">
                  <c:v>2.1197303812643211</c:v>
                </c:pt>
                <c:pt idx="749">
                  <c:v>2.1196963008468472</c:v>
                </c:pt>
                <c:pt idx="750">
                  <c:v>2.1196622206825273</c:v>
                </c:pt>
                <c:pt idx="751">
                  <c:v>2.119628140771372</c:v>
                </c:pt>
                <c:pt idx="752">
                  <c:v>2.1195940611133794</c:v>
                </c:pt>
                <c:pt idx="753">
                  <c:v>2.1195599817085444</c:v>
                </c:pt>
                <c:pt idx="754">
                  <c:v>2.1195259025568829</c:v>
                </c:pt>
                <c:pt idx="755">
                  <c:v>2.1194918236583806</c:v>
                </c:pt>
                <c:pt idx="756">
                  <c:v>2.119457745013043</c:v>
                </c:pt>
                <c:pt idx="757">
                  <c:v>2.1194236666208708</c:v>
                </c:pt>
                <c:pt idx="758">
                  <c:v>2.1193895884818632</c:v>
                </c:pt>
                <c:pt idx="759">
                  <c:v>2.1193555105960167</c:v>
                </c:pt>
                <c:pt idx="760">
                  <c:v>2.1193214329633419</c:v>
                </c:pt>
                <c:pt idx="761">
                  <c:v>2.1192873555838334</c:v>
                </c:pt>
                <c:pt idx="762">
                  <c:v>2.1192532784574887</c:v>
                </c:pt>
                <c:pt idx="763">
                  <c:v>2.1192192015843156</c:v>
                </c:pt>
                <c:pt idx="764">
                  <c:v>2.1191851249643134</c:v>
                </c:pt>
                <c:pt idx="765">
                  <c:v>2.1191510485974732</c:v>
                </c:pt>
                <c:pt idx="766">
                  <c:v>2.1191169724838081</c:v>
                </c:pt>
                <c:pt idx="767">
                  <c:v>2.1190828966233104</c:v>
                </c:pt>
                <c:pt idx="768">
                  <c:v>2.1190488210159835</c:v>
                </c:pt>
                <c:pt idx="769">
                  <c:v>2.1190147456618282</c:v>
                </c:pt>
                <c:pt idx="770">
                  <c:v>2.1189806705608394</c:v>
                </c:pt>
                <c:pt idx="771">
                  <c:v>2.1189465957130293</c:v>
                </c:pt>
                <c:pt idx="772">
                  <c:v>2.1189125211183892</c:v>
                </c:pt>
                <c:pt idx="773">
                  <c:v>2.1188784467769208</c:v>
                </c:pt>
                <c:pt idx="774">
                  <c:v>2.1188443726886241</c:v>
                </c:pt>
                <c:pt idx="775">
                  <c:v>2.1188102988535009</c:v>
                </c:pt>
                <c:pt idx="776">
                  <c:v>2.118776225271553</c:v>
                </c:pt>
                <c:pt idx="777">
                  <c:v>2.1187421519427785</c:v>
                </c:pt>
                <c:pt idx="778">
                  <c:v>2.118708078867181</c:v>
                </c:pt>
                <c:pt idx="779">
                  <c:v>2.1186740060447562</c:v>
                </c:pt>
                <c:pt idx="780">
                  <c:v>2.1186399334755128</c:v>
                </c:pt>
                <c:pt idx="781">
                  <c:v>2.1186058611594385</c:v>
                </c:pt>
                <c:pt idx="782">
                  <c:v>2.1185717890965501</c:v>
                </c:pt>
                <c:pt idx="783">
                  <c:v>2.1185377172868307</c:v>
                </c:pt>
                <c:pt idx="784">
                  <c:v>2.1185036457302946</c:v>
                </c:pt>
                <c:pt idx="785">
                  <c:v>2.1184695744269328</c:v>
                </c:pt>
                <c:pt idx="786">
                  <c:v>2.1184355033767526</c:v>
                </c:pt>
                <c:pt idx="787">
                  <c:v>2.1184014325797493</c:v>
                </c:pt>
                <c:pt idx="788">
                  <c:v>2.1183673620359231</c:v>
                </c:pt>
                <c:pt idx="789">
                  <c:v>2.1183332917452811</c:v>
                </c:pt>
                <c:pt idx="790">
                  <c:v>2.1182992217078223</c:v>
                </c:pt>
                <c:pt idx="791">
                  <c:v>2.118265151923544</c:v>
                </c:pt>
                <c:pt idx="792">
                  <c:v>2.1182310823924455</c:v>
                </c:pt>
                <c:pt idx="793">
                  <c:v>2.1181970131145356</c:v>
                </c:pt>
                <c:pt idx="794">
                  <c:v>2.1181629440897991</c:v>
                </c:pt>
                <c:pt idx="795">
                  <c:v>2.1181288753182477</c:v>
                </c:pt>
                <c:pt idx="796">
                  <c:v>2.1180948067998839</c:v>
                </c:pt>
                <c:pt idx="797">
                  <c:v>2.1180607385347061</c:v>
                </c:pt>
                <c:pt idx="798">
                  <c:v>2.1180266705227035</c:v>
                </c:pt>
                <c:pt idx="799">
                  <c:v>2.1179926027638887</c:v>
                </c:pt>
                <c:pt idx="800">
                  <c:v>2.1179585352582704</c:v>
                </c:pt>
                <c:pt idx="801">
                  <c:v>2.1179244680058291</c:v>
                </c:pt>
                <c:pt idx="802">
                  <c:v>2.1178904010065782</c:v>
                </c:pt>
                <c:pt idx="803">
                  <c:v>2.117856334260515</c:v>
                </c:pt>
                <c:pt idx="804">
                  <c:v>2.1178222677676386</c:v>
                </c:pt>
                <c:pt idx="805">
                  <c:v>2.1177882015279472</c:v>
                </c:pt>
                <c:pt idx="806">
                  <c:v>2.1177541355414462</c:v>
                </c:pt>
                <c:pt idx="807">
                  <c:v>2.117720069808132</c:v>
                </c:pt>
                <c:pt idx="808">
                  <c:v>2.1176860043280072</c:v>
                </c:pt>
                <c:pt idx="809">
                  <c:v>2.1176519391010746</c:v>
                </c:pt>
                <c:pt idx="810">
                  <c:v>2.117617874127327</c:v>
                </c:pt>
                <c:pt idx="811">
                  <c:v>2.1175838094067787</c:v>
                </c:pt>
                <c:pt idx="812">
                  <c:v>2.1175497449394145</c:v>
                </c:pt>
                <c:pt idx="813">
                  <c:v>2.1175156807252495</c:v>
                </c:pt>
                <c:pt idx="814">
                  <c:v>2.1174816167642696</c:v>
                </c:pt>
                <c:pt idx="815">
                  <c:v>2.1174475530564854</c:v>
                </c:pt>
                <c:pt idx="816">
                  <c:v>2.1174134896018986</c:v>
                </c:pt>
                <c:pt idx="817">
                  <c:v>2.1173794264004968</c:v>
                </c:pt>
                <c:pt idx="818">
                  <c:v>2.1173453634522961</c:v>
                </c:pt>
                <c:pt idx="819">
                  <c:v>2.117311300757291</c:v>
                </c:pt>
                <c:pt idx="820">
                  <c:v>2.1172772383154763</c:v>
                </c:pt>
                <c:pt idx="821">
                  <c:v>2.1172431761268573</c:v>
                </c:pt>
                <c:pt idx="822">
                  <c:v>2.1172091141914384</c:v>
                </c:pt>
                <c:pt idx="823">
                  <c:v>2.1171750525092117</c:v>
                </c:pt>
                <c:pt idx="824">
                  <c:v>2.1171409910801851</c:v>
                </c:pt>
                <c:pt idx="825">
                  <c:v>2.117106929904355</c:v>
                </c:pt>
                <c:pt idx="826">
                  <c:v>2.117072868981726</c:v>
                </c:pt>
                <c:pt idx="827">
                  <c:v>2.11703880831229</c:v>
                </c:pt>
                <c:pt idx="828">
                  <c:v>2.1170047478960585</c:v>
                </c:pt>
                <c:pt idx="829">
                  <c:v>2.1169706877330263</c:v>
                </c:pt>
                <c:pt idx="830">
                  <c:v>2.1169366278231925</c:v>
                </c:pt>
                <c:pt idx="831">
                  <c:v>2.1169025681665552</c:v>
                </c:pt>
                <c:pt idx="832">
                  <c:v>2.1168685087631243</c:v>
                </c:pt>
                <c:pt idx="833">
                  <c:v>2.1168344496128944</c:v>
                </c:pt>
                <c:pt idx="834">
                  <c:v>2.1168003907158655</c:v>
                </c:pt>
                <c:pt idx="835">
                  <c:v>2.1167663320720376</c:v>
                </c:pt>
                <c:pt idx="836">
                  <c:v>2.1167322736814151</c:v>
                </c:pt>
                <c:pt idx="837">
                  <c:v>2.1166982155439973</c:v>
                </c:pt>
                <c:pt idx="838">
                  <c:v>2.1166641576597778</c:v>
                </c:pt>
                <c:pt idx="839">
                  <c:v>2.1166301000287691</c:v>
                </c:pt>
                <c:pt idx="840">
                  <c:v>2.1165960426509596</c:v>
                </c:pt>
                <c:pt idx="841">
                  <c:v>2.1165619855263573</c:v>
                </c:pt>
                <c:pt idx="842">
                  <c:v>2.1165279286549579</c:v>
                </c:pt>
                <c:pt idx="843">
                  <c:v>2.1164938720367621</c:v>
                </c:pt>
                <c:pt idx="844">
                  <c:v>2.1164598156717807</c:v>
                </c:pt>
                <c:pt idx="845">
                  <c:v>2.1164257595600073</c:v>
                </c:pt>
                <c:pt idx="846">
                  <c:v>2.1163917037014413</c:v>
                </c:pt>
                <c:pt idx="847">
                  <c:v>2.1163576480960771</c:v>
                </c:pt>
                <c:pt idx="848">
                  <c:v>2.1163235927439228</c:v>
                </c:pt>
                <c:pt idx="849">
                  <c:v>2.116289537644982</c:v>
                </c:pt>
                <c:pt idx="850">
                  <c:v>2.116255482799251</c:v>
                </c:pt>
                <c:pt idx="851">
                  <c:v>2.1162214282067264</c:v>
                </c:pt>
                <c:pt idx="852">
                  <c:v>2.1161873738674117</c:v>
                </c:pt>
                <c:pt idx="853">
                  <c:v>2.1161533197813123</c:v>
                </c:pt>
                <c:pt idx="854">
                  <c:v>2.1161192659484209</c:v>
                </c:pt>
                <c:pt idx="855">
                  <c:v>2.1160852123687457</c:v>
                </c:pt>
                <c:pt idx="856">
                  <c:v>2.1160511590422795</c:v>
                </c:pt>
                <c:pt idx="857">
                  <c:v>2.1160171059690249</c:v>
                </c:pt>
                <c:pt idx="858">
                  <c:v>2.1159830531489892</c:v>
                </c:pt>
                <c:pt idx="859">
                  <c:v>2.1159490005821588</c:v>
                </c:pt>
                <c:pt idx="860">
                  <c:v>2.1159149482685482</c:v>
                </c:pt>
                <c:pt idx="861">
                  <c:v>2.1158808962081537</c:v>
                </c:pt>
                <c:pt idx="862">
                  <c:v>2.1158468444009699</c:v>
                </c:pt>
                <c:pt idx="863">
                  <c:v>2.1158127928470023</c:v>
                </c:pt>
                <c:pt idx="864">
                  <c:v>2.1157787415462543</c:v>
                </c:pt>
                <c:pt idx="865">
                  <c:v>2.1157446904987252</c:v>
                </c:pt>
                <c:pt idx="866">
                  <c:v>2.1157106397044014</c:v>
                </c:pt>
                <c:pt idx="867">
                  <c:v>2.1156765891633063</c:v>
                </c:pt>
                <c:pt idx="868">
                  <c:v>2.1156425388754228</c:v>
                </c:pt>
                <c:pt idx="869">
                  <c:v>2.1156084888407616</c:v>
                </c:pt>
                <c:pt idx="870">
                  <c:v>2.1155744390593236</c:v>
                </c:pt>
                <c:pt idx="871">
                  <c:v>2.1155403895310982</c:v>
                </c:pt>
                <c:pt idx="872">
                  <c:v>2.1155063402560934</c:v>
                </c:pt>
                <c:pt idx="873">
                  <c:v>2.1154722912343136</c:v>
                </c:pt>
                <c:pt idx="874">
                  <c:v>2.1154382424657516</c:v>
                </c:pt>
                <c:pt idx="875">
                  <c:v>2.1154041939504156</c:v>
                </c:pt>
                <c:pt idx="876">
                  <c:v>2.1153701456882974</c:v>
                </c:pt>
                <c:pt idx="877">
                  <c:v>2.1153360976794042</c:v>
                </c:pt>
                <c:pt idx="878">
                  <c:v>2.1153020499237289</c:v>
                </c:pt>
                <c:pt idx="879">
                  <c:v>2.1152680024212822</c:v>
                </c:pt>
                <c:pt idx="880">
                  <c:v>2.1152339551720551</c:v>
                </c:pt>
                <c:pt idx="881">
                  <c:v>2.1151999081760549</c:v>
                </c:pt>
                <c:pt idx="882">
                  <c:v>2.1151658614332822</c:v>
                </c:pt>
                <c:pt idx="883">
                  <c:v>2.1151318149437293</c:v>
                </c:pt>
                <c:pt idx="884">
                  <c:v>2.1150977687074075</c:v>
                </c:pt>
                <c:pt idx="885">
                  <c:v>2.1150637227243063</c:v>
                </c:pt>
                <c:pt idx="886">
                  <c:v>2.1150296769944328</c:v>
                </c:pt>
                <c:pt idx="887">
                  <c:v>2.1149956315177887</c:v>
                </c:pt>
                <c:pt idx="888">
                  <c:v>2.1149615862943714</c:v>
                </c:pt>
                <c:pt idx="889">
                  <c:v>2.1149275413241755</c:v>
                </c:pt>
                <c:pt idx="890">
                  <c:v>2.1148934966072233</c:v>
                </c:pt>
                <c:pt idx="891">
                  <c:v>2.114859452143488</c:v>
                </c:pt>
                <c:pt idx="892">
                  <c:v>2.1148254079329876</c:v>
                </c:pt>
                <c:pt idx="893">
                  <c:v>2.1147913639757121</c:v>
                </c:pt>
                <c:pt idx="894">
                  <c:v>2.1147573202716696</c:v>
                </c:pt>
                <c:pt idx="895">
                  <c:v>2.1147232768208655</c:v>
                </c:pt>
                <c:pt idx="896">
                  <c:v>2.1146892336232872</c:v>
                </c:pt>
                <c:pt idx="897">
                  <c:v>2.1146551906789401</c:v>
                </c:pt>
                <c:pt idx="898">
                  <c:v>2.1146211479878225</c:v>
                </c:pt>
                <c:pt idx="899">
                  <c:v>2.1145871055499441</c:v>
                </c:pt>
                <c:pt idx="900">
                  <c:v>2.1145530633652934</c:v>
                </c:pt>
                <c:pt idx="901">
                  <c:v>2.1145190214338827</c:v>
                </c:pt>
                <c:pt idx="902">
                  <c:v>2.1144849797557077</c:v>
                </c:pt>
                <c:pt idx="903">
                  <c:v>2.1144509383307613</c:v>
                </c:pt>
                <c:pt idx="904">
                  <c:v>2.1144168971590558</c:v>
                </c:pt>
                <c:pt idx="905">
                  <c:v>2.1143828562405798</c:v>
                </c:pt>
                <c:pt idx="906">
                  <c:v>2.1143488155753385</c:v>
                </c:pt>
                <c:pt idx="907">
                  <c:v>2.1143147751633364</c:v>
                </c:pt>
                <c:pt idx="908">
                  <c:v>2.1142807350045718</c:v>
                </c:pt>
                <c:pt idx="909">
                  <c:v>2.1142466950990491</c:v>
                </c:pt>
                <c:pt idx="910">
                  <c:v>2.1142126554467628</c:v>
                </c:pt>
                <c:pt idx="911">
                  <c:v>2.1141786160477096</c:v>
                </c:pt>
                <c:pt idx="912">
                  <c:v>2.1141445769019045</c:v>
                </c:pt>
                <c:pt idx="913">
                  <c:v>2.1141105380093315</c:v>
                </c:pt>
                <c:pt idx="914">
                  <c:v>2.1140764993699985</c:v>
                </c:pt>
                <c:pt idx="915">
                  <c:v>2.1140424609839092</c:v>
                </c:pt>
                <c:pt idx="916">
                  <c:v>2.1140084228510618</c:v>
                </c:pt>
                <c:pt idx="917">
                  <c:v>2.1139743849714536</c:v>
                </c:pt>
                <c:pt idx="918">
                  <c:v>2.1139403473450882</c:v>
                </c:pt>
                <c:pt idx="919">
                  <c:v>2.1139063099719628</c:v>
                </c:pt>
                <c:pt idx="920">
                  <c:v>2.113872272852082</c:v>
                </c:pt>
                <c:pt idx="921">
                  <c:v>2.1138382359854484</c:v>
                </c:pt>
                <c:pt idx="922">
                  <c:v>2.1138041993720513</c:v>
                </c:pt>
                <c:pt idx="923">
                  <c:v>2.1137701630118979</c:v>
                </c:pt>
                <c:pt idx="924">
                  <c:v>2.1137361269049988</c:v>
                </c:pt>
                <c:pt idx="925">
                  <c:v>2.1137020910513398</c:v>
                </c:pt>
                <c:pt idx="926">
                  <c:v>2.1136680554509253</c:v>
                </c:pt>
                <c:pt idx="927">
                  <c:v>2.113634020103758</c:v>
                </c:pt>
                <c:pt idx="928">
                  <c:v>2.1135999850098361</c:v>
                </c:pt>
                <c:pt idx="929">
                  <c:v>2.1135659501691633</c:v>
                </c:pt>
                <c:pt idx="930">
                  <c:v>2.1135319155817331</c:v>
                </c:pt>
                <c:pt idx="931">
                  <c:v>2.1134978812475538</c:v>
                </c:pt>
                <c:pt idx="932">
                  <c:v>2.1134638471666261</c:v>
                </c:pt>
                <c:pt idx="933">
                  <c:v>2.1134298133389446</c:v>
                </c:pt>
                <c:pt idx="934">
                  <c:v>2.1133957797645158</c:v>
                </c:pt>
                <c:pt idx="935">
                  <c:v>2.1133617464433287</c:v>
                </c:pt>
                <c:pt idx="936">
                  <c:v>2.1133277133753969</c:v>
                </c:pt>
                <c:pt idx="937">
                  <c:v>2.1132936805607176</c:v>
                </c:pt>
                <c:pt idx="938">
                  <c:v>2.1132596479992936</c:v>
                </c:pt>
                <c:pt idx="939">
                  <c:v>2.1132256156911096</c:v>
                </c:pt>
                <c:pt idx="940">
                  <c:v>2.113191583636187</c:v>
                </c:pt>
                <c:pt idx="941">
                  <c:v>2.1131575518345151</c:v>
                </c:pt>
                <c:pt idx="942">
                  <c:v>2.1131235202860958</c:v>
                </c:pt>
                <c:pt idx="943">
                  <c:v>2.1130894889909309</c:v>
                </c:pt>
                <c:pt idx="944">
                  <c:v>2.1130554579490219</c:v>
                </c:pt>
                <c:pt idx="945">
                  <c:v>2.11302142716037</c:v>
                </c:pt>
                <c:pt idx="946">
                  <c:v>2.1129873966249688</c:v>
                </c:pt>
                <c:pt idx="947">
                  <c:v>2.1129533663428237</c:v>
                </c:pt>
                <c:pt idx="948">
                  <c:v>2.1129193363139294</c:v>
                </c:pt>
                <c:pt idx="949">
                  <c:v>2.1128853065382982</c:v>
                </c:pt>
                <c:pt idx="950">
                  <c:v>2.1128512770159267</c:v>
                </c:pt>
                <c:pt idx="951">
                  <c:v>2.1128172477468041</c:v>
                </c:pt>
                <c:pt idx="952">
                  <c:v>2.112783218730951</c:v>
                </c:pt>
                <c:pt idx="953">
                  <c:v>2.1127491899683521</c:v>
                </c:pt>
                <c:pt idx="954">
                  <c:v>2.1127151614590058</c:v>
                </c:pt>
                <c:pt idx="955">
                  <c:v>2.1126811332029236</c:v>
                </c:pt>
                <c:pt idx="956">
                  <c:v>2.1126471052000984</c:v>
                </c:pt>
                <c:pt idx="957">
                  <c:v>2.1126130774505345</c:v>
                </c:pt>
                <c:pt idx="958">
                  <c:v>2.1125790499542312</c:v>
                </c:pt>
                <c:pt idx="959">
                  <c:v>2.1125450227111919</c:v>
                </c:pt>
                <c:pt idx="960">
                  <c:v>2.1125109957214088</c:v>
                </c:pt>
                <c:pt idx="961">
                  <c:v>2.112476968984895</c:v>
                </c:pt>
                <c:pt idx="962">
                  <c:v>2.1124429425016391</c:v>
                </c:pt>
                <c:pt idx="963">
                  <c:v>2.1124089162716482</c:v>
                </c:pt>
                <c:pt idx="964">
                  <c:v>2.1123748902949195</c:v>
                </c:pt>
                <c:pt idx="965">
                  <c:v>2.1123408645714559</c:v>
                </c:pt>
                <c:pt idx="966">
                  <c:v>2.1123068391012545</c:v>
                </c:pt>
                <c:pt idx="967">
                  <c:v>2.112272813884319</c:v>
                </c:pt>
                <c:pt idx="968">
                  <c:v>2.1122387889206475</c:v>
                </c:pt>
                <c:pt idx="969">
                  <c:v>2.1122047642102446</c:v>
                </c:pt>
                <c:pt idx="970">
                  <c:v>2.1121707397531084</c:v>
                </c:pt>
                <c:pt idx="971">
                  <c:v>2.1121367155492363</c:v>
                </c:pt>
                <c:pt idx="972">
                  <c:v>2.1121026915986372</c:v>
                </c:pt>
                <c:pt idx="973">
                  <c:v>2.1120686679013021</c:v>
                </c:pt>
                <c:pt idx="974">
                  <c:v>2.11203464445724</c:v>
                </c:pt>
                <c:pt idx="975">
                  <c:v>2.1120006212664419</c:v>
                </c:pt>
                <c:pt idx="976">
                  <c:v>2.1119665983289151</c:v>
                </c:pt>
                <c:pt idx="977">
                  <c:v>2.1119325756446541</c:v>
                </c:pt>
                <c:pt idx="978">
                  <c:v>2.1118985532136643</c:v>
                </c:pt>
                <c:pt idx="979">
                  <c:v>2.1118645310359527</c:v>
                </c:pt>
                <c:pt idx="980">
                  <c:v>2.1118305091115053</c:v>
                </c:pt>
                <c:pt idx="981">
                  <c:v>2.1117964874403299</c:v>
                </c:pt>
                <c:pt idx="982">
                  <c:v>2.1117624660224283</c:v>
                </c:pt>
                <c:pt idx="983">
                  <c:v>2.1117284448577989</c:v>
                </c:pt>
                <c:pt idx="984">
                  <c:v>2.1116944239464459</c:v>
                </c:pt>
                <c:pt idx="985">
                  <c:v>2.111660403288365</c:v>
                </c:pt>
                <c:pt idx="986">
                  <c:v>2.1116263828835571</c:v>
                </c:pt>
                <c:pt idx="987">
                  <c:v>2.1115923627320194</c:v>
                </c:pt>
                <c:pt idx="988">
                  <c:v>2.1115583428337592</c:v>
                </c:pt>
                <c:pt idx="989">
                  <c:v>2.1115243231887719</c:v>
                </c:pt>
                <c:pt idx="990">
                  <c:v>2.1114903037970683</c:v>
                </c:pt>
                <c:pt idx="991">
                  <c:v>2.111456284658634</c:v>
                </c:pt>
                <c:pt idx="992">
                  <c:v>2.1114222657734789</c:v>
                </c:pt>
                <c:pt idx="993">
                  <c:v>2.1113882471416012</c:v>
                </c:pt>
                <c:pt idx="994">
                  <c:v>2.1113542287630009</c:v>
                </c:pt>
                <c:pt idx="995">
                  <c:v>2.1113202106376781</c:v>
                </c:pt>
                <c:pt idx="996">
                  <c:v>2.1112861927656335</c:v>
                </c:pt>
                <c:pt idx="997">
                  <c:v>2.1112521751468707</c:v>
                </c:pt>
                <c:pt idx="998">
                  <c:v>2.1112181577813836</c:v>
                </c:pt>
                <c:pt idx="999">
                  <c:v>2.1111841406691791</c:v>
                </c:pt>
                <c:pt idx="1000">
                  <c:v>2.1111501238102566</c:v>
                </c:pt>
              </c:numCache>
            </c:numRef>
          </c:yVal>
          <c:smooth val="0"/>
          <c:extLst>
            <c:ext xmlns:c16="http://schemas.microsoft.com/office/drawing/2014/chart" uri="{C3380CC4-5D6E-409C-BE32-E72D297353CC}">
              <c16:uniqueId val="{00000000-BDD6-4E9B-9AFA-2396233049A9}"/>
            </c:ext>
          </c:extLst>
        </c:ser>
        <c:ser>
          <c:idx val="1"/>
          <c:order val="1"/>
          <c:tx>
            <c:strRef>
              <c:f>Courbes!$B$138</c:f>
              <c:strCache>
                <c:ptCount val="1"/>
                <c:pt idx="0">
                  <c:v>Charge vue par un capteur</c:v>
                </c:pt>
              </c:strCache>
            </c:strRef>
          </c:tx>
          <c:spPr>
            <a:ln w="25400">
              <a:solidFill>
                <a:srgbClr val="008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2.1000000000000014</c:v>
                </c:pt>
                <c:pt idx="202">
                  <c:v>2.2000000000000015</c:v>
                </c:pt>
                <c:pt idx="203">
                  <c:v>2.3000000000000016</c:v>
                </c:pt>
                <c:pt idx="204">
                  <c:v>2.4000000000000017</c:v>
                </c:pt>
                <c:pt idx="205">
                  <c:v>2.5000000000000018</c:v>
                </c:pt>
                <c:pt idx="206">
                  <c:v>2.6000000000000019</c:v>
                </c:pt>
                <c:pt idx="207">
                  <c:v>2.700000000000002</c:v>
                </c:pt>
                <c:pt idx="208">
                  <c:v>2.800000000000002</c:v>
                </c:pt>
                <c:pt idx="209">
                  <c:v>2.9000000000000021</c:v>
                </c:pt>
                <c:pt idx="210">
                  <c:v>3.0000000000000022</c:v>
                </c:pt>
                <c:pt idx="211">
                  <c:v>3.1000000000000023</c:v>
                </c:pt>
                <c:pt idx="212">
                  <c:v>3.2000000000000024</c:v>
                </c:pt>
                <c:pt idx="213">
                  <c:v>3.3000000000000025</c:v>
                </c:pt>
                <c:pt idx="214">
                  <c:v>3.4000000000000026</c:v>
                </c:pt>
                <c:pt idx="215">
                  <c:v>3.5000000000000027</c:v>
                </c:pt>
                <c:pt idx="216">
                  <c:v>3.6000000000000028</c:v>
                </c:pt>
                <c:pt idx="217">
                  <c:v>3.7000000000000028</c:v>
                </c:pt>
                <c:pt idx="218">
                  <c:v>3.8000000000000029</c:v>
                </c:pt>
                <c:pt idx="219">
                  <c:v>3.900000000000003</c:v>
                </c:pt>
                <c:pt idx="220">
                  <c:v>4.0000000000000027</c:v>
                </c:pt>
                <c:pt idx="221">
                  <c:v>4.1000000000000023</c:v>
                </c:pt>
                <c:pt idx="222">
                  <c:v>4.200000000000002</c:v>
                </c:pt>
                <c:pt idx="223">
                  <c:v>4.3000000000000016</c:v>
                </c:pt>
                <c:pt idx="224">
                  <c:v>4.4000000000000012</c:v>
                </c:pt>
                <c:pt idx="225">
                  <c:v>4.5000000000000009</c:v>
                </c:pt>
                <c:pt idx="226">
                  <c:v>4.6000000000000005</c:v>
                </c:pt>
                <c:pt idx="227">
                  <c:v>4.7</c:v>
                </c:pt>
                <c:pt idx="228">
                  <c:v>4.8</c:v>
                </c:pt>
                <c:pt idx="229">
                  <c:v>4.8999999999999995</c:v>
                </c:pt>
                <c:pt idx="230">
                  <c:v>4.9999999999999991</c:v>
                </c:pt>
                <c:pt idx="231">
                  <c:v>5.0999999999999988</c:v>
                </c:pt>
                <c:pt idx="232">
                  <c:v>5.1999999999999984</c:v>
                </c:pt>
                <c:pt idx="233">
                  <c:v>5.299999999999998</c:v>
                </c:pt>
                <c:pt idx="234">
                  <c:v>5.3999999999999977</c:v>
                </c:pt>
                <c:pt idx="235">
                  <c:v>5.4999999999999973</c:v>
                </c:pt>
                <c:pt idx="236">
                  <c:v>5.599999999999997</c:v>
                </c:pt>
                <c:pt idx="237">
                  <c:v>5.6999999999999966</c:v>
                </c:pt>
                <c:pt idx="238">
                  <c:v>5.7999999999999963</c:v>
                </c:pt>
                <c:pt idx="239">
                  <c:v>5.8999999999999959</c:v>
                </c:pt>
                <c:pt idx="240">
                  <c:v>5.9999999999999956</c:v>
                </c:pt>
                <c:pt idx="241">
                  <c:v>6.0999999999999952</c:v>
                </c:pt>
                <c:pt idx="242">
                  <c:v>6.1999999999999948</c:v>
                </c:pt>
                <c:pt idx="243">
                  <c:v>6.2999999999999945</c:v>
                </c:pt>
                <c:pt idx="244">
                  <c:v>6.3999999999999941</c:v>
                </c:pt>
                <c:pt idx="245">
                  <c:v>6.4999999999999938</c:v>
                </c:pt>
                <c:pt idx="246">
                  <c:v>6.5999999999999934</c:v>
                </c:pt>
                <c:pt idx="247">
                  <c:v>6.6999999999999931</c:v>
                </c:pt>
                <c:pt idx="248">
                  <c:v>6.7999999999999927</c:v>
                </c:pt>
                <c:pt idx="249">
                  <c:v>6.8999999999999924</c:v>
                </c:pt>
                <c:pt idx="250">
                  <c:v>6.999999999999992</c:v>
                </c:pt>
                <c:pt idx="251">
                  <c:v>7.0999999999999917</c:v>
                </c:pt>
                <c:pt idx="252">
                  <c:v>7.1999999999999913</c:v>
                </c:pt>
                <c:pt idx="253">
                  <c:v>7.2999999999999909</c:v>
                </c:pt>
                <c:pt idx="254">
                  <c:v>7.3999999999999906</c:v>
                </c:pt>
                <c:pt idx="255">
                  <c:v>7.4999999999999902</c:v>
                </c:pt>
                <c:pt idx="256">
                  <c:v>7.5999999999999899</c:v>
                </c:pt>
                <c:pt idx="257">
                  <c:v>7.6999999999999895</c:v>
                </c:pt>
                <c:pt idx="258">
                  <c:v>7.7999999999999892</c:v>
                </c:pt>
                <c:pt idx="259">
                  <c:v>7.8999999999999888</c:v>
                </c:pt>
                <c:pt idx="260">
                  <c:v>7.9999999999999885</c:v>
                </c:pt>
                <c:pt idx="261">
                  <c:v>8.099999999999989</c:v>
                </c:pt>
                <c:pt idx="262">
                  <c:v>8.1999999999999886</c:v>
                </c:pt>
                <c:pt idx="263">
                  <c:v>8.2999999999999883</c:v>
                </c:pt>
                <c:pt idx="264">
                  <c:v>8.3999999999999879</c:v>
                </c:pt>
                <c:pt idx="265">
                  <c:v>8.4999999999999876</c:v>
                </c:pt>
                <c:pt idx="266">
                  <c:v>8.5999999999999872</c:v>
                </c:pt>
                <c:pt idx="267">
                  <c:v>8.6999999999999869</c:v>
                </c:pt>
                <c:pt idx="268">
                  <c:v>8.7999999999999865</c:v>
                </c:pt>
                <c:pt idx="269">
                  <c:v>8.8999999999999861</c:v>
                </c:pt>
                <c:pt idx="270">
                  <c:v>8.9999999999999858</c:v>
                </c:pt>
                <c:pt idx="271">
                  <c:v>9.0999999999999854</c:v>
                </c:pt>
                <c:pt idx="272">
                  <c:v>9.1999999999999851</c:v>
                </c:pt>
                <c:pt idx="273">
                  <c:v>9.2999999999999847</c:v>
                </c:pt>
                <c:pt idx="274">
                  <c:v>9.3999999999999844</c:v>
                </c:pt>
                <c:pt idx="275">
                  <c:v>9.499999999999984</c:v>
                </c:pt>
                <c:pt idx="276">
                  <c:v>9.5999999999999837</c:v>
                </c:pt>
                <c:pt idx="277">
                  <c:v>9.6999999999999833</c:v>
                </c:pt>
                <c:pt idx="278">
                  <c:v>9.7999999999999829</c:v>
                </c:pt>
                <c:pt idx="279">
                  <c:v>9.8999999999999826</c:v>
                </c:pt>
                <c:pt idx="280">
                  <c:v>9.9999999999999822</c:v>
                </c:pt>
                <c:pt idx="281">
                  <c:v>10.099999999999982</c:v>
                </c:pt>
                <c:pt idx="282">
                  <c:v>10.199999999999982</c:v>
                </c:pt>
                <c:pt idx="283">
                  <c:v>10.299999999999981</c:v>
                </c:pt>
                <c:pt idx="284">
                  <c:v>10.399999999999981</c:v>
                </c:pt>
                <c:pt idx="285">
                  <c:v>10.49999999999998</c:v>
                </c:pt>
                <c:pt idx="286">
                  <c:v>10.59999999999998</c:v>
                </c:pt>
                <c:pt idx="287">
                  <c:v>10.69999999999998</c:v>
                </c:pt>
                <c:pt idx="288">
                  <c:v>10.799999999999979</c:v>
                </c:pt>
                <c:pt idx="289">
                  <c:v>10.899999999999979</c:v>
                </c:pt>
                <c:pt idx="290">
                  <c:v>10.999999999999979</c:v>
                </c:pt>
                <c:pt idx="291">
                  <c:v>11.099999999999978</c:v>
                </c:pt>
                <c:pt idx="292">
                  <c:v>11.199999999999978</c:v>
                </c:pt>
                <c:pt idx="293">
                  <c:v>11.299999999999978</c:v>
                </c:pt>
                <c:pt idx="294">
                  <c:v>11.399999999999977</c:v>
                </c:pt>
                <c:pt idx="295">
                  <c:v>11.499999999999977</c:v>
                </c:pt>
                <c:pt idx="296">
                  <c:v>11.599999999999977</c:v>
                </c:pt>
                <c:pt idx="297">
                  <c:v>11.699999999999976</c:v>
                </c:pt>
                <c:pt idx="298">
                  <c:v>11.799999999999976</c:v>
                </c:pt>
                <c:pt idx="299">
                  <c:v>11.899999999999975</c:v>
                </c:pt>
                <c:pt idx="300">
                  <c:v>11.999999999999975</c:v>
                </c:pt>
                <c:pt idx="301">
                  <c:v>12.099999999999975</c:v>
                </c:pt>
                <c:pt idx="302">
                  <c:v>12.199999999999974</c:v>
                </c:pt>
                <c:pt idx="303">
                  <c:v>12.299999999999974</c:v>
                </c:pt>
                <c:pt idx="304">
                  <c:v>12.399999999999974</c:v>
                </c:pt>
                <c:pt idx="305">
                  <c:v>12.499999999999973</c:v>
                </c:pt>
                <c:pt idx="306">
                  <c:v>12.599999999999973</c:v>
                </c:pt>
                <c:pt idx="307">
                  <c:v>12.699999999999973</c:v>
                </c:pt>
                <c:pt idx="308">
                  <c:v>12.799999999999972</c:v>
                </c:pt>
                <c:pt idx="309">
                  <c:v>12.899999999999972</c:v>
                </c:pt>
                <c:pt idx="310">
                  <c:v>12.999999999999972</c:v>
                </c:pt>
                <c:pt idx="311">
                  <c:v>13.099999999999971</c:v>
                </c:pt>
                <c:pt idx="312">
                  <c:v>13.199999999999971</c:v>
                </c:pt>
                <c:pt idx="313">
                  <c:v>13.299999999999971</c:v>
                </c:pt>
                <c:pt idx="314">
                  <c:v>13.39999999999997</c:v>
                </c:pt>
                <c:pt idx="315">
                  <c:v>13.49999999999997</c:v>
                </c:pt>
                <c:pt idx="316">
                  <c:v>13.599999999999969</c:v>
                </c:pt>
                <c:pt idx="317">
                  <c:v>13.699999999999969</c:v>
                </c:pt>
                <c:pt idx="318">
                  <c:v>13.799999999999969</c:v>
                </c:pt>
                <c:pt idx="319">
                  <c:v>13.899999999999968</c:v>
                </c:pt>
                <c:pt idx="320">
                  <c:v>13.999999999999968</c:v>
                </c:pt>
                <c:pt idx="321">
                  <c:v>14.099999999999968</c:v>
                </c:pt>
                <c:pt idx="322">
                  <c:v>14.199999999999967</c:v>
                </c:pt>
                <c:pt idx="323">
                  <c:v>14.299999999999967</c:v>
                </c:pt>
                <c:pt idx="324">
                  <c:v>14.399999999999967</c:v>
                </c:pt>
                <c:pt idx="325">
                  <c:v>14.499999999999966</c:v>
                </c:pt>
                <c:pt idx="326">
                  <c:v>14.599999999999966</c:v>
                </c:pt>
                <c:pt idx="327">
                  <c:v>14.699999999999966</c:v>
                </c:pt>
                <c:pt idx="328">
                  <c:v>14.799999999999965</c:v>
                </c:pt>
                <c:pt idx="329">
                  <c:v>14.899999999999965</c:v>
                </c:pt>
                <c:pt idx="330">
                  <c:v>14.999999999999964</c:v>
                </c:pt>
                <c:pt idx="331">
                  <c:v>15.099999999999964</c:v>
                </c:pt>
                <c:pt idx="332">
                  <c:v>15.199999999999964</c:v>
                </c:pt>
                <c:pt idx="333">
                  <c:v>15.299999999999963</c:v>
                </c:pt>
                <c:pt idx="334">
                  <c:v>15.399999999999963</c:v>
                </c:pt>
                <c:pt idx="335">
                  <c:v>15.499999999999963</c:v>
                </c:pt>
                <c:pt idx="336">
                  <c:v>15.599999999999962</c:v>
                </c:pt>
                <c:pt idx="337">
                  <c:v>15.699999999999962</c:v>
                </c:pt>
                <c:pt idx="338">
                  <c:v>15.799999999999962</c:v>
                </c:pt>
                <c:pt idx="339">
                  <c:v>15.899999999999961</c:v>
                </c:pt>
                <c:pt idx="340">
                  <c:v>15.999999999999961</c:v>
                </c:pt>
                <c:pt idx="341">
                  <c:v>16.099999999999962</c:v>
                </c:pt>
                <c:pt idx="342">
                  <c:v>16.199999999999964</c:v>
                </c:pt>
                <c:pt idx="343">
                  <c:v>16.299999999999965</c:v>
                </c:pt>
                <c:pt idx="344">
                  <c:v>16.399999999999967</c:v>
                </c:pt>
                <c:pt idx="345">
                  <c:v>16.499999999999968</c:v>
                </c:pt>
                <c:pt idx="346">
                  <c:v>16.599999999999969</c:v>
                </c:pt>
                <c:pt idx="347">
                  <c:v>16.699999999999971</c:v>
                </c:pt>
                <c:pt idx="348">
                  <c:v>16.799999999999972</c:v>
                </c:pt>
                <c:pt idx="349">
                  <c:v>16.899999999999974</c:v>
                </c:pt>
                <c:pt idx="350">
                  <c:v>16.999999999999975</c:v>
                </c:pt>
                <c:pt idx="351">
                  <c:v>17.099999999999977</c:v>
                </c:pt>
                <c:pt idx="352">
                  <c:v>17.199999999999978</c:v>
                </c:pt>
                <c:pt idx="353">
                  <c:v>17.299999999999979</c:v>
                </c:pt>
                <c:pt idx="354">
                  <c:v>17.399999999999981</c:v>
                </c:pt>
                <c:pt idx="355">
                  <c:v>17.499999999999982</c:v>
                </c:pt>
                <c:pt idx="356">
                  <c:v>17.599999999999984</c:v>
                </c:pt>
                <c:pt idx="357">
                  <c:v>17.699999999999985</c:v>
                </c:pt>
                <c:pt idx="358">
                  <c:v>17.799999999999986</c:v>
                </c:pt>
                <c:pt idx="359">
                  <c:v>17.899999999999988</c:v>
                </c:pt>
                <c:pt idx="360">
                  <c:v>17.999999999999989</c:v>
                </c:pt>
                <c:pt idx="361">
                  <c:v>18.099999999999991</c:v>
                </c:pt>
                <c:pt idx="362">
                  <c:v>18.199999999999992</c:v>
                </c:pt>
                <c:pt idx="363">
                  <c:v>18.299999999999994</c:v>
                </c:pt>
                <c:pt idx="364">
                  <c:v>18.399999999999995</c:v>
                </c:pt>
                <c:pt idx="365">
                  <c:v>18.499999999999996</c:v>
                </c:pt>
                <c:pt idx="366">
                  <c:v>18.599999999999998</c:v>
                </c:pt>
                <c:pt idx="367">
                  <c:v>18.7</c:v>
                </c:pt>
                <c:pt idx="368">
                  <c:v>18.8</c:v>
                </c:pt>
                <c:pt idx="369">
                  <c:v>18.900000000000002</c:v>
                </c:pt>
                <c:pt idx="370">
                  <c:v>19.000000000000004</c:v>
                </c:pt>
                <c:pt idx="371">
                  <c:v>19.100000000000005</c:v>
                </c:pt>
                <c:pt idx="372">
                  <c:v>19.200000000000006</c:v>
                </c:pt>
                <c:pt idx="373">
                  <c:v>19.300000000000008</c:v>
                </c:pt>
                <c:pt idx="374">
                  <c:v>19.400000000000009</c:v>
                </c:pt>
                <c:pt idx="375">
                  <c:v>19.500000000000011</c:v>
                </c:pt>
                <c:pt idx="376">
                  <c:v>19.600000000000012</c:v>
                </c:pt>
                <c:pt idx="377">
                  <c:v>19.700000000000014</c:v>
                </c:pt>
                <c:pt idx="378">
                  <c:v>19.800000000000015</c:v>
                </c:pt>
                <c:pt idx="379">
                  <c:v>19.900000000000016</c:v>
                </c:pt>
                <c:pt idx="380">
                  <c:v>20.000000000000018</c:v>
                </c:pt>
                <c:pt idx="381">
                  <c:v>20.100000000000019</c:v>
                </c:pt>
                <c:pt idx="382">
                  <c:v>20.200000000000021</c:v>
                </c:pt>
                <c:pt idx="383">
                  <c:v>20.300000000000022</c:v>
                </c:pt>
                <c:pt idx="384">
                  <c:v>20.400000000000023</c:v>
                </c:pt>
                <c:pt idx="385">
                  <c:v>20.500000000000025</c:v>
                </c:pt>
                <c:pt idx="386">
                  <c:v>20.600000000000026</c:v>
                </c:pt>
                <c:pt idx="387">
                  <c:v>20.700000000000028</c:v>
                </c:pt>
                <c:pt idx="388">
                  <c:v>20.800000000000029</c:v>
                </c:pt>
                <c:pt idx="389">
                  <c:v>20.900000000000031</c:v>
                </c:pt>
                <c:pt idx="390">
                  <c:v>21.000000000000032</c:v>
                </c:pt>
                <c:pt idx="391">
                  <c:v>21.100000000000033</c:v>
                </c:pt>
                <c:pt idx="392">
                  <c:v>21.200000000000035</c:v>
                </c:pt>
                <c:pt idx="393">
                  <c:v>21.300000000000036</c:v>
                </c:pt>
                <c:pt idx="394">
                  <c:v>21.400000000000038</c:v>
                </c:pt>
                <c:pt idx="395">
                  <c:v>21.500000000000039</c:v>
                </c:pt>
                <c:pt idx="396">
                  <c:v>21.600000000000041</c:v>
                </c:pt>
                <c:pt idx="397">
                  <c:v>21.700000000000042</c:v>
                </c:pt>
                <c:pt idx="398">
                  <c:v>21.800000000000043</c:v>
                </c:pt>
                <c:pt idx="399">
                  <c:v>21.900000000000045</c:v>
                </c:pt>
                <c:pt idx="400">
                  <c:v>22.000000000000046</c:v>
                </c:pt>
                <c:pt idx="401">
                  <c:v>22.100000000000048</c:v>
                </c:pt>
                <c:pt idx="402">
                  <c:v>22.200000000000049</c:v>
                </c:pt>
                <c:pt idx="403">
                  <c:v>22.30000000000005</c:v>
                </c:pt>
                <c:pt idx="404">
                  <c:v>22.400000000000052</c:v>
                </c:pt>
                <c:pt idx="405">
                  <c:v>22.500000000000053</c:v>
                </c:pt>
                <c:pt idx="406">
                  <c:v>22.600000000000055</c:v>
                </c:pt>
                <c:pt idx="407">
                  <c:v>22.700000000000056</c:v>
                </c:pt>
                <c:pt idx="408">
                  <c:v>22.800000000000058</c:v>
                </c:pt>
                <c:pt idx="409">
                  <c:v>22.900000000000059</c:v>
                </c:pt>
                <c:pt idx="410">
                  <c:v>23.00000000000006</c:v>
                </c:pt>
                <c:pt idx="411">
                  <c:v>23.100000000000062</c:v>
                </c:pt>
                <c:pt idx="412">
                  <c:v>23.200000000000063</c:v>
                </c:pt>
                <c:pt idx="413">
                  <c:v>23.300000000000065</c:v>
                </c:pt>
                <c:pt idx="414">
                  <c:v>23.400000000000066</c:v>
                </c:pt>
                <c:pt idx="415">
                  <c:v>23.500000000000068</c:v>
                </c:pt>
                <c:pt idx="416">
                  <c:v>23.600000000000069</c:v>
                </c:pt>
                <c:pt idx="417">
                  <c:v>23.70000000000007</c:v>
                </c:pt>
                <c:pt idx="418">
                  <c:v>23.800000000000072</c:v>
                </c:pt>
                <c:pt idx="419">
                  <c:v>23.900000000000073</c:v>
                </c:pt>
                <c:pt idx="420">
                  <c:v>24.000000000000075</c:v>
                </c:pt>
                <c:pt idx="421">
                  <c:v>24.100000000000076</c:v>
                </c:pt>
                <c:pt idx="422">
                  <c:v>24.200000000000077</c:v>
                </c:pt>
                <c:pt idx="423">
                  <c:v>24.300000000000079</c:v>
                </c:pt>
                <c:pt idx="424">
                  <c:v>24.40000000000008</c:v>
                </c:pt>
                <c:pt idx="425">
                  <c:v>24.500000000000082</c:v>
                </c:pt>
                <c:pt idx="426">
                  <c:v>24.600000000000083</c:v>
                </c:pt>
                <c:pt idx="427">
                  <c:v>24.700000000000085</c:v>
                </c:pt>
                <c:pt idx="428">
                  <c:v>24.800000000000086</c:v>
                </c:pt>
                <c:pt idx="429">
                  <c:v>24.900000000000087</c:v>
                </c:pt>
                <c:pt idx="430">
                  <c:v>25.000000000000089</c:v>
                </c:pt>
                <c:pt idx="431">
                  <c:v>25.10000000000009</c:v>
                </c:pt>
                <c:pt idx="432">
                  <c:v>25.200000000000092</c:v>
                </c:pt>
                <c:pt idx="433">
                  <c:v>25.300000000000093</c:v>
                </c:pt>
                <c:pt idx="434">
                  <c:v>25.400000000000095</c:v>
                </c:pt>
                <c:pt idx="435">
                  <c:v>25.500000000000096</c:v>
                </c:pt>
                <c:pt idx="436">
                  <c:v>25.600000000000097</c:v>
                </c:pt>
                <c:pt idx="437">
                  <c:v>25.700000000000099</c:v>
                </c:pt>
                <c:pt idx="438">
                  <c:v>25.8000000000001</c:v>
                </c:pt>
                <c:pt idx="439">
                  <c:v>25.900000000000102</c:v>
                </c:pt>
                <c:pt idx="440">
                  <c:v>26.000000000000103</c:v>
                </c:pt>
                <c:pt idx="441">
                  <c:v>26.100000000000104</c:v>
                </c:pt>
                <c:pt idx="442">
                  <c:v>26.200000000000106</c:v>
                </c:pt>
                <c:pt idx="443">
                  <c:v>26.300000000000107</c:v>
                </c:pt>
                <c:pt idx="444">
                  <c:v>26.400000000000109</c:v>
                </c:pt>
                <c:pt idx="445">
                  <c:v>26.50000000000011</c:v>
                </c:pt>
                <c:pt idx="446">
                  <c:v>26.600000000000112</c:v>
                </c:pt>
                <c:pt idx="447">
                  <c:v>26.700000000000113</c:v>
                </c:pt>
                <c:pt idx="448">
                  <c:v>26.800000000000114</c:v>
                </c:pt>
                <c:pt idx="449">
                  <c:v>26.900000000000116</c:v>
                </c:pt>
                <c:pt idx="450">
                  <c:v>27.000000000000117</c:v>
                </c:pt>
                <c:pt idx="451">
                  <c:v>27.100000000000119</c:v>
                </c:pt>
                <c:pt idx="452">
                  <c:v>27.20000000000012</c:v>
                </c:pt>
                <c:pt idx="453">
                  <c:v>27.300000000000122</c:v>
                </c:pt>
                <c:pt idx="454">
                  <c:v>27.400000000000123</c:v>
                </c:pt>
                <c:pt idx="455">
                  <c:v>27.500000000000124</c:v>
                </c:pt>
                <c:pt idx="456">
                  <c:v>27.600000000000126</c:v>
                </c:pt>
                <c:pt idx="457">
                  <c:v>27.700000000000127</c:v>
                </c:pt>
                <c:pt idx="458">
                  <c:v>27.800000000000129</c:v>
                </c:pt>
                <c:pt idx="459">
                  <c:v>27.90000000000013</c:v>
                </c:pt>
                <c:pt idx="460">
                  <c:v>28.000000000000131</c:v>
                </c:pt>
                <c:pt idx="461">
                  <c:v>28.100000000000133</c:v>
                </c:pt>
                <c:pt idx="462">
                  <c:v>28.200000000000134</c:v>
                </c:pt>
                <c:pt idx="463">
                  <c:v>28.300000000000136</c:v>
                </c:pt>
                <c:pt idx="464">
                  <c:v>28.400000000000137</c:v>
                </c:pt>
                <c:pt idx="465">
                  <c:v>28.500000000000139</c:v>
                </c:pt>
                <c:pt idx="466">
                  <c:v>28.60000000000014</c:v>
                </c:pt>
                <c:pt idx="467">
                  <c:v>28.700000000000141</c:v>
                </c:pt>
                <c:pt idx="468">
                  <c:v>28.800000000000143</c:v>
                </c:pt>
                <c:pt idx="469">
                  <c:v>28.900000000000144</c:v>
                </c:pt>
                <c:pt idx="470">
                  <c:v>29.000000000000146</c:v>
                </c:pt>
                <c:pt idx="471">
                  <c:v>29.100000000000147</c:v>
                </c:pt>
                <c:pt idx="472">
                  <c:v>29.200000000000149</c:v>
                </c:pt>
                <c:pt idx="473">
                  <c:v>29.30000000000015</c:v>
                </c:pt>
                <c:pt idx="474">
                  <c:v>29.400000000000151</c:v>
                </c:pt>
                <c:pt idx="475">
                  <c:v>29.500000000000153</c:v>
                </c:pt>
                <c:pt idx="476">
                  <c:v>29.600000000000154</c:v>
                </c:pt>
                <c:pt idx="477">
                  <c:v>29.700000000000156</c:v>
                </c:pt>
                <c:pt idx="478">
                  <c:v>29.800000000000157</c:v>
                </c:pt>
                <c:pt idx="479">
                  <c:v>29.900000000000158</c:v>
                </c:pt>
                <c:pt idx="480">
                  <c:v>30.00000000000016</c:v>
                </c:pt>
                <c:pt idx="481">
                  <c:v>30.100000000000161</c:v>
                </c:pt>
                <c:pt idx="482">
                  <c:v>30.200000000000163</c:v>
                </c:pt>
                <c:pt idx="483">
                  <c:v>30.300000000000164</c:v>
                </c:pt>
                <c:pt idx="484">
                  <c:v>30.400000000000166</c:v>
                </c:pt>
                <c:pt idx="485">
                  <c:v>30.500000000000167</c:v>
                </c:pt>
                <c:pt idx="486">
                  <c:v>30.600000000000168</c:v>
                </c:pt>
                <c:pt idx="487">
                  <c:v>30.70000000000017</c:v>
                </c:pt>
                <c:pt idx="488">
                  <c:v>30.800000000000171</c:v>
                </c:pt>
                <c:pt idx="489">
                  <c:v>30.900000000000173</c:v>
                </c:pt>
                <c:pt idx="490">
                  <c:v>31.000000000000174</c:v>
                </c:pt>
                <c:pt idx="491">
                  <c:v>31.100000000000176</c:v>
                </c:pt>
                <c:pt idx="492">
                  <c:v>31.200000000000177</c:v>
                </c:pt>
                <c:pt idx="493">
                  <c:v>31.300000000000178</c:v>
                </c:pt>
                <c:pt idx="494">
                  <c:v>31.40000000000018</c:v>
                </c:pt>
                <c:pt idx="495">
                  <c:v>31.500000000000181</c:v>
                </c:pt>
                <c:pt idx="496">
                  <c:v>31.600000000000183</c:v>
                </c:pt>
                <c:pt idx="497">
                  <c:v>31.700000000000184</c:v>
                </c:pt>
                <c:pt idx="498">
                  <c:v>31.800000000000185</c:v>
                </c:pt>
                <c:pt idx="499">
                  <c:v>31.900000000000187</c:v>
                </c:pt>
                <c:pt idx="500">
                  <c:v>32.000000000000185</c:v>
                </c:pt>
                <c:pt idx="501">
                  <c:v>32.100000000000186</c:v>
                </c:pt>
                <c:pt idx="502">
                  <c:v>32.200000000000188</c:v>
                </c:pt>
                <c:pt idx="503">
                  <c:v>32.300000000000189</c:v>
                </c:pt>
                <c:pt idx="504">
                  <c:v>32.40000000000019</c:v>
                </c:pt>
                <c:pt idx="505">
                  <c:v>32.500000000000192</c:v>
                </c:pt>
                <c:pt idx="506">
                  <c:v>32.600000000000193</c:v>
                </c:pt>
                <c:pt idx="507">
                  <c:v>32.700000000000195</c:v>
                </c:pt>
                <c:pt idx="508">
                  <c:v>32.800000000000196</c:v>
                </c:pt>
                <c:pt idx="509">
                  <c:v>32.900000000000198</c:v>
                </c:pt>
                <c:pt idx="510">
                  <c:v>33.000000000000199</c:v>
                </c:pt>
                <c:pt idx="511">
                  <c:v>33.1000000000002</c:v>
                </c:pt>
                <c:pt idx="512">
                  <c:v>33.200000000000202</c:v>
                </c:pt>
                <c:pt idx="513">
                  <c:v>33.300000000000203</c:v>
                </c:pt>
                <c:pt idx="514">
                  <c:v>33.400000000000205</c:v>
                </c:pt>
                <c:pt idx="515">
                  <c:v>33.500000000000206</c:v>
                </c:pt>
                <c:pt idx="516">
                  <c:v>33.600000000000207</c:v>
                </c:pt>
                <c:pt idx="517">
                  <c:v>33.700000000000209</c:v>
                </c:pt>
                <c:pt idx="518">
                  <c:v>33.80000000000021</c:v>
                </c:pt>
                <c:pt idx="519">
                  <c:v>33.900000000000212</c:v>
                </c:pt>
                <c:pt idx="520">
                  <c:v>34.000000000000213</c:v>
                </c:pt>
                <c:pt idx="521">
                  <c:v>34.100000000000215</c:v>
                </c:pt>
                <c:pt idx="522">
                  <c:v>34.200000000000216</c:v>
                </c:pt>
                <c:pt idx="523">
                  <c:v>34.300000000000217</c:v>
                </c:pt>
                <c:pt idx="524">
                  <c:v>34.400000000000219</c:v>
                </c:pt>
                <c:pt idx="525">
                  <c:v>34.50000000000022</c:v>
                </c:pt>
                <c:pt idx="526">
                  <c:v>34.600000000000222</c:v>
                </c:pt>
                <c:pt idx="527">
                  <c:v>34.700000000000223</c:v>
                </c:pt>
                <c:pt idx="528">
                  <c:v>34.800000000000225</c:v>
                </c:pt>
                <c:pt idx="529">
                  <c:v>34.900000000000226</c:v>
                </c:pt>
                <c:pt idx="530">
                  <c:v>35.000000000000227</c:v>
                </c:pt>
                <c:pt idx="531">
                  <c:v>35.100000000000229</c:v>
                </c:pt>
                <c:pt idx="532">
                  <c:v>35.20000000000023</c:v>
                </c:pt>
                <c:pt idx="533">
                  <c:v>35.300000000000232</c:v>
                </c:pt>
                <c:pt idx="534">
                  <c:v>35.400000000000233</c:v>
                </c:pt>
                <c:pt idx="535">
                  <c:v>35.500000000000234</c:v>
                </c:pt>
                <c:pt idx="536">
                  <c:v>35.600000000000236</c:v>
                </c:pt>
                <c:pt idx="537">
                  <c:v>35.700000000000237</c:v>
                </c:pt>
                <c:pt idx="538">
                  <c:v>35.800000000000239</c:v>
                </c:pt>
                <c:pt idx="539">
                  <c:v>35.90000000000024</c:v>
                </c:pt>
                <c:pt idx="540">
                  <c:v>36.000000000000242</c:v>
                </c:pt>
                <c:pt idx="541">
                  <c:v>36.100000000000243</c:v>
                </c:pt>
                <c:pt idx="542">
                  <c:v>36.200000000000244</c:v>
                </c:pt>
                <c:pt idx="543">
                  <c:v>36.300000000000246</c:v>
                </c:pt>
                <c:pt idx="544">
                  <c:v>36.400000000000247</c:v>
                </c:pt>
                <c:pt idx="545">
                  <c:v>36.500000000000249</c:v>
                </c:pt>
                <c:pt idx="546">
                  <c:v>36.60000000000025</c:v>
                </c:pt>
                <c:pt idx="547">
                  <c:v>36.700000000000252</c:v>
                </c:pt>
                <c:pt idx="548">
                  <c:v>36.700100000000255</c:v>
                </c:pt>
                <c:pt idx="549">
                  <c:v>36.700200000000258</c:v>
                </c:pt>
                <c:pt idx="550">
                  <c:v>36.700300000000261</c:v>
                </c:pt>
                <c:pt idx="551">
                  <c:v>36.700400000000265</c:v>
                </c:pt>
                <c:pt idx="552">
                  <c:v>36.700500000000268</c:v>
                </c:pt>
                <c:pt idx="553">
                  <c:v>36.700600000000271</c:v>
                </c:pt>
                <c:pt idx="554">
                  <c:v>36.700700000000275</c:v>
                </c:pt>
                <c:pt idx="555">
                  <c:v>36.700800000000278</c:v>
                </c:pt>
                <c:pt idx="556">
                  <c:v>36.700900000000281</c:v>
                </c:pt>
                <c:pt idx="557">
                  <c:v>36.701000000000285</c:v>
                </c:pt>
                <c:pt idx="558">
                  <c:v>36.701100000000288</c:v>
                </c:pt>
                <c:pt idx="559">
                  <c:v>36.701200000000291</c:v>
                </c:pt>
                <c:pt idx="560">
                  <c:v>36.701300000000295</c:v>
                </c:pt>
                <c:pt idx="561">
                  <c:v>36.701400000000298</c:v>
                </c:pt>
                <c:pt idx="562">
                  <c:v>36.701500000000301</c:v>
                </c:pt>
                <c:pt idx="563">
                  <c:v>36.701600000000305</c:v>
                </c:pt>
                <c:pt idx="564">
                  <c:v>36.701700000000308</c:v>
                </c:pt>
                <c:pt idx="565">
                  <c:v>36.701800000000311</c:v>
                </c:pt>
                <c:pt idx="566">
                  <c:v>36.701900000000315</c:v>
                </c:pt>
                <c:pt idx="567">
                  <c:v>36.702000000000318</c:v>
                </c:pt>
                <c:pt idx="568">
                  <c:v>36.702100000000321</c:v>
                </c:pt>
                <c:pt idx="569">
                  <c:v>36.702200000000325</c:v>
                </c:pt>
                <c:pt idx="570">
                  <c:v>36.702300000000328</c:v>
                </c:pt>
                <c:pt idx="571">
                  <c:v>36.702400000000331</c:v>
                </c:pt>
                <c:pt idx="572">
                  <c:v>36.702500000000335</c:v>
                </c:pt>
                <c:pt idx="573">
                  <c:v>36.702600000000338</c:v>
                </c:pt>
                <c:pt idx="574">
                  <c:v>36.702700000000341</c:v>
                </c:pt>
                <c:pt idx="575">
                  <c:v>36.702800000000344</c:v>
                </c:pt>
                <c:pt idx="576">
                  <c:v>36.702900000000348</c:v>
                </c:pt>
                <c:pt idx="577">
                  <c:v>36.703000000000351</c:v>
                </c:pt>
                <c:pt idx="578">
                  <c:v>36.703100000000354</c:v>
                </c:pt>
                <c:pt idx="579">
                  <c:v>36.703200000000358</c:v>
                </c:pt>
                <c:pt idx="580">
                  <c:v>36.703300000000361</c:v>
                </c:pt>
                <c:pt idx="581">
                  <c:v>36.703400000000364</c:v>
                </c:pt>
                <c:pt idx="582">
                  <c:v>36.703500000000368</c:v>
                </c:pt>
                <c:pt idx="583">
                  <c:v>36.703600000000371</c:v>
                </c:pt>
                <c:pt idx="584">
                  <c:v>36.703700000000374</c:v>
                </c:pt>
                <c:pt idx="585">
                  <c:v>36.703800000000378</c:v>
                </c:pt>
                <c:pt idx="586">
                  <c:v>36.703900000000381</c:v>
                </c:pt>
                <c:pt idx="587">
                  <c:v>36.704000000000384</c:v>
                </c:pt>
                <c:pt idx="588">
                  <c:v>36.704100000000388</c:v>
                </c:pt>
                <c:pt idx="589">
                  <c:v>36.704200000000391</c:v>
                </c:pt>
                <c:pt idx="590">
                  <c:v>36.704300000000394</c:v>
                </c:pt>
                <c:pt idx="591">
                  <c:v>36.704400000000398</c:v>
                </c:pt>
                <c:pt idx="592">
                  <c:v>36.704500000000401</c:v>
                </c:pt>
                <c:pt idx="593">
                  <c:v>36.704600000000404</c:v>
                </c:pt>
                <c:pt idx="594">
                  <c:v>36.704700000000408</c:v>
                </c:pt>
                <c:pt idx="595">
                  <c:v>36.704800000000411</c:v>
                </c:pt>
                <c:pt idx="596">
                  <c:v>36.704900000000414</c:v>
                </c:pt>
                <c:pt idx="597">
                  <c:v>36.705000000000418</c:v>
                </c:pt>
                <c:pt idx="598">
                  <c:v>36.705100000000421</c:v>
                </c:pt>
                <c:pt idx="599">
                  <c:v>36.705200000000424</c:v>
                </c:pt>
                <c:pt idx="600">
                  <c:v>36.705300000000427</c:v>
                </c:pt>
                <c:pt idx="601">
                  <c:v>36.705400000000431</c:v>
                </c:pt>
                <c:pt idx="602">
                  <c:v>36.705500000000434</c:v>
                </c:pt>
                <c:pt idx="603">
                  <c:v>36.705600000000437</c:v>
                </c:pt>
                <c:pt idx="604">
                  <c:v>36.705700000000441</c:v>
                </c:pt>
                <c:pt idx="605">
                  <c:v>36.705800000000444</c:v>
                </c:pt>
                <c:pt idx="606">
                  <c:v>36.705900000000447</c:v>
                </c:pt>
                <c:pt idx="607">
                  <c:v>36.706000000000451</c:v>
                </c:pt>
                <c:pt idx="608">
                  <c:v>36.706100000000454</c:v>
                </c:pt>
                <c:pt idx="609">
                  <c:v>36.706200000000457</c:v>
                </c:pt>
                <c:pt idx="610">
                  <c:v>36.706300000000461</c:v>
                </c:pt>
                <c:pt idx="611">
                  <c:v>36.706400000000464</c:v>
                </c:pt>
                <c:pt idx="612">
                  <c:v>36.706500000000467</c:v>
                </c:pt>
                <c:pt idx="613">
                  <c:v>36.706600000000471</c:v>
                </c:pt>
                <c:pt idx="614">
                  <c:v>36.706700000000474</c:v>
                </c:pt>
                <c:pt idx="615">
                  <c:v>36.706800000000477</c:v>
                </c:pt>
                <c:pt idx="616">
                  <c:v>36.706900000000481</c:v>
                </c:pt>
                <c:pt idx="617">
                  <c:v>36.707000000000484</c:v>
                </c:pt>
                <c:pt idx="618">
                  <c:v>36.707100000000487</c:v>
                </c:pt>
                <c:pt idx="619">
                  <c:v>36.707200000000491</c:v>
                </c:pt>
                <c:pt idx="620">
                  <c:v>36.707300000000494</c:v>
                </c:pt>
                <c:pt idx="621">
                  <c:v>36.707400000000497</c:v>
                </c:pt>
                <c:pt idx="622">
                  <c:v>36.707500000000501</c:v>
                </c:pt>
                <c:pt idx="623">
                  <c:v>36.707600000000504</c:v>
                </c:pt>
                <c:pt idx="624">
                  <c:v>36.707700000000507</c:v>
                </c:pt>
                <c:pt idx="625">
                  <c:v>36.70780000000051</c:v>
                </c:pt>
                <c:pt idx="626">
                  <c:v>36.707900000000514</c:v>
                </c:pt>
                <c:pt idx="627">
                  <c:v>36.708000000000517</c:v>
                </c:pt>
                <c:pt idx="628">
                  <c:v>36.70810000000052</c:v>
                </c:pt>
                <c:pt idx="629">
                  <c:v>36.708200000000524</c:v>
                </c:pt>
                <c:pt idx="630">
                  <c:v>36.708300000000527</c:v>
                </c:pt>
                <c:pt idx="631">
                  <c:v>36.70840000000053</c:v>
                </c:pt>
                <c:pt idx="632">
                  <c:v>36.708500000000534</c:v>
                </c:pt>
                <c:pt idx="633">
                  <c:v>36.708600000000537</c:v>
                </c:pt>
                <c:pt idx="634">
                  <c:v>36.70870000000054</c:v>
                </c:pt>
                <c:pt idx="635">
                  <c:v>36.708800000000544</c:v>
                </c:pt>
                <c:pt idx="636">
                  <c:v>36.708900000000547</c:v>
                </c:pt>
                <c:pt idx="637">
                  <c:v>36.70900000000055</c:v>
                </c:pt>
                <c:pt idx="638">
                  <c:v>36.709100000000554</c:v>
                </c:pt>
                <c:pt idx="639">
                  <c:v>36.709200000000557</c:v>
                </c:pt>
                <c:pt idx="640">
                  <c:v>36.70930000000056</c:v>
                </c:pt>
                <c:pt idx="641">
                  <c:v>36.709400000000564</c:v>
                </c:pt>
                <c:pt idx="642">
                  <c:v>36.709500000000567</c:v>
                </c:pt>
                <c:pt idx="643">
                  <c:v>36.70960000000057</c:v>
                </c:pt>
                <c:pt idx="644">
                  <c:v>36.709700000000574</c:v>
                </c:pt>
                <c:pt idx="645">
                  <c:v>36.709800000000577</c:v>
                </c:pt>
                <c:pt idx="646">
                  <c:v>36.70990000000058</c:v>
                </c:pt>
                <c:pt idx="647">
                  <c:v>36.710000000000583</c:v>
                </c:pt>
                <c:pt idx="648">
                  <c:v>36.710100000000587</c:v>
                </c:pt>
                <c:pt idx="649">
                  <c:v>36.71020000000059</c:v>
                </c:pt>
                <c:pt idx="650">
                  <c:v>36.710300000000593</c:v>
                </c:pt>
                <c:pt idx="651">
                  <c:v>36.710400000000597</c:v>
                </c:pt>
                <c:pt idx="652">
                  <c:v>36.7105000000006</c:v>
                </c:pt>
                <c:pt idx="653">
                  <c:v>36.710600000000603</c:v>
                </c:pt>
                <c:pt idx="654">
                  <c:v>36.710700000000607</c:v>
                </c:pt>
                <c:pt idx="655">
                  <c:v>36.71080000000061</c:v>
                </c:pt>
                <c:pt idx="656">
                  <c:v>36.710900000000613</c:v>
                </c:pt>
                <c:pt idx="657">
                  <c:v>36.711000000000617</c:v>
                </c:pt>
                <c:pt idx="658">
                  <c:v>36.71110000000062</c:v>
                </c:pt>
                <c:pt idx="659">
                  <c:v>36.711200000000623</c:v>
                </c:pt>
                <c:pt idx="660">
                  <c:v>36.711300000000627</c:v>
                </c:pt>
                <c:pt idx="661">
                  <c:v>36.71140000000063</c:v>
                </c:pt>
                <c:pt idx="662">
                  <c:v>36.711500000000633</c:v>
                </c:pt>
                <c:pt idx="663">
                  <c:v>36.711600000000637</c:v>
                </c:pt>
                <c:pt idx="664">
                  <c:v>36.71170000000064</c:v>
                </c:pt>
                <c:pt idx="665">
                  <c:v>36.711800000000643</c:v>
                </c:pt>
                <c:pt idx="666">
                  <c:v>36.711900000000647</c:v>
                </c:pt>
                <c:pt idx="667">
                  <c:v>36.71200000000065</c:v>
                </c:pt>
                <c:pt idx="668">
                  <c:v>36.712100000000653</c:v>
                </c:pt>
                <c:pt idx="669">
                  <c:v>36.712200000000657</c:v>
                </c:pt>
                <c:pt idx="670">
                  <c:v>36.71230000000066</c:v>
                </c:pt>
                <c:pt idx="671">
                  <c:v>36.712400000000663</c:v>
                </c:pt>
                <c:pt idx="672">
                  <c:v>36.712500000000666</c:v>
                </c:pt>
                <c:pt idx="673">
                  <c:v>36.71260000000067</c:v>
                </c:pt>
                <c:pt idx="674">
                  <c:v>36.712700000000673</c:v>
                </c:pt>
                <c:pt idx="675">
                  <c:v>36.712800000000676</c:v>
                </c:pt>
                <c:pt idx="676">
                  <c:v>36.71290000000068</c:v>
                </c:pt>
                <c:pt idx="677">
                  <c:v>36.713000000000683</c:v>
                </c:pt>
                <c:pt idx="678">
                  <c:v>36.713100000000686</c:v>
                </c:pt>
                <c:pt idx="679">
                  <c:v>36.71320000000069</c:v>
                </c:pt>
                <c:pt idx="680">
                  <c:v>36.713300000000693</c:v>
                </c:pt>
                <c:pt idx="681">
                  <c:v>36.713400000000696</c:v>
                </c:pt>
                <c:pt idx="682">
                  <c:v>36.7135000000007</c:v>
                </c:pt>
                <c:pt idx="683">
                  <c:v>36.713600000000703</c:v>
                </c:pt>
                <c:pt idx="684">
                  <c:v>36.713700000000706</c:v>
                </c:pt>
                <c:pt idx="685">
                  <c:v>36.71380000000071</c:v>
                </c:pt>
                <c:pt idx="686">
                  <c:v>36.713900000000713</c:v>
                </c:pt>
                <c:pt idx="687">
                  <c:v>36.714000000000716</c:v>
                </c:pt>
                <c:pt idx="688">
                  <c:v>36.71410000000072</c:v>
                </c:pt>
                <c:pt idx="689">
                  <c:v>36.714200000000723</c:v>
                </c:pt>
                <c:pt idx="690">
                  <c:v>36.714300000000726</c:v>
                </c:pt>
                <c:pt idx="691">
                  <c:v>36.71440000000073</c:v>
                </c:pt>
                <c:pt idx="692">
                  <c:v>36.714500000000733</c:v>
                </c:pt>
                <c:pt idx="693">
                  <c:v>36.714600000000736</c:v>
                </c:pt>
                <c:pt idx="694">
                  <c:v>36.71470000000074</c:v>
                </c:pt>
                <c:pt idx="695">
                  <c:v>36.714800000000743</c:v>
                </c:pt>
                <c:pt idx="696">
                  <c:v>36.714900000000746</c:v>
                </c:pt>
                <c:pt idx="697">
                  <c:v>36.715000000000749</c:v>
                </c:pt>
                <c:pt idx="698">
                  <c:v>36.715100000000753</c:v>
                </c:pt>
                <c:pt idx="699">
                  <c:v>36.715200000000756</c:v>
                </c:pt>
                <c:pt idx="700">
                  <c:v>36.715300000000759</c:v>
                </c:pt>
                <c:pt idx="701">
                  <c:v>36.715400000000763</c:v>
                </c:pt>
                <c:pt idx="702">
                  <c:v>36.715500000000766</c:v>
                </c:pt>
                <c:pt idx="703">
                  <c:v>36.715600000000769</c:v>
                </c:pt>
                <c:pt idx="704">
                  <c:v>36.715700000000773</c:v>
                </c:pt>
                <c:pt idx="705">
                  <c:v>36.715800000000776</c:v>
                </c:pt>
                <c:pt idx="706">
                  <c:v>36.715900000000779</c:v>
                </c:pt>
                <c:pt idx="707">
                  <c:v>36.716000000000783</c:v>
                </c:pt>
                <c:pt idx="708">
                  <c:v>36.716100000000786</c:v>
                </c:pt>
                <c:pt idx="709">
                  <c:v>36.716200000000789</c:v>
                </c:pt>
                <c:pt idx="710">
                  <c:v>36.716300000000793</c:v>
                </c:pt>
                <c:pt idx="711">
                  <c:v>36.716400000000796</c:v>
                </c:pt>
                <c:pt idx="712">
                  <c:v>36.716500000000799</c:v>
                </c:pt>
                <c:pt idx="713">
                  <c:v>36.716600000000803</c:v>
                </c:pt>
                <c:pt idx="714">
                  <c:v>36.716700000000806</c:v>
                </c:pt>
                <c:pt idx="715">
                  <c:v>36.716800000000809</c:v>
                </c:pt>
                <c:pt idx="716">
                  <c:v>36.716900000000813</c:v>
                </c:pt>
                <c:pt idx="717">
                  <c:v>36.717000000000816</c:v>
                </c:pt>
                <c:pt idx="718">
                  <c:v>36.717100000000819</c:v>
                </c:pt>
                <c:pt idx="719">
                  <c:v>36.717200000000823</c:v>
                </c:pt>
                <c:pt idx="720">
                  <c:v>36.717300000000826</c:v>
                </c:pt>
                <c:pt idx="721">
                  <c:v>36.717400000000829</c:v>
                </c:pt>
                <c:pt idx="722">
                  <c:v>36.717500000000832</c:v>
                </c:pt>
                <c:pt idx="723">
                  <c:v>36.717600000000836</c:v>
                </c:pt>
                <c:pt idx="724">
                  <c:v>36.717700000000839</c:v>
                </c:pt>
                <c:pt idx="725">
                  <c:v>36.717800000000842</c:v>
                </c:pt>
                <c:pt idx="726">
                  <c:v>36.717900000000846</c:v>
                </c:pt>
                <c:pt idx="727">
                  <c:v>36.718000000000849</c:v>
                </c:pt>
                <c:pt idx="728">
                  <c:v>36.718100000000852</c:v>
                </c:pt>
                <c:pt idx="729">
                  <c:v>36.718200000000856</c:v>
                </c:pt>
                <c:pt idx="730">
                  <c:v>36.718300000000859</c:v>
                </c:pt>
                <c:pt idx="731">
                  <c:v>36.718400000000862</c:v>
                </c:pt>
                <c:pt idx="732">
                  <c:v>36.718500000000866</c:v>
                </c:pt>
                <c:pt idx="733">
                  <c:v>36.718600000000869</c:v>
                </c:pt>
                <c:pt idx="734">
                  <c:v>36.718700000000872</c:v>
                </c:pt>
                <c:pt idx="735">
                  <c:v>36.718800000000876</c:v>
                </c:pt>
                <c:pt idx="736">
                  <c:v>36.718900000000879</c:v>
                </c:pt>
                <c:pt idx="737">
                  <c:v>36.719000000000882</c:v>
                </c:pt>
                <c:pt idx="738">
                  <c:v>36.719100000000886</c:v>
                </c:pt>
                <c:pt idx="739">
                  <c:v>36.719200000000889</c:v>
                </c:pt>
                <c:pt idx="740">
                  <c:v>36.719300000000892</c:v>
                </c:pt>
                <c:pt idx="741">
                  <c:v>36.719400000000896</c:v>
                </c:pt>
                <c:pt idx="742">
                  <c:v>36.719500000000899</c:v>
                </c:pt>
                <c:pt idx="743">
                  <c:v>36.719600000000902</c:v>
                </c:pt>
                <c:pt idx="744">
                  <c:v>36.719700000000906</c:v>
                </c:pt>
                <c:pt idx="745">
                  <c:v>36.719800000000909</c:v>
                </c:pt>
                <c:pt idx="746">
                  <c:v>36.719900000000912</c:v>
                </c:pt>
                <c:pt idx="747">
                  <c:v>36.720000000000915</c:v>
                </c:pt>
                <c:pt idx="748">
                  <c:v>36.720100000000919</c:v>
                </c:pt>
                <c:pt idx="749">
                  <c:v>36.720200000000922</c:v>
                </c:pt>
                <c:pt idx="750">
                  <c:v>36.720300000000925</c:v>
                </c:pt>
                <c:pt idx="751">
                  <c:v>36.720400000000929</c:v>
                </c:pt>
                <c:pt idx="752">
                  <c:v>36.720500000000932</c:v>
                </c:pt>
                <c:pt idx="753">
                  <c:v>36.720600000000935</c:v>
                </c:pt>
                <c:pt idx="754">
                  <c:v>36.720700000000939</c:v>
                </c:pt>
                <c:pt idx="755">
                  <c:v>36.720800000000942</c:v>
                </c:pt>
                <c:pt idx="756">
                  <c:v>36.720900000000945</c:v>
                </c:pt>
                <c:pt idx="757">
                  <c:v>36.721000000000949</c:v>
                </c:pt>
                <c:pt idx="758">
                  <c:v>36.721100000000952</c:v>
                </c:pt>
                <c:pt idx="759">
                  <c:v>36.721200000000955</c:v>
                </c:pt>
                <c:pt idx="760">
                  <c:v>36.721300000000959</c:v>
                </c:pt>
                <c:pt idx="761">
                  <c:v>36.721400000000962</c:v>
                </c:pt>
                <c:pt idx="762">
                  <c:v>36.721500000000965</c:v>
                </c:pt>
                <c:pt idx="763">
                  <c:v>36.721600000000969</c:v>
                </c:pt>
                <c:pt idx="764">
                  <c:v>36.721700000000972</c:v>
                </c:pt>
                <c:pt idx="765">
                  <c:v>36.721800000000975</c:v>
                </c:pt>
                <c:pt idx="766">
                  <c:v>36.721900000000979</c:v>
                </c:pt>
                <c:pt idx="767">
                  <c:v>36.722000000000982</c:v>
                </c:pt>
                <c:pt idx="768">
                  <c:v>36.722100000000985</c:v>
                </c:pt>
                <c:pt idx="769">
                  <c:v>36.722200000000988</c:v>
                </c:pt>
                <c:pt idx="770">
                  <c:v>36.722300000000992</c:v>
                </c:pt>
                <c:pt idx="771">
                  <c:v>36.722400000000995</c:v>
                </c:pt>
                <c:pt idx="772">
                  <c:v>36.722500000000998</c:v>
                </c:pt>
                <c:pt idx="773">
                  <c:v>36.722600000001002</c:v>
                </c:pt>
                <c:pt idx="774">
                  <c:v>36.722700000001005</c:v>
                </c:pt>
                <c:pt idx="775">
                  <c:v>36.722800000001008</c:v>
                </c:pt>
                <c:pt idx="776">
                  <c:v>36.722900000001012</c:v>
                </c:pt>
                <c:pt idx="777">
                  <c:v>36.723000000001015</c:v>
                </c:pt>
                <c:pt idx="778">
                  <c:v>36.723100000001018</c:v>
                </c:pt>
                <c:pt idx="779">
                  <c:v>36.723200000001022</c:v>
                </c:pt>
                <c:pt idx="780">
                  <c:v>36.723300000001025</c:v>
                </c:pt>
                <c:pt idx="781">
                  <c:v>36.723400000001028</c:v>
                </c:pt>
                <c:pt idx="782">
                  <c:v>36.723500000001032</c:v>
                </c:pt>
                <c:pt idx="783">
                  <c:v>36.723600000001035</c:v>
                </c:pt>
                <c:pt idx="784">
                  <c:v>36.723700000001038</c:v>
                </c:pt>
                <c:pt idx="785">
                  <c:v>36.723800000001042</c:v>
                </c:pt>
                <c:pt idx="786">
                  <c:v>36.723900000001045</c:v>
                </c:pt>
                <c:pt idx="787">
                  <c:v>36.724000000001048</c:v>
                </c:pt>
                <c:pt idx="788">
                  <c:v>36.724100000001052</c:v>
                </c:pt>
                <c:pt idx="789">
                  <c:v>36.724200000001055</c:v>
                </c:pt>
                <c:pt idx="790">
                  <c:v>36.724300000001058</c:v>
                </c:pt>
                <c:pt idx="791">
                  <c:v>36.724400000001062</c:v>
                </c:pt>
                <c:pt idx="792">
                  <c:v>36.724500000001065</c:v>
                </c:pt>
                <c:pt idx="793">
                  <c:v>36.724600000001068</c:v>
                </c:pt>
                <c:pt idx="794">
                  <c:v>36.724700000001071</c:v>
                </c:pt>
                <c:pt idx="795">
                  <c:v>36.724800000001075</c:v>
                </c:pt>
                <c:pt idx="796">
                  <c:v>36.724900000001078</c:v>
                </c:pt>
                <c:pt idx="797">
                  <c:v>36.725000000001081</c:v>
                </c:pt>
                <c:pt idx="798">
                  <c:v>36.725100000001085</c:v>
                </c:pt>
                <c:pt idx="799">
                  <c:v>36.725200000001088</c:v>
                </c:pt>
                <c:pt idx="800">
                  <c:v>36.725300000001091</c:v>
                </c:pt>
                <c:pt idx="801">
                  <c:v>36.725400000001095</c:v>
                </c:pt>
                <c:pt idx="802">
                  <c:v>36.725500000001098</c:v>
                </c:pt>
                <c:pt idx="803">
                  <c:v>36.725600000001101</c:v>
                </c:pt>
                <c:pt idx="804">
                  <c:v>36.725700000001105</c:v>
                </c:pt>
                <c:pt idx="805">
                  <c:v>36.725800000001108</c:v>
                </c:pt>
                <c:pt idx="806">
                  <c:v>36.725900000001111</c:v>
                </c:pt>
                <c:pt idx="807">
                  <c:v>36.726000000001115</c:v>
                </c:pt>
                <c:pt idx="808">
                  <c:v>36.726100000001118</c:v>
                </c:pt>
                <c:pt idx="809">
                  <c:v>36.726200000001121</c:v>
                </c:pt>
                <c:pt idx="810">
                  <c:v>36.726300000001125</c:v>
                </c:pt>
                <c:pt idx="811">
                  <c:v>36.726400000001128</c:v>
                </c:pt>
                <c:pt idx="812">
                  <c:v>36.726500000001131</c:v>
                </c:pt>
                <c:pt idx="813">
                  <c:v>36.726600000001135</c:v>
                </c:pt>
                <c:pt idx="814">
                  <c:v>36.726700000001138</c:v>
                </c:pt>
                <c:pt idx="815">
                  <c:v>36.726800000001141</c:v>
                </c:pt>
                <c:pt idx="816">
                  <c:v>36.726900000001145</c:v>
                </c:pt>
                <c:pt idx="817">
                  <c:v>36.727000000001148</c:v>
                </c:pt>
                <c:pt idx="818">
                  <c:v>36.727100000001151</c:v>
                </c:pt>
                <c:pt idx="819">
                  <c:v>36.727200000001154</c:v>
                </c:pt>
                <c:pt idx="820">
                  <c:v>36.727300000001158</c:v>
                </c:pt>
                <c:pt idx="821">
                  <c:v>36.727400000001161</c:v>
                </c:pt>
                <c:pt idx="822">
                  <c:v>36.727500000001164</c:v>
                </c:pt>
                <c:pt idx="823">
                  <c:v>36.727600000001168</c:v>
                </c:pt>
                <c:pt idx="824">
                  <c:v>36.727700000001171</c:v>
                </c:pt>
                <c:pt idx="825">
                  <c:v>36.727800000001174</c:v>
                </c:pt>
                <c:pt idx="826">
                  <c:v>36.727900000001178</c:v>
                </c:pt>
                <c:pt idx="827">
                  <c:v>36.728000000001181</c:v>
                </c:pt>
                <c:pt idx="828">
                  <c:v>36.728100000001184</c:v>
                </c:pt>
                <c:pt idx="829">
                  <c:v>36.728200000001188</c:v>
                </c:pt>
                <c:pt idx="830">
                  <c:v>36.728300000001191</c:v>
                </c:pt>
                <c:pt idx="831">
                  <c:v>36.728400000001194</c:v>
                </c:pt>
                <c:pt idx="832">
                  <c:v>36.728500000001198</c:v>
                </c:pt>
                <c:pt idx="833">
                  <c:v>36.728600000001201</c:v>
                </c:pt>
                <c:pt idx="834">
                  <c:v>36.728700000001204</c:v>
                </c:pt>
                <c:pt idx="835">
                  <c:v>36.728800000001208</c:v>
                </c:pt>
                <c:pt idx="836">
                  <c:v>36.728900000001211</c:v>
                </c:pt>
                <c:pt idx="837">
                  <c:v>36.729000000001214</c:v>
                </c:pt>
                <c:pt idx="838">
                  <c:v>36.729100000001218</c:v>
                </c:pt>
                <c:pt idx="839">
                  <c:v>36.729200000001221</c:v>
                </c:pt>
                <c:pt idx="840">
                  <c:v>36.729300000001224</c:v>
                </c:pt>
                <c:pt idx="841">
                  <c:v>36.729400000001228</c:v>
                </c:pt>
                <c:pt idx="842">
                  <c:v>36.729500000001231</c:v>
                </c:pt>
                <c:pt idx="843">
                  <c:v>36.729600000001234</c:v>
                </c:pt>
                <c:pt idx="844">
                  <c:v>36.729700000001237</c:v>
                </c:pt>
                <c:pt idx="845">
                  <c:v>36.729800000001241</c:v>
                </c:pt>
                <c:pt idx="846">
                  <c:v>36.729900000001244</c:v>
                </c:pt>
                <c:pt idx="847">
                  <c:v>36.730000000001247</c:v>
                </c:pt>
                <c:pt idx="848">
                  <c:v>36.730100000001251</c:v>
                </c:pt>
                <c:pt idx="849">
                  <c:v>36.730200000001254</c:v>
                </c:pt>
                <c:pt idx="850">
                  <c:v>36.730300000001257</c:v>
                </c:pt>
                <c:pt idx="851">
                  <c:v>36.730400000001261</c:v>
                </c:pt>
                <c:pt idx="852">
                  <c:v>36.730500000001264</c:v>
                </c:pt>
                <c:pt idx="853">
                  <c:v>36.730600000001267</c:v>
                </c:pt>
                <c:pt idx="854">
                  <c:v>36.730700000001271</c:v>
                </c:pt>
                <c:pt idx="855">
                  <c:v>36.730800000001274</c:v>
                </c:pt>
                <c:pt idx="856">
                  <c:v>36.730900000001277</c:v>
                </c:pt>
                <c:pt idx="857">
                  <c:v>36.731000000001281</c:v>
                </c:pt>
                <c:pt idx="858">
                  <c:v>36.731100000001284</c:v>
                </c:pt>
                <c:pt idx="859">
                  <c:v>36.731200000001287</c:v>
                </c:pt>
                <c:pt idx="860">
                  <c:v>36.731300000001291</c:v>
                </c:pt>
                <c:pt idx="861">
                  <c:v>36.731400000001294</c:v>
                </c:pt>
                <c:pt idx="862">
                  <c:v>36.731500000001297</c:v>
                </c:pt>
                <c:pt idx="863">
                  <c:v>36.731600000001301</c:v>
                </c:pt>
                <c:pt idx="864">
                  <c:v>36.731700000001304</c:v>
                </c:pt>
                <c:pt idx="865">
                  <c:v>36.731800000001307</c:v>
                </c:pt>
                <c:pt idx="866">
                  <c:v>36.731900000001311</c:v>
                </c:pt>
                <c:pt idx="867">
                  <c:v>36.732000000001314</c:v>
                </c:pt>
                <c:pt idx="868">
                  <c:v>36.732100000001317</c:v>
                </c:pt>
                <c:pt idx="869">
                  <c:v>36.73220000000132</c:v>
                </c:pt>
                <c:pt idx="870">
                  <c:v>36.732300000001324</c:v>
                </c:pt>
                <c:pt idx="871">
                  <c:v>36.732400000001327</c:v>
                </c:pt>
                <c:pt idx="872">
                  <c:v>36.73250000000133</c:v>
                </c:pt>
                <c:pt idx="873">
                  <c:v>36.732600000001334</c:v>
                </c:pt>
                <c:pt idx="874">
                  <c:v>36.732700000001337</c:v>
                </c:pt>
                <c:pt idx="875">
                  <c:v>36.73280000000134</c:v>
                </c:pt>
                <c:pt idx="876">
                  <c:v>36.732900000001344</c:v>
                </c:pt>
                <c:pt idx="877">
                  <c:v>36.733000000001347</c:v>
                </c:pt>
                <c:pt idx="878">
                  <c:v>36.73310000000135</c:v>
                </c:pt>
                <c:pt idx="879">
                  <c:v>36.733200000001354</c:v>
                </c:pt>
                <c:pt idx="880">
                  <c:v>36.733300000001357</c:v>
                </c:pt>
                <c:pt idx="881">
                  <c:v>36.73340000000136</c:v>
                </c:pt>
                <c:pt idx="882">
                  <c:v>36.733500000001364</c:v>
                </c:pt>
                <c:pt idx="883">
                  <c:v>36.733600000001367</c:v>
                </c:pt>
                <c:pt idx="884">
                  <c:v>36.73370000000137</c:v>
                </c:pt>
                <c:pt idx="885">
                  <c:v>36.733800000001374</c:v>
                </c:pt>
                <c:pt idx="886">
                  <c:v>36.733900000001377</c:v>
                </c:pt>
                <c:pt idx="887">
                  <c:v>36.73400000000138</c:v>
                </c:pt>
                <c:pt idx="888">
                  <c:v>36.734100000001384</c:v>
                </c:pt>
                <c:pt idx="889">
                  <c:v>36.734200000001387</c:v>
                </c:pt>
                <c:pt idx="890">
                  <c:v>36.73430000000139</c:v>
                </c:pt>
                <c:pt idx="891">
                  <c:v>36.734400000001393</c:v>
                </c:pt>
                <c:pt idx="892">
                  <c:v>36.734500000001397</c:v>
                </c:pt>
                <c:pt idx="893">
                  <c:v>36.7346000000014</c:v>
                </c:pt>
                <c:pt idx="894">
                  <c:v>36.734700000001403</c:v>
                </c:pt>
                <c:pt idx="895">
                  <c:v>36.734800000001407</c:v>
                </c:pt>
                <c:pt idx="896">
                  <c:v>36.73490000000141</c:v>
                </c:pt>
                <c:pt idx="897">
                  <c:v>36.735000000001413</c:v>
                </c:pt>
                <c:pt idx="898">
                  <c:v>36.735100000001417</c:v>
                </c:pt>
                <c:pt idx="899">
                  <c:v>36.73520000000142</c:v>
                </c:pt>
                <c:pt idx="900">
                  <c:v>36.735300000001423</c:v>
                </c:pt>
                <c:pt idx="901">
                  <c:v>36.735400000001427</c:v>
                </c:pt>
                <c:pt idx="902">
                  <c:v>36.73550000000143</c:v>
                </c:pt>
                <c:pt idx="903">
                  <c:v>36.735600000001433</c:v>
                </c:pt>
                <c:pt idx="904">
                  <c:v>36.735700000001437</c:v>
                </c:pt>
                <c:pt idx="905">
                  <c:v>36.73580000000144</c:v>
                </c:pt>
                <c:pt idx="906">
                  <c:v>36.735900000001443</c:v>
                </c:pt>
                <c:pt idx="907">
                  <c:v>36.736000000001447</c:v>
                </c:pt>
                <c:pt idx="908">
                  <c:v>36.73610000000145</c:v>
                </c:pt>
                <c:pt idx="909">
                  <c:v>36.736200000001453</c:v>
                </c:pt>
                <c:pt idx="910">
                  <c:v>36.736300000001457</c:v>
                </c:pt>
                <c:pt idx="911">
                  <c:v>36.73640000000146</c:v>
                </c:pt>
                <c:pt idx="912">
                  <c:v>36.736500000001463</c:v>
                </c:pt>
                <c:pt idx="913">
                  <c:v>36.736600000001467</c:v>
                </c:pt>
                <c:pt idx="914">
                  <c:v>36.73670000000147</c:v>
                </c:pt>
                <c:pt idx="915">
                  <c:v>36.736800000001473</c:v>
                </c:pt>
                <c:pt idx="916">
                  <c:v>36.736900000001476</c:v>
                </c:pt>
                <c:pt idx="917">
                  <c:v>36.73700000000148</c:v>
                </c:pt>
                <c:pt idx="918">
                  <c:v>36.737100000001483</c:v>
                </c:pt>
                <c:pt idx="919">
                  <c:v>36.737200000001486</c:v>
                </c:pt>
                <c:pt idx="920">
                  <c:v>36.73730000000149</c:v>
                </c:pt>
                <c:pt idx="921">
                  <c:v>36.737400000001493</c:v>
                </c:pt>
                <c:pt idx="922">
                  <c:v>36.737500000001496</c:v>
                </c:pt>
                <c:pt idx="923">
                  <c:v>36.7376000000015</c:v>
                </c:pt>
                <c:pt idx="924">
                  <c:v>36.737700000001503</c:v>
                </c:pt>
                <c:pt idx="925">
                  <c:v>36.737800000001506</c:v>
                </c:pt>
                <c:pt idx="926">
                  <c:v>36.73790000000151</c:v>
                </c:pt>
                <c:pt idx="927">
                  <c:v>36.738000000001513</c:v>
                </c:pt>
                <c:pt idx="928">
                  <c:v>36.738100000001516</c:v>
                </c:pt>
                <c:pt idx="929">
                  <c:v>36.73820000000152</c:v>
                </c:pt>
                <c:pt idx="930">
                  <c:v>36.738300000001523</c:v>
                </c:pt>
                <c:pt idx="931">
                  <c:v>36.738400000001526</c:v>
                </c:pt>
                <c:pt idx="932">
                  <c:v>36.73850000000153</c:v>
                </c:pt>
                <c:pt idx="933">
                  <c:v>36.738600000001533</c:v>
                </c:pt>
                <c:pt idx="934">
                  <c:v>36.738700000001536</c:v>
                </c:pt>
                <c:pt idx="935">
                  <c:v>36.73880000000154</c:v>
                </c:pt>
                <c:pt idx="936">
                  <c:v>36.738900000001543</c:v>
                </c:pt>
                <c:pt idx="937">
                  <c:v>36.739000000001546</c:v>
                </c:pt>
                <c:pt idx="938">
                  <c:v>36.73910000000155</c:v>
                </c:pt>
                <c:pt idx="939">
                  <c:v>36.739200000001553</c:v>
                </c:pt>
                <c:pt idx="940">
                  <c:v>36.739300000001556</c:v>
                </c:pt>
                <c:pt idx="941">
                  <c:v>36.739400000001559</c:v>
                </c:pt>
                <c:pt idx="942">
                  <c:v>36.739500000001563</c:v>
                </c:pt>
                <c:pt idx="943">
                  <c:v>36.739600000001566</c:v>
                </c:pt>
                <c:pt idx="944">
                  <c:v>36.739700000001569</c:v>
                </c:pt>
                <c:pt idx="945">
                  <c:v>36.739800000001573</c:v>
                </c:pt>
                <c:pt idx="946">
                  <c:v>36.739900000001576</c:v>
                </c:pt>
                <c:pt idx="947">
                  <c:v>36.740000000001579</c:v>
                </c:pt>
                <c:pt idx="948">
                  <c:v>36.740100000001583</c:v>
                </c:pt>
                <c:pt idx="949">
                  <c:v>36.740200000001586</c:v>
                </c:pt>
                <c:pt idx="950">
                  <c:v>36.740300000001589</c:v>
                </c:pt>
                <c:pt idx="951">
                  <c:v>36.740400000001593</c:v>
                </c:pt>
                <c:pt idx="952">
                  <c:v>36.740500000001596</c:v>
                </c:pt>
                <c:pt idx="953">
                  <c:v>36.740600000001599</c:v>
                </c:pt>
                <c:pt idx="954">
                  <c:v>36.740700000001603</c:v>
                </c:pt>
                <c:pt idx="955">
                  <c:v>36.740800000001606</c:v>
                </c:pt>
                <c:pt idx="956">
                  <c:v>36.740900000001609</c:v>
                </c:pt>
                <c:pt idx="957">
                  <c:v>36.741000000001613</c:v>
                </c:pt>
                <c:pt idx="958">
                  <c:v>36.741100000001616</c:v>
                </c:pt>
                <c:pt idx="959">
                  <c:v>36.741200000001619</c:v>
                </c:pt>
                <c:pt idx="960">
                  <c:v>36.741300000001623</c:v>
                </c:pt>
                <c:pt idx="961">
                  <c:v>36.741400000001626</c:v>
                </c:pt>
                <c:pt idx="962">
                  <c:v>36.741500000001629</c:v>
                </c:pt>
                <c:pt idx="963">
                  <c:v>36.741600000001633</c:v>
                </c:pt>
                <c:pt idx="964">
                  <c:v>36.741700000001636</c:v>
                </c:pt>
                <c:pt idx="965">
                  <c:v>36.741800000001639</c:v>
                </c:pt>
                <c:pt idx="966">
                  <c:v>36.741900000001642</c:v>
                </c:pt>
                <c:pt idx="967">
                  <c:v>36.742000000001646</c:v>
                </c:pt>
                <c:pt idx="968">
                  <c:v>36.742100000001649</c:v>
                </c:pt>
                <c:pt idx="969">
                  <c:v>36.742200000001652</c:v>
                </c:pt>
                <c:pt idx="970">
                  <c:v>36.742300000001656</c:v>
                </c:pt>
                <c:pt idx="971">
                  <c:v>36.742400000001659</c:v>
                </c:pt>
                <c:pt idx="972">
                  <c:v>36.742500000001662</c:v>
                </c:pt>
                <c:pt idx="973">
                  <c:v>36.742600000001666</c:v>
                </c:pt>
                <c:pt idx="974">
                  <c:v>36.742700000001669</c:v>
                </c:pt>
                <c:pt idx="975">
                  <c:v>36.742800000001672</c:v>
                </c:pt>
                <c:pt idx="976">
                  <c:v>36.742900000001676</c:v>
                </c:pt>
                <c:pt idx="977">
                  <c:v>36.743000000001679</c:v>
                </c:pt>
                <c:pt idx="978">
                  <c:v>36.743100000001682</c:v>
                </c:pt>
                <c:pt idx="979">
                  <c:v>36.743200000001686</c:v>
                </c:pt>
                <c:pt idx="980">
                  <c:v>36.743300000001689</c:v>
                </c:pt>
                <c:pt idx="981">
                  <c:v>36.743400000001692</c:v>
                </c:pt>
                <c:pt idx="982">
                  <c:v>36.743500000001696</c:v>
                </c:pt>
                <c:pt idx="983">
                  <c:v>36.743600000001699</c:v>
                </c:pt>
                <c:pt idx="984">
                  <c:v>36.743700000001702</c:v>
                </c:pt>
                <c:pt idx="985">
                  <c:v>36.743800000001706</c:v>
                </c:pt>
                <c:pt idx="986">
                  <c:v>36.743900000001709</c:v>
                </c:pt>
                <c:pt idx="987">
                  <c:v>36.744000000001712</c:v>
                </c:pt>
                <c:pt idx="988">
                  <c:v>36.744100000001716</c:v>
                </c:pt>
                <c:pt idx="989">
                  <c:v>36.744200000001719</c:v>
                </c:pt>
                <c:pt idx="990">
                  <c:v>36.744300000001722</c:v>
                </c:pt>
                <c:pt idx="991">
                  <c:v>36.744400000001725</c:v>
                </c:pt>
                <c:pt idx="992">
                  <c:v>36.744500000001729</c:v>
                </c:pt>
                <c:pt idx="993">
                  <c:v>36.744600000001732</c:v>
                </c:pt>
                <c:pt idx="994">
                  <c:v>36.744700000001735</c:v>
                </c:pt>
                <c:pt idx="995">
                  <c:v>36.744800000001739</c:v>
                </c:pt>
                <c:pt idx="996">
                  <c:v>36.744900000001742</c:v>
                </c:pt>
                <c:pt idx="997">
                  <c:v>36.745000000001745</c:v>
                </c:pt>
                <c:pt idx="998">
                  <c:v>36.745100000001749</c:v>
                </c:pt>
                <c:pt idx="999">
                  <c:v>36.745200000001752</c:v>
                </c:pt>
                <c:pt idx="1000">
                  <c:v>36.745300000001755</c:v>
                </c:pt>
              </c:numCache>
            </c:numRef>
          </c:xVal>
          <c:yVal>
            <c:numRef>
              <c:f>Calculs!$AH$4:$AH$1004</c:f>
              <c:numCache>
                <c:formatCode>0.00</c:formatCode>
                <c:ptCount val="1001"/>
                <c:pt idx="0">
                  <c:v>0</c:v>
                </c:pt>
                <c:pt idx="1">
                  <c:v>30.270734573901191</c:v>
                </c:pt>
                <c:pt idx="2">
                  <c:v>114.54960959823251</c:v>
                </c:pt>
                <c:pt idx="3">
                  <c:v>165.92123745766344</c:v>
                </c:pt>
                <c:pt idx="4">
                  <c:v>160.56681761752185</c:v>
                </c:pt>
                <c:pt idx="5">
                  <c:v>155.19801377239958</c:v>
                </c:pt>
                <c:pt idx="6">
                  <c:v>153.09989354635781</c:v>
                </c:pt>
                <c:pt idx="7">
                  <c:v>154.28240331495988</c:v>
                </c:pt>
                <c:pt idx="8">
                  <c:v>155.46582157587565</c:v>
                </c:pt>
                <c:pt idx="9">
                  <c:v>156.65012859467186</c:v>
                </c:pt>
                <c:pt idx="10">
                  <c:v>157.83530424876508</c:v>
                </c:pt>
                <c:pt idx="11">
                  <c:v>158.68028539602773</c:v>
                </c:pt>
                <c:pt idx="12">
                  <c:v>159.18401524735924</c:v>
                </c:pt>
                <c:pt idx="13">
                  <c:v>159.68701933854408</c:v>
                </c:pt>
                <c:pt idx="14">
                  <c:v>160.18928121862024</c:v>
                </c:pt>
                <c:pt idx="15">
                  <c:v>160.69078437069228</c:v>
                </c:pt>
                <c:pt idx="16">
                  <c:v>161.19151221299342</c:v>
                </c:pt>
                <c:pt idx="17">
                  <c:v>161.69144809996632</c:v>
                </c:pt>
                <c:pt idx="18">
                  <c:v>162.19057532336276</c:v>
                </c:pt>
                <c:pt idx="19">
                  <c:v>162.68887711336208</c:v>
                </c:pt>
                <c:pt idx="20">
                  <c:v>163.18633663970866</c:v>
                </c:pt>
                <c:pt idx="21">
                  <c:v>163.54592950767514</c:v>
                </c:pt>
                <c:pt idx="22">
                  <c:v>163.76722828014647</c:v>
                </c:pt>
                <c:pt idx="23">
                  <c:v>163.98703860210853</c:v>
                </c:pt>
                <c:pt idx="24">
                  <c:v>164.20534981968356</c:v>
                </c:pt>
                <c:pt idx="25">
                  <c:v>164.42215132294274</c:v>
                </c:pt>
                <c:pt idx="26">
                  <c:v>164.63743254707063</c:v>
                </c:pt>
                <c:pt idx="27">
                  <c:v>164.85118286069482</c:v>
                </c:pt>
                <c:pt idx="28">
                  <c:v>165.06339165545626</c:v>
                </c:pt>
                <c:pt idx="29">
                  <c:v>165.27404848778684</c:v>
                </c:pt>
                <c:pt idx="30">
                  <c:v>165.48314296441296</c:v>
                </c:pt>
                <c:pt idx="31">
                  <c:v>165.69066474348642</c:v>
                </c:pt>
                <c:pt idx="32">
                  <c:v>165.89660353571736</c:v>
                </c:pt>
                <c:pt idx="33">
                  <c:v>166.10094910551177</c:v>
                </c:pt>
                <c:pt idx="34">
                  <c:v>166.30369127211154</c:v>
                </c:pt>
                <c:pt idx="35">
                  <c:v>166.50481991073755</c:v>
                </c:pt>
                <c:pt idx="36">
                  <c:v>166.70432495373501</c:v>
                </c:pt>
                <c:pt idx="37">
                  <c:v>166.90219639172028</c:v>
                </c:pt>
                <c:pt idx="38">
                  <c:v>167.09842427472893</c:v>
                </c:pt>
                <c:pt idx="39">
                  <c:v>167.29299871336465</c:v>
                </c:pt>
                <c:pt idx="40">
                  <c:v>167.48590987994857</c:v>
                </c:pt>
                <c:pt idx="41">
                  <c:v>167.57023265433548</c:v>
                </c:pt>
                <c:pt idx="42">
                  <c:v>167.5456552614728</c:v>
                </c:pt>
                <c:pt idx="43">
                  <c:v>167.51896380285129</c:v>
                </c:pt>
                <c:pt idx="44">
                  <c:v>167.49015580613982</c:v>
                </c:pt>
                <c:pt idx="45">
                  <c:v>167.45922892420214</c:v>
                </c:pt>
                <c:pt idx="46">
                  <c:v>167.42618093556666</c:v>
                </c:pt>
                <c:pt idx="47">
                  <c:v>167.39100974488144</c:v>
                </c:pt>
                <c:pt idx="48">
                  <c:v>167.35371338335435</c:v>
                </c:pt>
                <c:pt idx="49">
                  <c:v>167.31429000917839</c:v>
                </c:pt>
                <c:pt idx="50">
                  <c:v>167.2727379079418</c:v>
                </c:pt>
                <c:pt idx="51">
                  <c:v>167.22905549302297</c:v>
                </c:pt>
                <c:pt idx="52">
                  <c:v>167.18324130596957</c:v>
                </c:pt>
                <c:pt idx="53">
                  <c:v>167.1352940168623</c:v>
                </c:pt>
                <c:pt idx="54">
                  <c:v>167.08521242466296</c:v>
                </c:pt>
                <c:pt idx="55">
                  <c:v>167.03299545754609</c:v>
                </c:pt>
                <c:pt idx="56">
                  <c:v>166.97864217321535</c:v>
                </c:pt>
                <c:pt idx="57">
                  <c:v>166.92215175920282</c:v>
                </c:pt>
                <c:pt idx="58">
                  <c:v>166.863523533153</c:v>
                </c:pt>
                <c:pt idx="59">
                  <c:v>166.80275694308935</c:v>
                </c:pt>
                <c:pt idx="60">
                  <c:v>166.73985156766523</c:v>
                </c:pt>
                <c:pt idx="61">
                  <c:v>166.67480711639766</c:v>
                </c:pt>
                <c:pt idx="62">
                  <c:v>166.6076234298848</c:v>
                </c:pt>
                <c:pt idx="63">
                  <c:v>166.53830048000609</c:v>
                </c:pt>
                <c:pt idx="64">
                  <c:v>166.46683837010602</c:v>
                </c:pt>
                <c:pt idx="65">
                  <c:v>166.39323733516079</c:v>
                </c:pt>
                <c:pt idx="66">
                  <c:v>166.31749774192772</c:v>
                </c:pt>
                <c:pt idx="67">
                  <c:v>166.23962008907785</c:v>
                </c:pt>
                <c:pt idx="68">
                  <c:v>166.15960500731109</c:v>
                </c:pt>
                <c:pt idx="69">
                  <c:v>166.07745325945459</c:v>
                </c:pt>
                <c:pt idx="70">
                  <c:v>165.99316574054316</c:v>
                </c:pt>
                <c:pt idx="71">
                  <c:v>165.90674347788288</c:v>
                </c:pt>
                <c:pt idx="72">
                  <c:v>165.81818763109732</c:v>
                </c:pt>
                <c:pt idx="73">
                  <c:v>165.72749949215577</c:v>
                </c:pt>
                <c:pt idx="74">
                  <c:v>165.63468048538471</c:v>
                </c:pt>
                <c:pt idx="75">
                  <c:v>165.53973216746141</c:v>
                </c:pt>
                <c:pt idx="76">
                  <c:v>165.44265622739002</c:v>
                </c:pt>
                <c:pt idx="77">
                  <c:v>165.34345448646013</c:v>
                </c:pt>
                <c:pt idx="78">
                  <c:v>165.24212889818787</c:v>
                </c:pt>
                <c:pt idx="79">
                  <c:v>165.13868154823916</c:v>
                </c:pt>
                <c:pt idx="80">
                  <c:v>165.03311465433578</c:v>
                </c:pt>
                <c:pt idx="81">
                  <c:v>164.81616389432799</c:v>
                </c:pt>
                <c:pt idx="82">
                  <c:v>164.48758115500556</c:v>
                </c:pt>
                <c:pt idx="83">
                  <c:v>164.15657478561855</c:v>
                </c:pt>
                <c:pt idx="84">
                  <c:v>163.82315685123308</c:v>
                </c:pt>
                <c:pt idx="85">
                  <c:v>163.48733956935229</c:v>
                </c:pt>
                <c:pt idx="86">
                  <c:v>163.14913530837879</c:v>
                </c:pt>
                <c:pt idx="87">
                  <c:v>162.80855658605645</c:v>
                </c:pt>
                <c:pt idx="88">
                  <c:v>162.46561606789135</c:v>
                </c:pt>
                <c:pt idx="89">
                  <c:v>162.12032656555246</c:v>
                </c:pt>
                <c:pt idx="90">
                  <c:v>161.77270103525265</c:v>
                </c:pt>
                <c:pt idx="91">
                  <c:v>161.37439382412987</c:v>
                </c:pt>
                <c:pt idx="92">
                  <c:v>160.92531622369768</c:v>
                </c:pt>
                <c:pt idx="93">
                  <c:v>160.47382171147621</c:v>
                </c:pt>
                <c:pt idx="94">
                  <c:v>160.01992838265957</c:v>
                </c:pt>
                <c:pt idx="95">
                  <c:v>159.56365446845987</c:v>
                </c:pt>
                <c:pt idx="96">
                  <c:v>159.10501833364651</c:v>
                </c:pt>
                <c:pt idx="97">
                  <c:v>158.64403847407038</c:v>
                </c:pt>
                <c:pt idx="98">
                  <c:v>158.18073351417326</c:v>
                </c:pt>
                <c:pt idx="99">
                  <c:v>157.71512220448338</c:v>
                </c:pt>
                <c:pt idx="100">
                  <c:v>157.24722341909717</c:v>
                </c:pt>
                <c:pt idx="101">
                  <c:v>156.76930830367911</c:v>
                </c:pt>
                <c:pt idx="102">
                  <c:v>156.28138118754913</c:v>
                </c:pt>
                <c:pt idx="103">
                  <c:v>155.79120750975687</c:v>
                </c:pt>
                <c:pt idx="104">
                  <c:v>155.29880736778713</c:v>
                </c:pt>
                <c:pt idx="105">
                  <c:v>154.80420096887502</c:v>
                </c:pt>
                <c:pt idx="106">
                  <c:v>154.30740862729814</c:v>
                </c:pt>
                <c:pt idx="107">
                  <c:v>153.80845076165991</c:v>
                </c:pt>
                <c:pt idx="108">
                  <c:v>153.30734789216524</c:v>
                </c:pt>
                <c:pt idx="109">
                  <c:v>152.80412063788899</c:v>
                </c:pt>
                <c:pt idx="110">
                  <c:v>152.2987897140375</c:v>
                </c:pt>
                <c:pt idx="111">
                  <c:v>151.88072786589771</c:v>
                </c:pt>
                <c:pt idx="112">
                  <c:v>151.55010893675728</c:v>
                </c:pt>
                <c:pt idx="113">
                  <c:v>151.21760611857042</c:v>
                </c:pt>
                <c:pt idx="114">
                  <c:v>150.88323228930756</c:v>
                </c:pt>
                <c:pt idx="115">
                  <c:v>150.54700042297353</c:v>
                </c:pt>
                <c:pt idx="116">
                  <c:v>150.20892358806876</c:v>
                </c:pt>
                <c:pt idx="117">
                  <c:v>149.86901494604066</c:v>
                </c:pt>
                <c:pt idx="118">
                  <c:v>149.52728774972582</c:v>
                </c:pt>
                <c:pt idx="119">
                  <c:v>149.18375534178332</c:v>
                </c:pt>
                <c:pt idx="120">
                  <c:v>148.83843115311944</c:v>
                </c:pt>
                <c:pt idx="121">
                  <c:v>148.342887594725</c:v>
                </c:pt>
                <c:pt idx="122">
                  <c:v>147.69690899676567</c:v>
                </c:pt>
                <c:pt idx="123">
                  <c:v>147.04896643202849</c:v>
                </c:pt>
                <c:pt idx="124">
                  <c:v>146.3990877088643</c:v>
                </c:pt>
                <c:pt idx="125">
                  <c:v>145.747300675063</c:v>
                </c:pt>
                <c:pt idx="126">
                  <c:v>145.0936332141174</c:v>
                </c:pt>
                <c:pt idx="127">
                  <c:v>144.43811324150033</c:v>
                </c:pt>
                <c:pt idx="128">
                  <c:v>143.78076870095521</c:v>
                </c:pt>
                <c:pt idx="129">
                  <c:v>143.12162756080028</c:v>
                </c:pt>
                <c:pt idx="130">
                  <c:v>142.4607178102485</c:v>
                </c:pt>
                <c:pt idx="131">
                  <c:v>141.75914337188598</c:v>
                </c:pt>
                <c:pt idx="132">
                  <c:v>141.01688109355263</c:v>
                </c:pt>
                <c:pt idx="133">
                  <c:v>140.27289476056649</c:v>
                </c:pt>
                <c:pt idx="134">
                  <c:v>139.52721642730538</c:v>
                </c:pt>
                <c:pt idx="135">
                  <c:v>138.77987813007937</c:v>
                </c:pt>
                <c:pt idx="136">
                  <c:v>138.03091188293109</c:v>
                </c:pt>
                <c:pt idx="137">
                  <c:v>137.28034967346576</c:v>
                </c:pt>
                <c:pt idx="138">
                  <c:v>136.52822345871138</c:v>
                </c:pt>
                <c:pt idx="139">
                  <c:v>135.77456516101026</c:v>
                </c:pt>
                <c:pt idx="140">
                  <c:v>135.0194066639429</c:v>
                </c:pt>
                <c:pt idx="141">
                  <c:v>133.79665888184857</c:v>
                </c:pt>
                <c:pt idx="142">
                  <c:v>132.10586033301416</c:v>
                </c:pt>
                <c:pt idx="143">
                  <c:v>130.41340297702726</c:v>
                </c:pt>
                <c:pt idx="144">
                  <c:v>128.71937880816409</c:v>
                </c:pt>
                <c:pt idx="145">
                  <c:v>127.02387924049286</c:v>
                </c:pt>
                <c:pt idx="146">
                  <c:v>125.32699509318851</c:v>
                </c:pt>
                <c:pt idx="147">
                  <c:v>123.62881657615952</c:v>
                </c:pt>
                <c:pt idx="148">
                  <c:v>121.92943327598933</c:v>
                </c:pt>
                <c:pt idx="149">
                  <c:v>120.22893414219347</c:v>
                </c:pt>
                <c:pt idx="150">
                  <c:v>118.52740747379517</c:v>
                </c:pt>
                <c:pt idx="151">
                  <c:v>116.82494090622002</c:v>
                </c:pt>
                <c:pt idx="152">
                  <c:v>115.12162139851186</c:v>
                </c:pt>
                <c:pt idx="153">
                  <c:v>113.41753522087055</c:v>
                </c:pt>
                <c:pt idx="154">
                  <c:v>111.71276794251308</c:v>
                </c:pt>
                <c:pt idx="155">
                  <c:v>110.00740441985856</c:v>
                </c:pt>
                <c:pt idx="156">
                  <c:v>106.08950566881617</c:v>
                </c:pt>
                <c:pt idx="157">
                  <c:v>99.958428131849772</c:v>
                </c:pt>
                <c:pt idx="158">
                  <c:v>93.828640092977508</c:v>
                </c:pt>
                <c:pt idx="159">
                  <c:v>87.700821945868341</c:v>
                </c:pt>
                <c:pt idx="160">
                  <c:v>81.575643760246152</c:v>
                </c:pt>
                <c:pt idx="161">
                  <c:v>72.640101531868737</c:v>
                </c:pt>
                <c:pt idx="162">
                  <c:v>60.896308073837744</c:v>
                </c:pt>
                <c:pt idx="163">
                  <c:v>49.431631903905995</c:v>
                </c:pt>
                <c:pt idx="164">
                  <c:v>38.247924863033333</c:v>
                </c:pt>
                <c:pt idx="165">
                  <c:v>29.766821572120335</c:v>
                </c:pt>
                <c:pt idx="166">
                  <c:v>23.98641362267324</c:v>
                </c:pt>
                <c:pt idx="167">
                  <c:v>16.170435702900615</c:v>
                </c:pt>
                <c:pt idx="168">
                  <c:v>7.801564273978868</c:v>
                </c:pt>
                <c:pt idx="169">
                  <c:v>-4.7744896810115121</c:v>
                </c:pt>
                <c:pt idx="170">
                  <c:v>-18.589885722544125</c:v>
                </c:pt>
                <c:pt idx="171">
                  <c:v>-23.233975414935937</c:v>
                </c:pt>
                <c:pt idx="172">
                  <c:v>-23.162521716129586</c:v>
                </c:pt>
                <c:pt idx="173">
                  <c:v>-23.091345055014752</c:v>
                </c:pt>
                <c:pt idx="174">
                  <c:v>-23.020444002644847</c:v>
                </c:pt>
                <c:pt idx="175">
                  <c:v>-22.949817139369383</c:v>
                </c:pt>
                <c:pt idx="176">
                  <c:v>-22.879463054761157</c:v>
                </c:pt>
                <c:pt idx="177">
                  <c:v>-22.809380347544188</c:v>
                </c:pt>
                <c:pt idx="178">
                  <c:v>-22.739567625522238</c:v>
                </c:pt>
                <c:pt idx="179">
                  <c:v>-22.670023505507952</c:v>
                </c:pt>
                <c:pt idx="180">
                  <c:v>-22.600746613252767</c:v>
                </c:pt>
                <c:pt idx="181">
                  <c:v>-22.53173558337739</c:v>
                </c:pt>
                <c:pt idx="182">
                  <c:v>-22.462989059302824</c:v>
                </c:pt>
                <c:pt idx="183">
                  <c:v>-22.394505693182225</c:v>
                </c:pt>
                <c:pt idx="184">
                  <c:v>-22.326284145833149</c:v>
                </c:pt>
                <c:pt idx="185">
                  <c:v>-22.258323086670611</c:v>
                </c:pt>
                <c:pt idx="186">
                  <c:v>-22.190621193640574</c:v>
                </c:pt>
                <c:pt idx="187">
                  <c:v>-22.123177153154181</c:v>
                </c:pt>
                <c:pt idx="188">
                  <c:v>-22.055989660022508</c:v>
                </c:pt>
                <c:pt idx="189">
                  <c:v>-21.989057417391912</c:v>
                </c:pt>
                <c:pt idx="190">
                  <c:v>-21.922379136679982</c:v>
                </c:pt>
                <c:pt idx="191">
                  <c:v>-21.855953537512033</c:v>
                </c:pt>
                <c:pt idx="192">
                  <c:v>-21.789779347658225</c:v>
                </c:pt>
                <c:pt idx="193">
                  <c:v>-21.723855302971142</c:v>
                </c:pt>
                <c:pt idx="194">
                  <c:v>-21.658180147324082</c:v>
                </c:pt>
                <c:pt idx="195">
                  <c:v>-21.592752632549733</c:v>
                </c:pt>
                <c:pt idx="196">
                  <c:v>-21.527571518379567</c:v>
                </c:pt>
                <c:pt idx="197">
                  <c:v>-21.462635572383594</c:v>
                </c:pt>
                <c:pt idx="198">
                  <c:v>-21.397943569910801</c:v>
                </c:pt>
                <c:pt idx="199">
                  <c:v>-21.333494294030043</c:v>
                </c:pt>
                <c:pt idx="200">
                  <c:v>-21.269286535471476</c:v>
                </c:pt>
                <c:pt idx="201">
                  <c:v>-21.205319092568523</c:v>
                </c:pt>
                <c:pt idx="202">
                  <c:v>-20.573238289318624</c:v>
                </c:pt>
                <c:pt idx="203">
                  <c:v>-19.96438960479594</c:v>
                </c:pt>
                <c:pt idx="204">
                  <c:v>-19.377650166530671</c:v>
                </c:pt>
                <c:pt idx="205">
                  <c:v>-18.811964975691499</c:v>
                </c:pt>
                <c:pt idx="206">
                  <c:v>-18.266342017174448</c:v>
                </c:pt>
                <c:pt idx="207">
                  <c:v>-17.739847777658106</c:v>
                </c:pt>
                <c:pt idx="208">
                  <c:v>-17.231603133056812</c:v>
                </c:pt>
                <c:pt idx="209">
                  <c:v>-16.74077957086887</c:v>
                </c:pt>
                <c:pt idx="210">
                  <c:v>-16.266595716509588</c:v>
                </c:pt>
                <c:pt idx="211">
                  <c:v>-15.80831413590051</c:v>
                </c:pt>
                <c:pt idx="212">
                  <c:v>-15.365238389407258</c:v>
                </c:pt>
                <c:pt idx="213">
                  <c:v>-14.936710314723161</c:v>
                </c:pt>
                <c:pt idx="214">
                  <c:v>-14.522107518523313</c:v>
                </c:pt>
                <c:pt idx="215">
                  <c:v>-14.120841058697369</c:v>
                </c:pt>
                <c:pt idx="216">
                  <c:v>-13.732353300738094</c:v>
                </c:pt>
                <c:pt idx="217">
                  <c:v>-13.356115933442133</c:v>
                </c:pt>
                <c:pt idx="218">
                  <c:v>-12.991628130491161</c:v>
                </c:pt>
                <c:pt idx="219">
                  <c:v>-12.638414845746006</c:v>
                </c:pt>
                <c:pt idx="220">
                  <c:v>-12.296025231218884</c:v>
                </c:pt>
                <c:pt idx="221">
                  <c:v>-11.964031167705759</c:v>
                </c:pt>
                <c:pt idx="222">
                  <c:v>-11.642025898974206</c:v>
                </c:pt>
                <c:pt idx="223">
                  <c:v>-11.329622761223858</c:v>
                </c:pt>
                <c:pt idx="224">
                  <c:v>-11.026454000276296</c:v>
                </c:pt>
                <c:pt idx="225">
                  <c:v>-10.732169669618303</c:v>
                </c:pt>
                <c:pt idx="226">
                  <c:v>-10.446436603024477</c:v>
                </c:pt>
                <c:pt idx="227">
                  <c:v>-10.16893745602898</c:v>
                </c:pt>
                <c:pt idx="228">
                  <c:v>-9.8993698110080981</c:v>
                </c:pt>
                <c:pt idx="229">
                  <c:v>-9.6374453410805376</c:v>
                </c:pt>
                <c:pt idx="230">
                  <c:v>-9.382889028436189</c:v>
                </c:pt>
                <c:pt idx="231">
                  <c:v>-9.1354384330698242</c:v>
                </c:pt>
                <c:pt idx="232">
                  <c:v>-8.8948430082287917</c:v>
                </c:pt>
                <c:pt idx="233">
                  <c:v>-8.660863459185947</c:v>
                </c:pt>
                <c:pt idx="234">
                  <c:v>-8.433271142223612</c:v>
                </c:pt>
                <c:pt idx="235">
                  <c:v>-8.21184750096484</c:v>
                </c:pt>
                <c:pt idx="236">
                  <c:v>-7.9963835374162242</c:v>
                </c:pt>
                <c:pt idx="237">
                  <c:v>-7.7866793152943474</c:v>
                </c:pt>
                <c:pt idx="238">
                  <c:v>-7.5825434933981111</c:v>
                </c:pt>
                <c:pt idx="239">
                  <c:v>-7.38379288696248</c:v>
                </c:pt>
                <c:pt idx="240">
                  <c:v>-7.1902520550878855</c:v>
                </c:pt>
                <c:pt idx="241">
                  <c:v>-7.0017529124846947</c:v>
                </c:pt>
                <c:pt idx="242">
                  <c:v>-6.8181343639052834</c:v>
                </c:pt>
                <c:pt idx="243">
                  <c:v>-6.6392419597578121</c:v>
                </c:pt>
                <c:pt idx="244">
                  <c:v>-6.4649275715079941</c:v>
                </c:pt>
                <c:pt idx="245">
                  <c:v>-6.2950490855775305</c:v>
                </c:pt>
                <c:pt idx="246">
                  <c:v>-6.1294701145422827</c:v>
                </c:pt>
                <c:pt idx="247">
                  <c:v>-5.9680597245198941</c:v>
                </c:pt>
                <c:pt idx="248">
                  <c:v>-5.8106921777164509</c:v>
                </c:pt>
                <c:pt idx="249">
                  <c:v>-5.6572466891750208</c:v>
                </c:pt>
                <c:pt idx="250">
                  <c:v>-5.5076071968367337</c:v>
                </c:pt>
                <c:pt idx="251">
                  <c:v>-5.3616621440873082</c:v>
                </c:pt>
                <c:pt idx="252">
                  <c:v>-5.2193042740195787</c:v>
                </c:pt>
                <c:pt idx="253">
                  <c:v>-5.0804304346956108</c:v>
                </c:pt>
                <c:pt idx="254">
                  <c:v>-4.944941394741071</c:v>
                </c:pt>
                <c:pt idx="255">
                  <c:v>-4.8127416686499371</c:v>
                </c:pt>
                <c:pt idx="256">
                  <c:v>-4.6837393512195131</c:v>
                </c:pt>
                <c:pt idx="257">
                  <c:v>-4.5578459605745536</c:v>
                </c:pt>
                <c:pt idx="258">
                  <c:v>-4.4349762892753084</c:v>
                </c:pt>
                <c:pt idx="259">
                  <c:v>-4.3150482630374993</c:v>
                </c:pt>
                <c:pt idx="260">
                  <c:v>-4.1979828066232807</c:v>
                </c:pt>
                <c:pt idx="261">
                  <c:v>-4.0837037164907271</c:v>
                </c:pt>
                <c:pt idx="262">
                  <c:v>-3.9721375398161243</c:v>
                </c:pt>
                <c:pt idx="263">
                  <c:v>-3.8632134595279628</c:v>
                </c:pt>
                <c:pt idx="264">
                  <c:v>-3.7568631850144945</c:v>
                </c:pt>
                <c:pt idx="265">
                  <c:v>-3.6530208481880799</c:v>
                </c:pt>
                <c:pt idx="266">
                  <c:v>-3.5516229046094026</c:v>
                </c:pt>
                <c:pt idx="267">
                  <c:v>-3.4526080393930694</c:v>
                </c:pt>
                <c:pt idx="268">
                  <c:v>-3.3559170776333658</c:v>
                </c:pt>
                <c:pt idx="269">
                  <c:v>-3.2614928991049319</c:v>
                </c:pt>
                <c:pt idx="270">
                  <c:v>-3.1692803570080978</c:v>
                </c:pt>
                <c:pt idx="271">
                  <c:v>-3.0792262005425308</c:v>
                </c:pt>
                <c:pt idx="272">
                  <c:v>-2.991279001105859</c:v>
                </c:pt>
                <c:pt idx="273">
                  <c:v>-2.9053890819260673</c:v>
                </c:pt>
                <c:pt idx="274">
                  <c:v>-2.8215084509478303</c:v>
                </c:pt>
                <c:pt idx="275">
                  <c:v>-2.7395907368034815</c:v>
                </c:pt>
                <c:pt idx="276">
                  <c:v>-2.6595911277092821</c:v>
                </c:pt>
                <c:pt idx="277">
                  <c:v>-2.5814663131368722</c:v>
                </c:pt>
                <c:pt idx="278">
                  <c:v>-2.5051744281184671</c:v>
                </c:pt>
                <c:pt idx="279">
                  <c:v>-2.4306750000524704</c:v>
                </c:pt>
                <c:pt idx="280">
                  <c:v>-2.3579288978837698</c:v>
                </c:pt>
                <c:pt idx="281">
                  <c:v>-2.2868982835400811</c:v>
                </c:pt>
                <c:pt idx="282">
                  <c:v>-2.2175465655123907</c:v>
                </c:pt>
                <c:pt idx="283">
                  <c:v>-2.1498383544737818</c:v>
                </c:pt>
                <c:pt idx="284">
                  <c:v>-2.0837394208367988</c:v>
                </c:pt>
                <c:pt idx="285">
                  <c:v>-2.0192166541549805</c:v>
                </c:pt>
                <c:pt idx="286">
                  <c:v>-1.9562380242793624</c:v>
                </c:pt>
                <c:pt idx="287">
                  <c:v>-1.8947725441856107</c:v>
                </c:pt>
                <c:pt idx="288">
                  <c:v>-1.834790234391926</c:v>
                </c:pt>
                <c:pt idx="289">
                  <c:v>-1.7762620888922098</c:v>
                </c:pt>
                <c:pt idx="290">
                  <c:v>-1.7191600425329141</c:v>
                </c:pt>
                <c:pt idx="291">
                  <c:v>-1.6634569397657948</c:v>
                </c:pt>
                <c:pt idx="292">
                  <c:v>-1.6091265047123322</c:v>
                </c:pt>
                <c:pt idx="293">
                  <c:v>-1.5561433124788568</c:v>
                </c:pt>
                <c:pt idx="294">
                  <c:v>-1.5044827616645848</c:v>
                </c:pt>
                <c:pt idx="295">
                  <c:v>-1.454121048007663</c:v>
                </c:pt>
                <c:pt idx="296">
                  <c:v>-1.4050351391170632</c:v>
                </c:pt>
                <c:pt idx="297">
                  <c:v>-1.3572027502407678</c:v>
                </c:pt>
                <c:pt idx="298">
                  <c:v>-1.3106023210230877</c:v>
                </c:pt>
                <c:pt idx="299">
                  <c:v>-1.2652129932062071</c:v>
                </c:pt>
                <c:pt idx="300">
                  <c:v>-1.2210145892331825</c:v>
                </c:pt>
                <c:pt idx="301">
                  <c:v>-1.1779875917115945</c:v>
                </c:pt>
                <c:pt idx="302">
                  <c:v>-1.1361131236988851</c:v>
                </c:pt>
                <c:pt idx="303">
                  <c:v>-1.0953729297721533</c:v>
                </c:pt>
                <c:pt idx="304">
                  <c:v>-1.0557493578467403</c:v>
                </c:pt>
                <c:pt idx="305">
                  <c:v>-1.0172253417094472</c:v>
                </c:pt>
                <c:pt idx="306">
                  <c:v>-0.97978438423355063</c:v>
                </c:pt>
                <c:pt idx="307">
                  <c:v>-0.94341054124404422</c:v>
                </c:pt>
                <c:pt idx="308">
                  <c:v>-0.90808840600265139</c:v>
                </c:pt>
                <c:pt idx="309">
                  <c:v>-0.87380309428317959</c:v>
                </c:pt>
                <c:pt idx="310">
                  <c:v>-0.84054023000867817</c:v>
                </c:pt>
                <c:pt idx="311">
                  <c:v>-0.80828593142267335</c:v>
                </c:pt>
                <c:pt idx="312">
                  <c:v>-0.77702679776740635</c:v>
                </c:pt>
                <c:pt idx="313">
                  <c:v>-0.74674989644259326</c:v>
                </c:pt>
                <c:pt idx="314">
                  <c:v>-0.71744275061863982</c:v>
                </c:pt>
                <c:pt idx="315">
                  <c:v>-0.68909332727859118</c:v>
                </c:pt>
                <c:pt idx="316">
                  <c:v>-0.66169002566328061</c:v>
                </c:pt>
                <c:pt idx="317">
                  <c:v>-0.63522166609421393</c:v>
                </c:pt>
                <c:pt idx="318">
                  <c:v>-0.60967747914866177</c:v>
                </c:pt>
                <c:pt idx="319">
                  <c:v>-0.58504709516122666</c:v>
                </c:pt>
                <c:pt idx="320">
                  <c:v>-0.56132053402580484</c:v>
                </c:pt>
                <c:pt idx="321">
                  <c:v>-0.53848819527137592</c:v>
                </c:pt>
                <c:pt idx="322">
                  <c:v>-0.51654084838440328</c:v>
                </c:pt>
                <c:pt idx="323">
                  <c:v>-0.49546962334985378</c:v>
                </c:pt>
                <c:pt idx="324">
                  <c:v>-0.47526600138190339</c:v>
                </c:pt>
                <c:pt idx="325">
                  <c:v>-0.45592180581432695</c:v>
                </c:pt>
                <c:pt idx="326">
                  <c:v>-0.43742919311937961</c:v>
                </c:pt>
                <c:pt idx="327">
                  <c:v>-0.41978064402267662</c:v>
                </c:pt>
                <c:pt idx="328">
                  <c:v>-0.40296895468019939</c:v>
                </c:pt>
                <c:pt idx="329">
                  <c:v>-0.38698722788216222</c:v>
                </c:pt>
                <c:pt idx="330">
                  <c:v>-0.3718288642470669</c:v>
                </c:pt>
                <c:pt idx="331">
                  <c:v>-0.35748755336800375</c:v>
                </c:pt>
                <c:pt idx="332">
                  <c:v>-0.34395726487212896</c:v>
                </c:pt>
                <c:pt idx="333">
                  <c:v>-0.33123223935344115</c:v>
                </c:pt>
                <c:pt idx="334">
                  <c:v>-0.31930697913858985</c:v>
                </c:pt>
                <c:pt idx="335">
                  <c:v>-0.30817623884563455</c:v>
                </c:pt>
                <c:pt idx="336">
                  <c:v>-0.29783501569661014</c:v>
                </c:pt>
                <c:pt idx="337">
                  <c:v>-0.28827853954662302</c:v>
                </c:pt>
                <c:pt idx="338">
                  <c:v>-0.2795022625951844</c:v>
                </c:pt>
                <c:pt idx="339">
                  <c:v>-0.27150184874975736</c:v>
                </c:pt>
                <c:pt idx="340">
                  <c:v>-0.26427316261721123</c:v>
                </c:pt>
                <c:pt idx="341">
                  <c:v>-0.2578122581061173</c:v>
                </c:pt>
                <c:pt idx="342">
                  <c:v>-0.2521153666316287</c:v>
                </c:pt>
                <c:pt idx="343">
                  <c:v>-0.24717888492499035</c:v>
                </c:pt>
                <c:pt idx="344">
                  <c:v>-0.242999362461326</c:v>
                </c:pt>
                <c:pt idx="345">
                  <c:v>-0.23957348853195792</c:v>
                </c:pt>
                <c:pt idx="346">
                  <c:v>-0.23689807900065846</c:v>
                </c:pt>
                <c:pt idx="347">
                  <c:v>-0.23497006279638163</c:v>
                </c:pt>
                <c:pt idx="348">
                  <c:v>-0.23378646820750248</c:v>
                </c:pt>
                <c:pt idx="349">
                  <c:v>-0.23334440905374471</c:v>
                </c:pt>
                <c:pt idx="350">
                  <c:v>-0.23364107082110808</c:v>
                </c:pt>
                <c:pt idx="351">
                  <c:v>-0.23467369685166861</c:v>
                </c:pt>
                <c:pt idx="352">
                  <c:v>-0.23643957468364665</c:v>
                </c:pt>
                <c:pt idx="353">
                  <c:v>-0.23893602263742122</c:v>
                </c:pt>
                <c:pt idx="354">
                  <c:v>-0.24216037674015653</c:v>
                </c:pt>
                <c:pt idx="355">
                  <c:v>-0.2461099780756556</c:v>
                </c:pt>
                <c:pt idx="356">
                  <c:v>-0.25078216063732767</c:v>
                </c:pt>
                <c:pt idx="357">
                  <c:v>-0.25617423975137499</c:v>
                </c:pt>
                <c:pt idx="358">
                  <c:v>-0.26228350112507232</c:v>
                </c:pt>
                <c:pt idx="359">
                  <c:v>-0.26910719056208399</c:v>
                </c:pt>
                <c:pt idx="360">
                  <c:v>-0.2766425043737375</c:v>
                </c:pt>
                <c:pt idx="361">
                  <c:v>-0.28488658050268728</c:v>
                </c:pt>
                <c:pt idx="362">
                  <c:v>-0.29383649036386394</c:v>
                </c:pt>
                <c:pt idx="363">
                  <c:v>-0.30348923139740064</c:v>
                </c:pt>
                <c:pt idx="364">
                  <c:v>-0.31384172031951929</c:v>
                </c:pt>
                <c:pt idx="365">
                  <c:v>-0.32489078705024871</c:v>
                </c:pt>
                <c:pt idx="366">
                  <c:v>-0.33663316929131948</c:v>
                </c:pt>
                <c:pt idx="367">
                  <c:v>-0.34906550772352701</c:v>
                </c:pt>
                <c:pt idx="368">
                  <c:v>-0.36218434179013848</c:v>
                </c:pt>
                <c:pt idx="369">
                  <c:v>-0.37598610603138355</c:v>
                </c:pt>
                <c:pt idx="370">
                  <c:v>-0.39046712693447089</c:v>
                </c:pt>
                <c:pt idx="371">
                  <c:v>-0.40562362026380017</c:v>
                </c:pt>
                <c:pt idx="372">
                  <c:v>-0.42145168883685358</c:v>
                </c:pt>
                <c:pt idx="373">
                  <c:v>-0.43794732071252157</c:v>
                </c:pt>
                <c:pt idx="374">
                  <c:v>-0.45510638776023354</c:v>
                </c:pt>
                <c:pt idx="375">
                  <c:v>-0.47292464458004768</c:v>
                </c:pt>
                <c:pt idx="376">
                  <c:v>-0.49139772774578944</c:v>
                </c:pt>
                <c:pt idx="377">
                  <c:v>-0.51052115534527898</c:v>
                </c:pt>
                <c:pt idx="378">
                  <c:v>-0.53029032679364496</c:v>
                </c:pt>
                <c:pt idx="379">
                  <c:v>-0.5507005228976013</c:v>
                </c:pt>
                <c:pt idx="380">
                  <c:v>-0.57174690615039192</c:v>
                </c:pt>
                <c:pt idx="381">
                  <c:v>-0.59342452123879663</c:v>
                </c:pt>
                <c:pt idx="382">
                  <c:v>-0.61572829574519994</c:v>
                </c:pt>
                <c:pt idx="383">
                  <c:v>-0.63865304102919351</c:v>
                </c:pt>
                <c:pt idx="384">
                  <c:v>-0.66219345327453871</c:v>
                </c:pt>
                <c:pt idx="385">
                  <c:v>-0.68634411468855738</c:v>
                </c:pt>
                <c:pt idx="386">
                  <c:v>-0.71109949484214485</c:v>
                </c:pt>
                <c:pt idx="387">
                  <c:v>-0.73645395213961318</c:v>
                </c:pt>
                <c:pt idx="388">
                  <c:v>-0.76240173540850575</c:v>
                </c:pt>
                <c:pt idx="389">
                  <c:v>-0.7889369856003392</c:v>
                </c:pt>
                <c:pt idx="390">
                  <c:v>-0.81605373759398403</c:v>
                </c:pt>
                <c:pt idx="391">
                  <c:v>-0.84374592209405597</c:v>
                </c:pt>
                <c:pt idx="392">
                  <c:v>-0.87200736761729181</c:v>
                </c:pt>
                <c:pt idx="393">
                  <c:v>-0.90083180256041884</c:v>
                </c:pt>
                <c:pt idx="394">
                  <c:v>-0.93021285734350123</c:v>
                </c:pt>
                <c:pt idx="395">
                  <c:v>-0.96014406662317486</c:v>
                </c:pt>
                <c:pt idx="396">
                  <c:v>-0.99061887157057948</c:v>
                </c:pt>
                <c:pt idx="397">
                  <c:v>-1.0216306222091094</c:v>
                </c:pt>
                <c:pt idx="398">
                  <c:v>-1.0531725798074376</c:v>
                </c:pt>
                <c:pt idx="399">
                  <c:v>-1.0852379193235306</c:v>
                </c:pt>
                <c:pt idx="400">
                  <c:v>-1.1178197318956167</c:v>
                </c:pt>
                <c:pt idx="401">
                  <c:v>-1.1509110273762868</c:v>
                </c:pt>
                <c:pt idx="402">
                  <c:v>-1.1845047369061308</c:v>
                </c:pt>
                <c:pt idx="403">
                  <c:v>-1.2185937155234405</c:v>
                </c:pt>
                <c:pt idx="404">
                  <c:v>-1.2531707448067306</c:v>
                </c:pt>
                <c:pt idx="405">
                  <c:v>-1.2882285355469349</c:v>
                </c:pt>
                <c:pt idx="406">
                  <c:v>-1.3237597304462794</c:v>
                </c:pt>
                <c:pt idx="407">
                  <c:v>-1.3597569068409576</c:v>
                </c:pt>
                <c:pt idx="408">
                  <c:v>-1.3962125794448466</c:v>
                </c:pt>
                <c:pt idx="409">
                  <c:v>-1.4331192031115878</c:v>
                </c:pt>
                <c:pt idx="410">
                  <c:v>-1.4704691756124775</c:v>
                </c:pt>
                <c:pt idx="411">
                  <c:v>-1.5082548404276608</c:v>
                </c:pt>
                <c:pt idx="412">
                  <c:v>-1.5464684895482468</c:v>
                </c:pt>
                <c:pt idx="413">
                  <c:v>-1.5851023662869945</c:v>
                </c:pt>
                <c:pt idx="414">
                  <c:v>-1.6241486680953268</c:v>
                </c:pt>
                <c:pt idx="415">
                  <c:v>-1.6635995493844651</c:v>
                </c:pt>
                <c:pt idx="416">
                  <c:v>-1.7034471243485618</c:v>
                </c:pt>
                <c:pt idx="417">
                  <c:v>-1.7436834697877548</c:v>
                </c:pt>
                <c:pt idx="418">
                  <c:v>-1.7843006279291302</c:v>
                </c:pt>
                <c:pt idx="419">
                  <c:v>-1.8252906092436345</c:v>
                </c:pt>
                <c:pt idx="420">
                  <c:v>-1.8666453952570246</c:v>
                </c:pt>
                <c:pt idx="421">
                  <c:v>-1.9083569413530028</c:v>
                </c:pt>
                <c:pt idx="422">
                  <c:v>-1.9504171795667271</c:v>
                </c:pt>
                <c:pt idx="423">
                  <c:v>-1.9928180213669375</c:v>
                </c:pt>
                <c:pt idx="424">
                  <c:v>-2.0355513604249906</c:v>
                </c:pt>
                <c:pt idx="425">
                  <c:v>-2.0786090753691306</c:v>
                </c:pt>
                <c:pt idx="426">
                  <c:v>-2.1219830325223752</c:v>
                </c:pt>
                <c:pt idx="427">
                  <c:v>-2.165665088622458</c:v>
                </c:pt>
                <c:pt idx="428">
                  <c:v>-2.2096470935222761</c:v>
                </c:pt>
                <c:pt idx="429">
                  <c:v>-2.2539208928693713</c:v>
                </c:pt>
                <c:pt idx="430">
                  <c:v>-2.2984783307629844</c:v>
                </c:pt>
                <c:pt idx="431">
                  <c:v>-2.3433112523873225</c:v>
                </c:pt>
                <c:pt idx="432">
                  <c:v>-2.3884115066196245</c:v>
                </c:pt>
                <c:pt idx="433">
                  <c:v>-2.4337709486117705</c:v>
                </c:pt>
                <c:pt idx="434">
                  <c:v>-2.4793814423441267</c:v>
                </c:pt>
                <c:pt idx="435">
                  <c:v>-2.5252348631504167</c:v>
                </c:pt>
                <c:pt idx="436">
                  <c:v>-2.5713231002124242</c:v>
                </c:pt>
                <c:pt idx="437">
                  <c:v>-2.6176380590234016</c:v>
                </c:pt>
                <c:pt idx="438">
                  <c:v>-2.6641716638190611</c:v>
                </c:pt>
                <c:pt idx="439">
                  <c:v>-2.7109158599751124</c:v>
                </c:pt>
                <c:pt idx="440">
                  <c:v>-2.7578626163703244</c:v>
                </c:pt>
                <c:pt idx="441">
                  <c:v>-2.8050039277141336</c:v>
                </c:pt>
                <c:pt idx="442">
                  <c:v>-2.8523318168378751</c:v>
                </c:pt>
                <c:pt idx="443">
                  <c:v>-2.8998383369487555</c:v>
                </c:pt>
                <c:pt idx="444">
                  <c:v>-2.9475155738456866</c:v>
                </c:pt>
                <c:pt idx="445">
                  <c:v>-2.9953556480962327</c:v>
                </c:pt>
                <c:pt idx="446">
                  <c:v>-3.0433507171738405</c:v>
                </c:pt>
                <c:pt idx="447">
                  <c:v>-3.0914929775546893</c:v>
                </c:pt>
                <c:pt idx="448">
                  <c:v>-3.1397746667734405</c:v>
                </c:pt>
                <c:pt idx="449">
                  <c:v>-3.1881880654372661</c:v>
                </c:pt>
                <c:pt idx="450">
                  <c:v>-3.2367254991975418</c:v>
                </c:pt>
                <c:pt idx="451">
                  <c:v>-3.2853793406786549</c:v>
                </c:pt>
                <c:pt idx="452">
                  <c:v>-3.3341420113634217</c:v>
                </c:pt>
                <c:pt idx="453">
                  <c:v>-3.3830059834345945</c:v>
                </c:pt>
                <c:pt idx="454">
                  <c:v>-3.4319637815720498</c:v>
                </c:pt>
                <c:pt idx="455">
                  <c:v>-3.4810079847052617</c:v>
                </c:pt>
                <c:pt idx="456">
                  <c:v>-3.530131227720664</c:v>
                </c:pt>
                <c:pt idx="457">
                  <c:v>-3.5793262031236059</c:v>
                </c:pt>
                <c:pt idx="458">
                  <c:v>-3.6285856626546034</c:v>
                </c:pt>
                <c:pt idx="459">
                  <c:v>-3.6779024188596394</c:v>
                </c:pt>
                <c:pt idx="460">
                  <c:v>-3.7272693466142872</c:v>
                </c:pt>
                <c:pt idx="461">
                  <c:v>-3.7766793846015001</c:v>
                </c:pt>
                <c:pt idx="462">
                  <c:v>-3.8261255367429179</c:v>
                </c:pt>
                <c:pt idx="463">
                  <c:v>-3.8756008735835659</c:v>
                </c:pt>
                <c:pt idx="464">
                  <c:v>-3.9250985336299102</c:v>
                </c:pt>
                <c:pt idx="465">
                  <c:v>-3.9746117246411967</c:v>
                </c:pt>
                <c:pt idx="466">
                  <c:v>-4.0241337248740923</c:v>
                </c:pt>
                <c:pt idx="467">
                  <c:v>-4.0736578842806468</c:v>
                </c:pt>
                <c:pt idx="468">
                  <c:v>-4.123177625659638</c:v>
                </c:pt>
                <c:pt idx="469">
                  <c:v>-4.1726864457613866</c:v>
                </c:pt>
                <c:pt idx="470">
                  <c:v>-4.2221779163461717</c:v>
                </c:pt>
                <c:pt idx="471">
                  <c:v>-4.2716456851963898</c:v>
                </c:pt>
                <c:pt idx="472">
                  <c:v>-4.3210834770826549</c:v>
                </c:pt>
                <c:pt idx="473">
                  <c:v>-4.370485094684021</c:v>
                </c:pt>
                <c:pt idx="474">
                  <c:v>-4.4198444194625868</c:v>
                </c:pt>
                <c:pt idx="475">
                  <c:v>-4.4691554124927562</c:v>
                </c:pt>
                <c:pt idx="476">
                  <c:v>-4.5184121152453995</c:v>
                </c:pt>
                <c:pt idx="477">
                  <c:v>-4.5676086503273092</c:v>
                </c:pt>
                <c:pt idx="478">
                  <c:v>-4.6167392221761849</c:v>
                </c:pt>
                <c:pt idx="479">
                  <c:v>-4.6657981177116303</c:v>
                </c:pt>
                <c:pt idx="480">
                  <c:v>-4.7147797069424557</c:v>
                </c:pt>
                <c:pt idx="481">
                  <c:v>-4.7636784435307531</c:v>
                </c:pt>
                <c:pt idx="482">
                  <c:v>-4.8124888653131261</c:v>
                </c:pt>
                <c:pt idx="483">
                  <c:v>-4.8612055947796025</c:v>
                </c:pt>
                <c:pt idx="484">
                  <c:v>-4.9098233395106137</c:v>
                </c:pt>
                <c:pt idx="485">
                  <c:v>-4.9583368925725981</c:v>
                </c:pt>
                <c:pt idx="486">
                  <c:v>-5.0067411328727074</c:v>
                </c:pt>
                <c:pt idx="487">
                  <c:v>-5.0550310254731574</c:v>
                </c:pt>
                <c:pt idx="488">
                  <c:v>-5.1032016218657521</c:v>
                </c:pt>
                <c:pt idx="489">
                  <c:v>-5.1512480602071573</c:v>
                </c:pt>
                <c:pt idx="490">
                  <c:v>-5.1991655655154858</c:v>
                </c:pt>
                <c:pt idx="491">
                  <c:v>-5.246949449828807</c:v>
                </c:pt>
                <c:pt idx="492">
                  <c:v>-5.2945951123261343</c:v>
                </c:pt>
                <c:pt idx="493">
                  <c:v>-5.3420980394115762</c:v>
                </c:pt>
                <c:pt idx="494">
                  <c:v>-5.3894538047622085</c:v>
                </c:pt>
                <c:pt idx="495">
                  <c:v>-5.4366580693403614</c:v>
                </c:pt>
                <c:pt idx="496">
                  <c:v>-5.4837065813709378</c:v>
                </c:pt>
                <c:pt idx="497">
                  <c:v>-5.5305951762844279</c:v>
                </c:pt>
                <c:pt idx="498">
                  <c:v>-5.5773197766263136</c:v>
                </c:pt>
                <c:pt idx="499">
                  <c:v>-5.623876391933484</c:v>
                </c:pt>
                <c:pt idx="500">
                  <c:v>-5.6702611185784235</c:v>
                </c:pt>
                <c:pt idx="501">
                  <c:v>-5.7164701395817641</c:v>
                </c:pt>
                <c:pt idx="502">
                  <c:v>-5.7624997243940141</c:v>
                </c:pt>
                <c:pt idx="503">
                  <c:v>-5.808346228647034</c:v>
                </c:pt>
                <c:pt idx="504">
                  <c:v>-5.8540060938761158</c:v>
                </c:pt>
                <c:pt idx="505">
                  <c:v>-5.8994758472132229</c:v>
                </c:pt>
                <c:pt idx="506">
                  <c:v>-5.944752101052214</c:v>
                </c:pt>
                <c:pt idx="507">
                  <c:v>-5.9898315526867387</c:v>
                </c:pt>
                <c:pt idx="508">
                  <c:v>-6.034710983921487</c:v>
                </c:pt>
                <c:pt idx="509">
                  <c:v>-6.0793872606575645</c:v>
                </c:pt>
                <c:pt idx="510">
                  <c:v>-6.1238573324526717</c:v>
                </c:pt>
                <c:pt idx="511">
                  <c:v>-6.1681182320568571</c:v>
                </c:pt>
                <c:pt idx="512">
                  <c:v>-6.2121670749245022</c:v>
                </c:pt>
                <c:pt idx="513">
                  <c:v>-6.2560010587033137</c:v>
                </c:pt>
                <c:pt idx="514">
                  <c:v>-6.2996174627010086</c:v>
                </c:pt>
                <c:pt idx="515">
                  <c:v>-6.3430136473304302</c:v>
                </c:pt>
                <c:pt idx="516">
                  <c:v>-6.386187053533793</c:v>
                </c:pt>
                <c:pt idx="517">
                  <c:v>-6.4291352021867816</c:v>
                </c:pt>
                <c:pt idx="518">
                  <c:v>-6.4718556934831808</c:v>
                </c:pt>
                <c:pt idx="519">
                  <c:v>-6.5143462063008046</c:v>
                </c:pt>
                <c:pt idx="520">
                  <c:v>-6.5566044975493343</c:v>
                </c:pt>
                <c:pt idx="521">
                  <c:v>-6.5986284015008776</c:v>
                </c:pt>
                <c:pt idx="522">
                  <c:v>-6.6404158291037936</c:v>
                </c:pt>
                <c:pt idx="523">
                  <c:v>-6.6819647672806086</c:v>
                </c:pt>
                <c:pt idx="524">
                  <c:v>-6.7232732782106144</c:v>
                </c:pt>
                <c:pt idx="525">
                  <c:v>-6.7643394985978373</c:v>
                </c:pt>
                <c:pt idx="526">
                  <c:v>-6.8051616389250729</c:v>
                </c:pt>
                <c:pt idx="527">
                  <c:v>-6.8457379826946179</c:v>
                </c:pt>
                <c:pt idx="528">
                  <c:v>-6.8860668856563443</c:v>
                </c:pt>
                <c:pt idx="529">
                  <c:v>-6.9261467750237946</c:v>
                </c:pt>
                <c:pt idx="530">
                  <c:v>-6.9659761486789078</c:v>
                </c:pt>
                <c:pt idx="531">
                  <c:v>-7.0055535743659734</c:v>
                </c:pt>
                <c:pt idx="532">
                  <c:v>-7.0448776888755296</c:v>
                </c:pt>
                <c:pt idx="533">
                  <c:v>-7.0839471972187109</c:v>
                </c:pt>
                <c:pt idx="534">
                  <c:v>-7.1227608717927069</c:v>
                </c:pt>
                <c:pt idx="535">
                  <c:v>-7.1613175515378922</c:v>
                </c:pt>
                <c:pt idx="536">
                  <c:v>-7.1996161410872546</c:v>
                </c:pt>
                <c:pt idx="537">
                  <c:v>-7.2376556099086571</c:v>
                </c:pt>
                <c:pt idx="538">
                  <c:v>-7.2754349914404921</c:v>
                </c:pt>
                <c:pt idx="539">
                  <c:v>-7.3129533822213286</c:v>
                </c:pt>
                <c:pt idx="540">
                  <c:v>-7.350209941014068</c:v>
                </c:pt>
                <c:pt idx="541">
                  <c:v>-7.3872038879250894</c:v>
                </c:pt>
                <c:pt idx="542">
                  <c:v>-7.4239345035190629</c:v>
                </c:pt>
                <c:pt idx="543">
                  <c:v>-7.4604011279297309</c:v>
                </c:pt>
                <c:pt idx="544">
                  <c:v>-7.4966031599673686</c:v>
                </c:pt>
                <c:pt idx="545">
                  <c:v>-7.5325400562232607</c:v>
                </c:pt>
                <c:pt idx="546">
                  <c:v>-7.5682113301717804</c:v>
                </c:pt>
                <c:pt idx="547">
                  <c:v>-7.603616551270469</c:v>
                </c:pt>
                <c:pt idx="548">
                  <c:v>-7.6387553440586258</c:v>
                </c:pt>
                <c:pt idx="549">
                  <c:v>-7.6387901446986453</c:v>
                </c:pt>
                <c:pt idx="550">
                  <c:v>-7.6388249450744974</c:v>
                </c:pt>
                <c:pt idx="551">
                  <c:v>-7.6388597451861866</c:v>
                </c:pt>
                <c:pt idx="552">
                  <c:v>-7.6388945450337129</c:v>
                </c:pt>
                <c:pt idx="553">
                  <c:v>-7.6389293446170798</c:v>
                </c:pt>
                <c:pt idx="554">
                  <c:v>-7.6389641439362768</c:v>
                </c:pt>
                <c:pt idx="555">
                  <c:v>-7.6389989429913134</c:v>
                </c:pt>
                <c:pt idx="556">
                  <c:v>-7.6390337417821854</c:v>
                </c:pt>
                <c:pt idx="557">
                  <c:v>-7.6390685403088954</c:v>
                </c:pt>
                <c:pt idx="558">
                  <c:v>-7.6391033385714371</c:v>
                </c:pt>
                <c:pt idx="559">
                  <c:v>-7.6391381365698114</c:v>
                </c:pt>
                <c:pt idx="560">
                  <c:v>-7.6391729343040202</c:v>
                </c:pt>
                <c:pt idx="561">
                  <c:v>-7.6392077317740679</c:v>
                </c:pt>
                <c:pt idx="562">
                  <c:v>-7.6392425289799473</c:v>
                </c:pt>
                <c:pt idx="563">
                  <c:v>-7.6392773259216611</c:v>
                </c:pt>
                <c:pt idx="564">
                  <c:v>-7.6393121225992084</c:v>
                </c:pt>
                <c:pt idx="565">
                  <c:v>-7.6393469190125884</c:v>
                </c:pt>
                <c:pt idx="566">
                  <c:v>-7.6393817151618011</c:v>
                </c:pt>
                <c:pt idx="567">
                  <c:v>-7.639416511046849</c:v>
                </c:pt>
                <c:pt idx="568">
                  <c:v>-7.6394513066677252</c:v>
                </c:pt>
                <c:pt idx="569">
                  <c:v>-7.6394861020244322</c:v>
                </c:pt>
                <c:pt idx="570">
                  <c:v>-7.6395208971169737</c:v>
                </c:pt>
                <c:pt idx="571">
                  <c:v>-7.6395556919453469</c:v>
                </c:pt>
                <c:pt idx="572">
                  <c:v>-7.6395904865095563</c:v>
                </c:pt>
                <c:pt idx="573">
                  <c:v>-7.6396252808095948</c:v>
                </c:pt>
                <c:pt idx="574">
                  <c:v>-7.6396600748454579</c:v>
                </c:pt>
                <c:pt idx="575">
                  <c:v>-7.6396948686171502</c:v>
                </c:pt>
                <c:pt idx="576">
                  <c:v>-7.6397296621246777</c:v>
                </c:pt>
                <c:pt idx="577">
                  <c:v>-7.6397644553680379</c:v>
                </c:pt>
                <c:pt idx="578">
                  <c:v>-7.6397992483472201</c:v>
                </c:pt>
                <c:pt idx="579">
                  <c:v>-7.6398340410622358</c:v>
                </c:pt>
                <c:pt idx="580">
                  <c:v>-7.6398688335130807</c:v>
                </c:pt>
                <c:pt idx="581">
                  <c:v>-7.6399036256997519</c:v>
                </c:pt>
                <c:pt idx="582">
                  <c:v>-7.6399384176222576</c:v>
                </c:pt>
                <c:pt idx="583">
                  <c:v>-7.6399732092805852</c:v>
                </c:pt>
                <c:pt idx="584">
                  <c:v>-7.640008000674742</c:v>
                </c:pt>
                <c:pt idx="585">
                  <c:v>-7.6400427918047269</c:v>
                </c:pt>
                <c:pt idx="586">
                  <c:v>-7.6400775826705374</c:v>
                </c:pt>
                <c:pt idx="587">
                  <c:v>-7.6401123732721796</c:v>
                </c:pt>
                <c:pt idx="588">
                  <c:v>-7.6401471636096421</c:v>
                </c:pt>
                <c:pt idx="589">
                  <c:v>-7.6401819536829354</c:v>
                </c:pt>
                <c:pt idx="590">
                  <c:v>-7.6402167434920516</c:v>
                </c:pt>
                <c:pt idx="591">
                  <c:v>-7.6402515330369969</c:v>
                </c:pt>
                <c:pt idx="592">
                  <c:v>-7.6402863223177686</c:v>
                </c:pt>
                <c:pt idx="593">
                  <c:v>-7.6403211113343659</c:v>
                </c:pt>
                <c:pt idx="594">
                  <c:v>-7.6403559000867869</c:v>
                </c:pt>
                <c:pt idx="595">
                  <c:v>-7.6403906885750326</c:v>
                </c:pt>
                <c:pt idx="596">
                  <c:v>-7.6404254767991091</c:v>
                </c:pt>
                <c:pt idx="597">
                  <c:v>-7.6404602647589979</c:v>
                </c:pt>
                <c:pt idx="598">
                  <c:v>-7.6404950524547184</c:v>
                </c:pt>
                <c:pt idx="599">
                  <c:v>-7.640529839886268</c:v>
                </c:pt>
                <c:pt idx="600">
                  <c:v>-7.6405646270536325</c:v>
                </c:pt>
                <c:pt idx="601">
                  <c:v>-7.6405994139568207</c:v>
                </c:pt>
                <c:pt idx="602">
                  <c:v>-7.6406342005958345</c:v>
                </c:pt>
                <c:pt idx="603">
                  <c:v>-7.6406689869706685</c:v>
                </c:pt>
                <c:pt idx="604">
                  <c:v>-7.6407037730813254</c:v>
                </c:pt>
                <c:pt idx="605">
                  <c:v>-7.6407385589278087</c:v>
                </c:pt>
                <c:pt idx="606">
                  <c:v>-7.6407733445101105</c:v>
                </c:pt>
                <c:pt idx="607">
                  <c:v>-7.6408081298282324</c:v>
                </c:pt>
                <c:pt idx="608">
                  <c:v>-7.6408429148821764</c:v>
                </c:pt>
                <c:pt idx="609">
                  <c:v>-7.6408776996719414</c:v>
                </c:pt>
                <c:pt idx="610">
                  <c:v>-7.6409124841975311</c:v>
                </c:pt>
                <c:pt idx="611">
                  <c:v>-7.6409472684589401</c:v>
                </c:pt>
                <c:pt idx="612">
                  <c:v>-7.6409820524561693</c:v>
                </c:pt>
                <c:pt idx="613">
                  <c:v>-7.641016836189217</c:v>
                </c:pt>
                <c:pt idx="614">
                  <c:v>-7.6410516196580849</c:v>
                </c:pt>
                <c:pt idx="615">
                  <c:v>-7.6410864028627747</c:v>
                </c:pt>
                <c:pt idx="616">
                  <c:v>-7.6411211858032786</c:v>
                </c:pt>
                <c:pt idx="617">
                  <c:v>-7.6411559684796018</c:v>
                </c:pt>
                <c:pt idx="618">
                  <c:v>-7.6411907508917496</c:v>
                </c:pt>
                <c:pt idx="619">
                  <c:v>-7.6412255330397096</c:v>
                </c:pt>
                <c:pt idx="620">
                  <c:v>-7.6412603149234917</c:v>
                </c:pt>
                <c:pt idx="621">
                  <c:v>-7.6412950965430877</c:v>
                </c:pt>
                <c:pt idx="622">
                  <c:v>-7.6413298778985093</c:v>
                </c:pt>
                <c:pt idx="623">
                  <c:v>-7.6413646589897422</c:v>
                </c:pt>
                <c:pt idx="624">
                  <c:v>-7.6413994398167926</c:v>
                </c:pt>
                <c:pt idx="625">
                  <c:v>-7.641434220379657</c:v>
                </c:pt>
                <c:pt idx="626">
                  <c:v>-7.6414690006783426</c:v>
                </c:pt>
                <c:pt idx="627">
                  <c:v>-7.6415037807128403</c:v>
                </c:pt>
                <c:pt idx="628">
                  <c:v>-7.6415385604831592</c:v>
                </c:pt>
                <c:pt idx="629">
                  <c:v>-7.6415733399892893</c:v>
                </c:pt>
                <c:pt idx="630">
                  <c:v>-7.6416081192312362</c:v>
                </c:pt>
                <c:pt idx="631">
                  <c:v>-7.6416428982089926</c:v>
                </c:pt>
                <c:pt idx="632">
                  <c:v>-7.6416776769225727</c:v>
                </c:pt>
                <c:pt idx="633">
                  <c:v>-7.6417124553719642</c:v>
                </c:pt>
                <c:pt idx="634">
                  <c:v>-7.6417472335571706</c:v>
                </c:pt>
                <c:pt idx="635">
                  <c:v>-7.6417820114781883</c:v>
                </c:pt>
                <c:pt idx="636">
                  <c:v>-7.6418167891350226</c:v>
                </c:pt>
                <c:pt idx="637">
                  <c:v>-7.6418515665276692</c:v>
                </c:pt>
                <c:pt idx="638">
                  <c:v>-7.6418863436561271</c:v>
                </c:pt>
                <c:pt idx="639">
                  <c:v>-7.6419211205203998</c:v>
                </c:pt>
                <c:pt idx="640">
                  <c:v>-7.6419558971204875</c:v>
                </c:pt>
                <c:pt idx="641">
                  <c:v>-7.6419906734563803</c:v>
                </c:pt>
                <c:pt idx="642">
                  <c:v>-7.6420254495280888</c:v>
                </c:pt>
                <c:pt idx="643">
                  <c:v>-7.6420602253356158</c:v>
                </c:pt>
                <c:pt idx="644">
                  <c:v>-7.6420950008789541</c:v>
                </c:pt>
                <c:pt idx="645">
                  <c:v>-7.6421297761580913</c:v>
                </c:pt>
                <c:pt idx="646">
                  <c:v>-7.6421645511730505</c:v>
                </c:pt>
                <c:pt idx="647">
                  <c:v>-7.6421993259238166</c:v>
                </c:pt>
                <c:pt idx="648">
                  <c:v>-7.6422341004103931</c:v>
                </c:pt>
                <c:pt idx="649">
                  <c:v>-7.6422688746327809</c:v>
                </c:pt>
                <c:pt idx="650">
                  <c:v>-7.6423036485909828</c:v>
                </c:pt>
                <c:pt idx="651">
                  <c:v>-7.6423384222849862</c:v>
                </c:pt>
                <c:pt idx="652">
                  <c:v>-7.6423731957148027</c:v>
                </c:pt>
                <c:pt idx="653">
                  <c:v>-7.6424079688804296</c:v>
                </c:pt>
                <c:pt idx="654">
                  <c:v>-7.6424427417818634</c:v>
                </c:pt>
                <c:pt idx="655">
                  <c:v>-7.6424775144191015</c:v>
                </c:pt>
                <c:pt idx="656">
                  <c:v>-7.6425122867921536</c:v>
                </c:pt>
                <c:pt idx="657">
                  <c:v>-7.6425470589010125</c:v>
                </c:pt>
                <c:pt idx="658">
                  <c:v>-7.6425818307456792</c:v>
                </c:pt>
                <c:pt idx="659">
                  <c:v>-7.6426166023261501</c:v>
                </c:pt>
                <c:pt idx="660">
                  <c:v>-7.6426513736424369</c:v>
                </c:pt>
                <c:pt idx="661">
                  <c:v>-7.6426861446945233</c:v>
                </c:pt>
                <c:pt idx="662">
                  <c:v>-7.6427209154824203</c:v>
                </c:pt>
                <c:pt idx="663">
                  <c:v>-7.6427556860061214</c:v>
                </c:pt>
                <c:pt idx="664">
                  <c:v>-7.6427904562656321</c:v>
                </c:pt>
                <c:pt idx="665">
                  <c:v>-7.6428252262609471</c:v>
                </c:pt>
                <c:pt idx="666">
                  <c:v>-7.6428599959920707</c:v>
                </c:pt>
                <c:pt idx="667">
                  <c:v>-7.6428947654589878</c:v>
                </c:pt>
                <c:pt idx="668">
                  <c:v>-7.642929534661719</c:v>
                </c:pt>
                <c:pt idx="669">
                  <c:v>-7.6429643036002588</c:v>
                </c:pt>
                <c:pt idx="670">
                  <c:v>-7.6429990722745966</c:v>
                </c:pt>
                <c:pt idx="671">
                  <c:v>-7.6430338406847405</c:v>
                </c:pt>
                <c:pt idx="672">
                  <c:v>-7.6430686088306876</c:v>
                </c:pt>
                <c:pt idx="673">
                  <c:v>-7.6431033767124399</c:v>
                </c:pt>
                <c:pt idx="674">
                  <c:v>-7.6431381443299999</c:v>
                </c:pt>
                <c:pt idx="675">
                  <c:v>-7.6431729116833562</c:v>
                </c:pt>
                <c:pt idx="676">
                  <c:v>-7.6432076787725194</c:v>
                </c:pt>
                <c:pt idx="677">
                  <c:v>-7.6432424455974841</c:v>
                </c:pt>
                <c:pt idx="678">
                  <c:v>-7.6432772121582477</c:v>
                </c:pt>
                <c:pt idx="679">
                  <c:v>-7.6433119784548182</c:v>
                </c:pt>
                <c:pt idx="680">
                  <c:v>-7.6433467444871921</c:v>
                </c:pt>
                <c:pt idx="681">
                  <c:v>-7.6433815102553613</c:v>
                </c:pt>
                <c:pt idx="682">
                  <c:v>-7.6434162757593365</c:v>
                </c:pt>
                <c:pt idx="683">
                  <c:v>-7.6434510409991105</c:v>
                </c:pt>
                <c:pt idx="684">
                  <c:v>-7.6434858059746817</c:v>
                </c:pt>
                <c:pt idx="685">
                  <c:v>-7.6435205706860589</c:v>
                </c:pt>
                <c:pt idx="686">
                  <c:v>-7.6435553351332368</c:v>
                </c:pt>
                <c:pt idx="687">
                  <c:v>-7.6435900993162118</c:v>
                </c:pt>
                <c:pt idx="688">
                  <c:v>-7.6436248632349901</c:v>
                </c:pt>
                <c:pt idx="689">
                  <c:v>-7.6436596268895682</c:v>
                </c:pt>
                <c:pt idx="690">
                  <c:v>-7.6436943902799417</c:v>
                </c:pt>
                <c:pt idx="691">
                  <c:v>-7.6437291534061167</c:v>
                </c:pt>
                <c:pt idx="692">
                  <c:v>-7.6437639162680879</c:v>
                </c:pt>
                <c:pt idx="693">
                  <c:v>-7.6437986788658581</c:v>
                </c:pt>
                <c:pt idx="694">
                  <c:v>-7.6438334411994253</c:v>
                </c:pt>
                <c:pt idx="695">
                  <c:v>-7.6438682032687906</c:v>
                </c:pt>
                <c:pt idx="696">
                  <c:v>-7.6439029650739583</c:v>
                </c:pt>
                <c:pt idx="697">
                  <c:v>-7.6439377266149178</c:v>
                </c:pt>
                <c:pt idx="698">
                  <c:v>-7.6439724878916762</c:v>
                </c:pt>
                <c:pt idx="699">
                  <c:v>-7.6440072489042281</c:v>
                </c:pt>
                <c:pt idx="700">
                  <c:v>-7.6440420096525798</c:v>
                </c:pt>
                <c:pt idx="701">
                  <c:v>-7.6440767701367305</c:v>
                </c:pt>
                <c:pt idx="702">
                  <c:v>-7.6441115303566747</c:v>
                </c:pt>
                <c:pt idx="703">
                  <c:v>-7.6441462903124124</c:v>
                </c:pt>
                <c:pt idx="704">
                  <c:v>-7.6441810500039464</c:v>
                </c:pt>
                <c:pt idx="705">
                  <c:v>-7.6442158094312767</c:v>
                </c:pt>
                <c:pt idx="706">
                  <c:v>-7.6442505685944004</c:v>
                </c:pt>
                <c:pt idx="707">
                  <c:v>-7.6442853274933213</c:v>
                </c:pt>
                <c:pt idx="708">
                  <c:v>-7.6443200861280349</c:v>
                </c:pt>
                <c:pt idx="709">
                  <c:v>-7.6443548444985403</c:v>
                </c:pt>
                <c:pt idx="710">
                  <c:v>-7.6443896026048419</c:v>
                </c:pt>
                <c:pt idx="711">
                  <c:v>-7.6444243604469406</c:v>
                </c:pt>
                <c:pt idx="712">
                  <c:v>-7.6444591180248276</c:v>
                </c:pt>
                <c:pt idx="713">
                  <c:v>-7.6444938753385063</c:v>
                </c:pt>
                <c:pt idx="714">
                  <c:v>-7.6445286323879786</c:v>
                </c:pt>
                <c:pt idx="715">
                  <c:v>-7.6445633891732472</c:v>
                </c:pt>
                <c:pt idx="716">
                  <c:v>-7.6445981456943066</c:v>
                </c:pt>
                <c:pt idx="717">
                  <c:v>-7.6446329019511596</c:v>
                </c:pt>
                <c:pt idx="718">
                  <c:v>-7.6446676579438018</c:v>
                </c:pt>
                <c:pt idx="719">
                  <c:v>-7.6447024136722366</c:v>
                </c:pt>
                <c:pt idx="720">
                  <c:v>-7.6447371691364685</c:v>
                </c:pt>
                <c:pt idx="721">
                  <c:v>-7.6447719243364789</c:v>
                </c:pt>
                <c:pt idx="722">
                  <c:v>-7.6448066792722891</c:v>
                </c:pt>
                <c:pt idx="723">
                  <c:v>-7.6448414339438875</c:v>
                </c:pt>
                <c:pt idx="724">
                  <c:v>-7.6448761883512715</c:v>
                </c:pt>
                <c:pt idx="725">
                  <c:v>-7.644910942494449</c:v>
                </c:pt>
                <c:pt idx="726">
                  <c:v>-7.6449456963734113</c:v>
                </c:pt>
                <c:pt idx="727">
                  <c:v>-7.6449804499881733</c:v>
                </c:pt>
                <c:pt idx="728">
                  <c:v>-7.6450152033387173</c:v>
                </c:pt>
                <c:pt idx="729">
                  <c:v>-7.6450499564250523</c:v>
                </c:pt>
                <c:pt idx="730">
                  <c:v>-7.6450847092471728</c:v>
                </c:pt>
                <c:pt idx="731">
                  <c:v>-7.6451194618050859</c:v>
                </c:pt>
                <c:pt idx="732">
                  <c:v>-7.6451542140987829</c:v>
                </c:pt>
                <c:pt idx="733">
                  <c:v>-7.645188966128269</c:v>
                </c:pt>
                <c:pt idx="734">
                  <c:v>-7.6452237178935398</c:v>
                </c:pt>
                <c:pt idx="735">
                  <c:v>-7.6452584693946042</c:v>
                </c:pt>
                <c:pt idx="736">
                  <c:v>-7.645293220631455</c:v>
                </c:pt>
                <c:pt idx="737">
                  <c:v>-7.6453279716040869</c:v>
                </c:pt>
                <c:pt idx="738">
                  <c:v>-7.6453627223125071</c:v>
                </c:pt>
                <c:pt idx="739">
                  <c:v>-7.6453974727567138</c:v>
                </c:pt>
                <c:pt idx="740">
                  <c:v>-7.6454322229367095</c:v>
                </c:pt>
                <c:pt idx="741">
                  <c:v>-7.6454669728524838</c:v>
                </c:pt>
                <c:pt idx="742">
                  <c:v>-7.645501722504048</c:v>
                </c:pt>
                <c:pt idx="743">
                  <c:v>-7.6455364718913934</c:v>
                </c:pt>
                <c:pt idx="744">
                  <c:v>-7.6455712210145288</c:v>
                </c:pt>
                <c:pt idx="745">
                  <c:v>-7.6456059698734471</c:v>
                </c:pt>
                <c:pt idx="746">
                  <c:v>-7.6456407184681519</c:v>
                </c:pt>
                <c:pt idx="747">
                  <c:v>-7.6456754667986333</c:v>
                </c:pt>
                <c:pt idx="748">
                  <c:v>-7.6457102148649048</c:v>
                </c:pt>
                <c:pt idx="749">
                  <c:v>-7.6457449626669547</c:v>
                </c:pt>
                <c:pt idx="750">
                  <c:v>-7.6457797102047911</c:v>
                </c:pt>
                <c:pt idx="751">
                  <c:v>-7.6458144574784104</c:v>
                </c:pt>
                <c:pt idx="752">
                  <c:v>-7.645849204487809</c:v>
                </c:pt>
                <c:pt idx="753">
                  <c:v>-7.6458839512329995</c:v>
                </c:pt>
                <c:pt idx="754">
                  <c:v>-7.6459186977139604</c:v>
                </c:pt>
                <c:pt idx="755">
                  <c:v>-7.6459534439307077</c:v>
                </c:pt>
                <c:pt idx="756">
                  <c:v>-7.6459881898832363</c:v>
                </c:pt>
                <c:pt idx="757">
                  <c:v>-7.6460229355715468</c:v>
                </c:pt>
                <c:pt idx="758">
                  <c:v>-7.6460576809956367</c:v>
                </c:pt>
                <c:pt idx="759">
                  <c:v>-7.646092426155513</c:v>
                </c:pt>
                <c:pt idx="760">
                  <c:v>-7.6461271710511651</c:v>
                </c:pt>
                <c:pt idx="761">
                  <c:v>-7.6461619156825984</c:v>
                </c:pt>
                <c:pt idx="762">
                  <c:v>-7.6461966600498137</c:v>
                </c:pt>
                <c:pt idx="763">
                  <c:v>-7.6462314041528066</c:v>
                </c:pt>
                <c:pt idx="764">
                  <c:v>-7.6462661479915779</c:v>
                </c:pt>
                <c:pt idx="765">
                  <c:v>-7.6463008915661312</c:v>
                </c:pt>
                <c:pt idx="766">
                  <c:v>-7.6463356348764604</c:v>
                </c:pt>
                <c:pt idx="767">
                  <c:v>-7.6463703779225698</c:v>
                </c:pt>
                <c:pt idx="768">
                  <c:v>-7.6464051207044559</c:v>
                </c:pt>
                <c:pt idx="769">
                  <c:v>-7.6464398632221213</c:v>
                </c:pt>
                <c:pt idx="770">
                  <c:v>-7.6464746054755661</c:v>
                </c:pt>
                <c:pt idx="771">
                  <c:v>-7.6465093474647849</c:v>
                </c:pt>
                <c:pt idx="772">
                  <c:v>-7.6465440891897813</c:v>
                </c:pt>
                <c:pt idx="773">
                  <c:v>-7.6465788306505571</c:v>
                </c:pt>
                <c:pt idx="774">
                  <c:v>-7.6466135718471104</c:v>
                </c:pt>
                <c:pt idx="775">
                  <c:v>-7.6466483127794413</c:v>
                </c:pt>
                <c:pt idx="776">
                  <c:v>-7.6466830534475445</c:v>
                </c:pt>
                <c:pt idx="777">
                  <c:v>-7.646717793851427</c:v>
                </c:pt>
                <c:pt idx="778">
                  <c:v>-7.6467525339910818</c:v>
                </c:pt>
                <c:pt idx="779">
                  <c:v>-7.6467872738665186</c:v>
                </c:pt>
                <c:pt idx="780">
                  <c:v>-7.6468220134777232</c:v>
                </c:pt>
                <c:pt idx="781">
                  <c:v>-7.646856752824708</c:v>
                </c:pt>
                <c:pt idx="782">
                  <c:v>-7.6468914919074615</c:v>
                </c:pt>
                <c:pt idx="783">
                  <c:v>-7.6469262307259953</c:v>
                </c:pt>
                <c:pt idx="784">
                  <c:v>-7.6469609692802987</c:v>
                </c:pt>
                <c:pt idx="785">
                  <c:v>-7.6469957075703823</c:v>
                </c:pt>
                <c:pt idx="786">
                  <c:v>-7.6470304455962355</c:v>
                </c:pt>
                <c:pt idx="787">
                  <c:v>-7.6470651833578627</c:v>
                </c:pt>
                <c:pt idx="788">
                  <c:v>-7.6470999208552675</c:v>
                </c:pt>
                <c:pt idx="789">
                  <c:v>-7.647134658088441</c:v>
                </c:pt>
                <c:pt idx="790">
                  <c:v>-7.6471693950573858</c:v>
                </c:pt>
                <c:pt idx="791">
                  <c:v>-7.6472041317621029</c:v>
                </c:pt>
                <c:pt idx="792">
                  <c:v>-7.6472388682025931</c:v>
                </c:pt>
                <c:pt idx="793">
                  <c:v>-7.6472736043788512</c:v>
                </c:pt>
                <c:pt idx="794">
                  <c:v>-7.6473083402908868</c:v>
                </c:pt>
                <c:pt idx="795">
                  <c:v>-7.6473430759386938</c:v>
                </c:pt>
                <c:pt idx="796">
                  <c:v>-7.6473778113222677</c:v>
                </c:pt>
                <c:pt idx="797">
                  <c:v>-7.6474125464416121</c:v>
                </c:pt>
                <c:pt idx="798">
                  <c:v>-7.647447281296734</c:v>
                </c:pt>
                <c:pt idx="799">
                  <c:v>-7.6474820158876229</c:v>
                </c:pt>
                <c:pt idx="800">
                  <c:v>-7.6475167502142734</c:v>
                </c:pt>
                <c:pt idx="801">
                  <c:v>-7.6475514842767014</c:v>
                </c:pt>
                <c:pt idx="802">
                  <c:v>-7.6475862180748955</c:v>
                </c:pt>
                <c:pt idx="803">
                  <c:v>-7.6476209516088582</c:v>
                </c:pt>
                <c:pt idx="804">
                  <c:v>-7.6476556848785888</c:v>
                </c:pt>
                <c:pt idx="805">
                  <c:v>-7.6476904178840925</c:v>
                </c:pt>
                <c:pt idx="806">
                  <c:v>-7.6477251506253641</c:v>
                </c:pt>
                <c:pt idx="807">
                  <c:v>-7.6477598831024052</c:v>
                </c:pt>
                <c:pt idx="808">
                  <c:v>-7.6477946153152132</c:v>
                </c:pt>
                <c:pt idx="809">
                  <c:v>-7.6478293472637873</c:v>
                </c:pt>
                <c:pt idx="810">
                  <c:v>-7.6478640789481327</c:v>
                </c:pt>
                <c:pt idx="811">
                  <c:v>-7.6478988103682388</c:v>
                </c:pt>
                <c:pt idx="812">
                  <c:v>-7.647933541524119</c:v>
                </c:pt>
                <c:pt idx="813">
                  <c:v>-7.6479682724157581</c:v>
                </c:pt>
                <c:pt idx="814">
                  <c:v>-7.6480030030431703</c:v>
                </c:pt>
                <c:pt idx="815">
                  <c:v>-7.648037733406345</c:v>
                </c:pt>
                <c:pt idx="816">
                  <c:v>-7.6480724635052821</c:v>
                </c:pt>
                <c:pt idx="817">
                  <c:v>-7.6481071933399924</c:v>
                </c:pt>
                <c:pt idx="818">
                  <c:v>-7.6481419229104652</c:v>
                </c:pt>
                <c:pt idx="819">
                  <c:v>-7.648176652216697</c:v>
                </c:pt>
                <c:pt idx="820">
                  <c:v>-7.6482113812587018</c:v>
                </c:pt>
                <c:pt idx="821">
                  <c:v>-7.6482461100364691</c:v>
                </c:pt>
                <c:pt idx="822">
                  <c:v>-7.6482808385499981</c:v>
                </c:pt>
                <c:pt idx="823">
                  <c:v>-7.648315566799293</c:v>
                </c:pt>
                <c:pt idx="824">
                  <c:v>-7.6483502947843496</c:v>
                </c:pt>
                <c:pt idx="825">
                  <c:v>-7.6483850225051713</c:v>
                </c:pt>
                <c:pt idx="826">
                  <c:v>-7.6484197499617537</c:v>
                </c:pt>
                <c:pt idx="827">
                  <c:v>-7.648454477154103</c:v>
                </c:pt>
                <c:pt idx="828">
                  <c:v>-7.6484892040822112</c:v>
                </c:pt>
                <c:pt idx="829">
                  <c:v>-7.6485239307460819</c:v>
                </c:pt>
                <c:pt idx="830">
                  <c:v>-7.648558657145716</c:v>
                </c:pt>
                <c:pt idx="831">
                  <c:v>-7.6485933832811135</c:v>
                </c:pt>
                <c:pt idx="832">
                  <c:v>-7.6486281091522716</c:v>
                </c:pt>
                <c:pt idx="833">
                  <c:v>-7.6486628347591887</c:v>
                </c:pt>
                <c:pt idx="834">
                  <c:v>-7.6486975601018683</c:v>
                </c:pt>
                <c:pt idx="835">
                  <c:v>-7.6487322851803103</c:v>
                </c:pt>
                <c:pt idx="836">
                  <c:v>-7.6487670099945086</c:v>
                </c:pt>
                <c:pt idx="837">
                  <c:v>-7.6488017345444677</c:v>
                </c:pt>
                <c:pt idx="838">
                  <c:v>-7.6488364588301918</c:v>
                </c:pt>
                <c:pt idx="839">
                  <c:v>-7.6488711828516704</c:v>
                </c:pt>
                <c:pt idx="840">
                  <c:v>-7.6489059066089116</c:v>
                </c:pt>
                <c:pt idx="841">
                  <c:v>-7.6489406301019125</c:v>
                </c:pt>
                <c:pt idx="842">
                  <c:v>-7.6489753533306741</c:v>
                </c:pt>
                <c:pt idx="843">
                  <c:v>-7.6490100762951956</c:v>
                </c:pt>
                <c:pt idx="844">
                  <c:v>-7.6490447989954697</c:v>
                </c:pt>
                <c:pt idx="845">
                  <c:v>-7.649079521431501</c:v>
                </c:pt>
                <c:pt idx="846">
                  <c:v>-7.6491142436032922</c:v>
                </c:pt>
                <c:pt idx="847">
                  <c:v>-7.6491489655108467</c:v>
                </c:pt>
                <c:pt idx="848">
                  <c:v>-7.6491836871541548</c:v>
                </c:pt>
                <c:pt idx="849">
                  <c:v>-7.6492184085332164</c:v>
                </c:pt>
                <c:pt idx="850">
                  <c:v>-7.6492531296480371</c:v>
                </c:pt>
                <c:pt idx="851">
                  <c:v>-7.6492878504986148</c:v>
                </c:pt>
                <c:pt idx="852">
                  <c:v>-7.6493225710849497</c:v>
                </c:pt>
                <c:pt idx="853">
                  <c:v>-7.6493572914070382</c:v>
                </c:pt>
                <c:pt idx="854">
                  <c:v>-7.6493920114648857</c:v>
                </c:pt>
                <c:pt idx="855">
                  <c:v>-7.6494267312584858</c:v>
                </c:pt>
                <c:pt idx="856">
                  <c:v>-7.649461450787844</c:v>
                </c:pt>
                <c:pt idx="857">
                  <c:v>-7.6494961700529558</c:v>
                </c:pt>
                <c:pt idx="858">
                  <c:v>-7.6495308890538194</c:v>
                </c:pt>
                <c:pt idx="859">
                  <c:v>-7.6495656077904446</c:v>
                </c:pt>
                <c:pt idx="860">
                  <c:v>-7.6496003262628207</c:v>
                </c:pt>
                <c:pt idx="861">
                  <c:v>-7.6496350444709478</c:v>
                </c:pt>
                <c:pt idx="862">
                  <c:v>-7.6496697624148347</c:v>
                </c:pt>
                <c:pt idx="863">
                  <c:v>-7.6497044800944742</c:v>
                </c:pt>
                <c:pt idx="864">
                  <c:v>-7.649739197509863</c:v>
                </c:pt>
                <c:pt idx="865">
                  <c:v>-7.6497739146610053</c:v>
                </c:pt>
                <c:pt idx="866">
                  <c:v>-7.6498086315479075</c:v>
                </c:pt>
                <c:pt idx="867">
                  <c:v>-7.6498433481705534</c:v>
                </c:pt>
                <c:pt idx="868">
                  <c:v>-7.6498780645289584</c:v>
                </c:pt>
                <c:pt idx="869">
                  <c:v>-7.6499127806231115</c:v>
                </c:pt>
                <c:pt idx="870">
                  <c:v>-7.6499474964530139</c:v>
                </c:pt>
                <c:pt idx="871">
                  <c:v>-7.6499822120186725</c:v>
                </c:pt>
                <c:pt idx="872">
                  <c:v>-7.6500169273200811</c:v>
                </c:pt>
                <c:pt idx="873">
                  <c:v>-7.6500516423572389</c:v>
                </c:pt>
                <c:pt idx="874">
                  <c:v>-7.6500863571301476</c:v>
                </c:pt>
                <c:pt idx="875">
                  <c:v>-7.6501210716388046</c:v>
                </c:pt>
                <c:pt idx="876">
                  <c:v>-7.6501557858832161</c:v>
                </c:pt>
                <c:pt idx="877">
                  <c:v>-7.6501904998633732</c:v>
                </c:pt>
                <c:pt idx="878">
                  <c:v>-7.6502252135792848</c:v>
                </c:pt>
                <c:pt idx="879">
                  <c:v>-7.6502599270309419</c:v>
                </c:pt>
                <c:pt idx="880">
                  <c:v>-7.65029464021835</c:v>
                </c:pt>
                <c:pt idx="881">
                  <c:v>-7.6503293531415073</c:v>
                </c:pt>
                <c:pt idx="882">
                  <c:v>-7.6503640658004093</c:v>
                </c:pt>
                <c:pt idx="883">
                  <c:v>-7.6503987781950658</c:v>
                </c:pt>
                <c:pt idx="884">
                  <c:v>-7.6504334903254634</c:v>
                </c:pt>
                <c:pt idx="885">
                  <c:v>-7.6504682021916146</c:v>
                </c:pt>
                <c:pt idx="886">
                  <c:v>-7.6505029137935141</c:v>
                </c:pt>
                <c:pt idx="887">
                  <c:v>-7.6505376251311583</c:v>
                </c:pt>
                <c:pt idx="888">
                  <c:v>-7.6505723362045499</c:v>
                </c:pt>
                <c:pt idx="889">
                  <c:v>-7.6506070470136942</c:v>
                </c:pt>
                <c:pt idx="890">
                  <c:v>-7.6506417575585726</c:v>
                </c:pt>
                <c:pt idx="891">
                  <c:v>-7.6506764678392063</c:v>
                </c:pt>
                <c:pt idx="892">
                  <c:v>-7.650711177855583</c:v>
                </c:pt>
                <c:pt idx="893">
                  <c:v>-7.6507458876077088</c:v>
                </c:pt>
                <c:pt idx="894">
                  <c:v>-7.6507805970955776</c:v>
                </c:pt>
                <c:pt idx="895">
                  <c:v>-7.6508153063191857</c:v>
                </c:pt>
                <c:pt idx="896">
                  <c:v>-7.6508500152785439</c:v>
                </c:pt>
                <c:pt idx="897">
                  <c:v>-7.6508847239736468</c:v>
                </c:pt>
                <c:pt idx="898">
                  <c:v>-7.650919432404498</c:v>
                </c:pt>
                <c:pt idx="899">
                  <c:v>-7.6509541405710877</c:v>
                </c:pt>
                <c:pt idx="900">
                  <c:v>-7.6509888484734256</c:v>
                </c:pt>
                <c:pt idx="901">
                  <c:v>-7.651023556111503</c:v>
                </c:pt>
                <c:pt idx="902">
                  <c:v>-7.6510582634853206</c:v>
                </c:pt>
                <c:pt idx="903">
                  <c:v>-7.6510929705948891</c:v>
                </c:pt>
                <c:pt idx="904">
                  <c:v>-7.6511276774401944</c:v>
                </c:pt>
                <c:pt idx="905">
                  <c:v>-7.6511623840212462</c:v>
                </c:pt>
                <c:pt idx="906">
                  <c:v>-7.6511970903380444</c:v>
                </c:pt>
                <c:pt idx="907">
                  <c:v>-7.6512317963905812</c:v>
                </c:pt>
                <c:pt idx="908">
                  <c:v>-7.65126650217886</c:v>
                </c:pt>
                <c:pt idx="909">
                  <c:v>-7.6513012077028764</c:v>
                </c:pt>
                <c:pt idx="910">
                  <c:v>-7.6513359129626357</c:v>
                </c:pt>
                <c:pt idx="911">
                  <c:v>-7.6513706179581416</c:v>
                </c:pt>
                <c:pt idx="912">
                  <c:v>-7.6514053226893806</c:v>
                </c:pt>
                <c:pt idx="913">
                  <c:v>-7.6514400271563652</c:v>
                </c:pt>
                <c:pt idx="914">
                  <c:v>-7.651474731359091</c:v>
                </c:pt>
                <c:pt idx="915">
                  <c:v>-7.6515094352975543</c:v>
                </c:pt>
                <c:pt idx="916">
                  <c:v>-7.6515441389717553</c:v>
                </c:pt>
                <c:pt idx="917">
                  <c:v>-7.6515788423817002</c:v>
                </c:pt>
                <c:pt idx="918">
                  <c:v>-7.6516135455273799</c:v>
                </c:pt>
                <c:pt idx="919">
                  <c:v>-7.6516482484088044</c:v>
                </c:pt>
                <c:pt idx="920">
                  <c:v>-7.6516829510259656</c:v>
                </c:pt>
                <c:pt idx="921">
                  <c:v>-7.6517176533788627</c:v>
                </c:pt>
                <c:pt idx="922">
                  <c:v>-7.6517523554675009</c:v>
                </c:pt>
                <c:pt idx="923">
                  <c:v>-7.651787057291882</c:v>
                </c:pt>
                <c:pt idx="924">
                  <c:v>-7.6518217588519883</c:v>
                </c:pt>
                <c:pt idx="925">
                  <c:v>-7.6518564601478394</c:v>
                </c:pt>
                <c:pt idx="926">
                  <c:v>-7.6518911611794289</c:v>
                </c:pt>
                <c:pt idx="927">
                  <c:v>-7.6519258619467525</c:v>
                </c:pt>
                <c:pt idx="928">
                  <c:v>-7.6519605624498137</c:v>
                </c:pt>
                <c:pt idx="929">
                  <c:v>-7.6519952626886125</c:v>
                </c:pt>
                <c:pt idx="930">
                  <c:v>-7.6520299626631498</c:v>
                </c:pt>
                <c:pt idx="931">
                  <c:v>-7.6520646623734212</c:v>
                </c:pt>
                <c:pt idx="932">
                  <c:v>-7.6520993618194257</c:v>
                </c:pt>
                <c:pt idx="933">
                  <c:v>-7.6521340610011688</c:v>
                </c:pt>
                <c:pt idx="934">
                  <c:v>-7.6521687599186441</c:v>
                </c:pt>
                <c:pt idx="935">
                  <c:v>-7.6522034585718606</c:v>
                </c:pt>
                <c:pt idx="936">
                  <c:v>-7.6522381569608084</c:v>
                </c:pt>
                <c:pt idx="937">
                  <c:v>-7.6522728550854886</c:v>
                </c:pt>
                <c:pt idx="938">
                  <c:v>-7.6523075529459001</c:v>
                </c:pt>
                <c:pt idx="939">
                  <c:v>-7.6523422505420546</c:v>
                </c:pt>
                <c:pt idx="940">
                  <c:v>-7.6523769478739361</c:v>
                </c:pt>
                <c:pt idx="941">
                  <c:v>-7.6524116449415533</c:v>
                </c:pt>
                <c:pt idx="942">
                  <c:v>-7.6524463417449029</c:v>
                </c:pt>
                <c:pt idx="943">
                  <c:v>-7.6524810382839847</c:v>
                </c:pt>
                <c:pt idx="944">
                  <c:v>-7.6525157345588006</c:v>
                </c:pt>
                <c:pt idx="945">
                  <c:v>-7.6525504305693444</c:v>
                </c:pt>
                <c:pt idx="946">
                  <c:v>-7.6525851263156239</c:v>
                </c:pt>
                <c:pt idx="947">
                  <c:v>-7.652619821797634</c:v>
                </c:pt>
                <c:pt idx="948">
                  <c:v>-7.6526545170153835</c:v>
                </c:pt>
                <c:pt idx="949">
                  <c:v>-7.6526892119688545</c:v>
                </c:pt>
                <c:pt idx="950">
                  <c:v>-7.6527239066580579</c:v>
                </c:pt>
                <c:pt idx="951">
                  <c:v>-7.6527586010829971</c:v>
                </c:pt>
                <c:pt idx="952">
                  <c:v>-7.6527932952436588</c:v>
                </c:pt>
                <c:pt idx="953">
                  <c:v>-7.6528279891400546</c:v>
                </c:pt>
                <c:pt idx="954">
                  <c:v>-7.6528626827721862</c:v>
                </c:pt>
                <c:pt idx="955">
                  <c:v>-7.6528973761400421</c:v>
                </c:pt>
                <c:pt idx="956">
                  <c:v>-7.6529320692436311</c:v>
                </c:pt>
                <c:pt idx="957">
                  <c:v>-7.6529667620829471</c:v>
                </c:pt>
                <c:pt idx="958">
                  <c:v>-7.6530014546579928</c:v>
                </c:pt>
                <c:pt idx="959">
                  <c:v>-7.6530361469687662</c:v>
                </c:pt>
                <c:pt idx="960">
                  <c:v>-7.6530708390152737</c:v>
                </c:pt>
                <c:pt idx="961">
                  <c:v>-7.653105530797502</c:v>
                </c:pt>
                <c:pt idx="962">
                  <c:v>-7.6531402223154625</c:v>
                </c:pt>
                <c:pt idx="963">
                  <c:v>-7.6531749135691483</c:v>
                </c:pt>
                <c:pt idx="964">
                  <c:v>-7.6532096045585654</c:v>
                </c:pt>
                <c:pt idx="965">
                  <c:v>-7.6532442952837076</c:v>
                </c:pt>
                <c:pt idx="966">
                  <c:v>-7.6532789857445778</c:v>
                </c:pt>
                <c:pt idx="967">
                  <c:v>-7.6533136759411775</c:v>
                </c:pt>
                <c:pt idx="968">
                  <c:v>-7.6533483658735015</c:v>
                </c:pt>
                <c:pt idx="969">
                  <c:v>-7.6533830555415525</c:v>
                </c:pt>
                <c:pt idx="970">
                  <c:v>-7.6534177449453269</c:v>
                </c:pt>
                <c:pt idx="971">
                  <c:v>-7.6534524340848291</c:v>
                </c:pt>
                <c:pt idx="972">
                  <c:v>-7.6534871229600538</c:v>
                </c:pt>
                <c:pt idx="973">
                  <c:v>-7.6535218115710064</c:v>
                </c:pt>
                <c:pt idx="974">
                  <c:v>-7.6535564999176815</c:v>
                </c:pt>
                <c:pt idx="975">
                  <c:v>-7.6535911880000826</c:v>
                </c:pt>
                <c:pt idx="976">
                  <c:v>-7.6536258758182099</c:v>
                </c:pt>
                <c:pt idx="977">
                  <c:v>-7.6536605633720614</c:v>
                </c:pt>
                <c:pt idx="978">
                  <c:v>-7.6536952506616371</c:v>
                </c:pt>
                <c:pt idx="979">
                  <c:v>-7.6537299376869301</c:v>
                </c:pt>
                <c:pt idx="980">
                  <c:v>-7.6537646244479545</c:v>
                </c:pt>
                <c:pt idx="981">
                  <c:v>-7.6537993109447005</c:v>
                </c:pt>
                <c:pt idx="982">
                  <c:v>-7.6538339971771681</c:v>
                </c:pt>
                <c:pt idx="983">
                  <c:v>-7.6538686831453573</c:v>
                </c:pt>
                <c:pt idx="984">
                  <c:v>-7.6539033688492673</c:v>
                </c:pt>
                <c:pt idx="985">
                  <c:v>-7.6539380542889006</c:v>
                </c:pt>
                <c:pt idx="986">
                  <c:v>-7.6539727394642565</c:v>
                </c:pt>
                <c:pt idx="987">
                  <c:v>-7.6540074243753375</c:v>
                </c:pt>
                <c:pt idx="988">
                  <c:v>-7.6540421090221384</c:v>
                </c:pt>
                <c:pt idx="989">
                  <c:v>-7.6540767934046636</c:v>
                </c:pt>
                <c:pt idx="990">
                  <c:v>-7.6541114775229024</c:v>
                </c:pt>
                <c:pt idx="991">
                  <c:v>-7.6541461613768673</c:v>
                </c:pt>
                <c:pt idx="992">
                  <c:v>-7.654180844966552</c:v>
                </c:pt>
                <c:pt idx="993">
                  <c:v>-7.6542155282919566</c:v>
                </c:pt>
                <c:pt idx="994">
                  <c:v>-7.6542502113530793</c:v>
                </c:pt>
                <c:pt idx="995">
                  <c:v>-7.6542848941499235</c:v>
                </c:pt>
                <c:pt idx="996">
                  <c:v>-7.6543195766824867</c:v>
                </c:pt>
                <c:pt idx="997">
                  <c:v>-7.6543542589507689</c:v>
                </c:pt>
                <c:pt idx="998">
                  <c:v>-7.654388940954771</c:v>
                </c:pt>
                <c:pt idx="999">
                  <c:v>-7.6544236226944911</c:v>
                </c:pt>
                <c:pt idx="1000">
                  <c:v>-7.6544583041699301</c:v>
                </c:pt>
              </c:numCache>
            </c:numRef>
          </c:yVal>
          <c:smooth val="0"/>
          <c:extLst>
            <c:ext xmlns:c16="http://schemas.microsoft.com/office/drawing/2014/chart" uri="{C3380CC4-5D6E-409C-BE32-E72D297353CC}">
              <c16:uniqueId val="{00000001-BDD6-4E9B-9AFA-2396233049A9}"/>
            </c:ext>
          </c:extLst>
        </c:ser>
        <c:dLbls>
          <c:showLegendKey val="0"/>
          <c:showVal val="0"/>
          <c:showCatName val="0"/>
          <c:showSerName val="0"/>
          <c:showPercent val="0"/>
          <c:showBubbleSize val="0"/>
        </c:dLbls>
        <c:axId val="149575168"/>
        <c:axId val="149577088"/>
      </c:scatterChart>
      <c:valAx>
        <c:axId val="149575168"/>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1"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577088"/>
        <c:crosses val="autoZero"/>
        <c:crossBetween val="midCat"/>
      </c:valAx>
      <c:valAx>
        <c:axId val="149577088"/>
        <c:scaling>
          <c:orientation val="minMax"/>
        </c:scaling>
        <c:delete val="0"/>
        <c:axPos val="l"/>
        <c:majorGridlines>
          <c:spPr>
            <a:ln w="3175">
              <a:solidFill>
                <a:srgbClr val="000000"/>
              </a:solidFill>
              <a:prstDash val="sysDash"/>
            </a:ln>
          </c:spPr>
        </c:majorGridlines>
        <c:title>
          <c:tx>
            <c:rich>
              <a:bodyPr/>
              <a:lstStyle/>
              <a:p>
                <a:pPr>
                  <a:defRPr sz="1000" b="1" i="0" u="none" strike="noStrike" baseline="0">
                    <a:solidFill>
                      <a:srgbClr val="000000"/>
                    </a:solidFill>
                    <a:latin typeface="Arial"/>
                    <a:ea typeface="Arial"/>
                    <a:cs typeface="Arial"/>
                  </a:defRPr>
                </a:pPr>
                <a:r>
                  <a:rPr lang="fr-FR"/>
                  <a:t>Accélérations [m/s²]_</a:t>
                </a:r>
              </a:p>
            </c:rich>
          </c:tx>
          <c:layout>
            <c:manualLayout>
              <c:xMode val="edge"/>
              <c:yMode val="edge"/>
              <c:x val="2.712264150943397E-2"/>
              <c:y val="0.29738652668416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575168"/>
        <c:crosses val="autoZero"/>
        <c:crossBetween val="midCat"/>
      </c:valAx>
      <c:spPr>
        <a:noFill/>
        <a:ln w="12700">
          <a:solidFill>
            <a:srgbClr val="808080"/>
          </a:solidFill>
          <a:prstDash val="solid"/>
        </a:ln>
      </c:spPr>
    </c:plotArea>
    <c:legend>
      <c:legendPos val="r"/>
      <c:layout>
        <c:manualLayout>
          <c:xMode val="edge"/>
          <c:yMode val="edge"/>
          <c:x val="0.66195018075570744"/>
          <c:y val="0.25777777777777783"/>
          <c:w val="0.30974867528351424"/>
          <c:h val="0.15777777777777779"/>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orientation="landscape" horizontalDpi="1200" verticalDpi="120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fr-FR"/>
              <a:t>Positions</a:t>
            </a:r>
          </a:p>
        </c:rich>
      </c:tx>
      <c:overlay val="1"/>
    </c:title>
    <c:autoTitleDeleted val="0"/>
    <c:plotArea>
      <c:layout>
        <c:manualLayout>
          <c:layoutTarget val="inner"/>
          <c:xMode val="edge"/>
          <c:yMode val="edge"/>
          <c:x val="0.11674528301886802"/>
          <c:y val="9.4771544282144501E-2"/>
          <c:w val="0.86438679245283023"/>
          <c:h val="0.73856444854360881"/>
        </c:manualLayout>
      </c:layout>
      <c:scatterChart>
        <c:scatterStyle val="lineMarker"/>
        <c:varyColors val="0"/>
        <c:ser>
          <c:idx val="0"/>
          <c:order val="0"/>
          <c:tx>
            <c:strRef>
              <c:f>Courbes!$B$144</c:f>
              <c:strCache>
                <c:ptCount val="1"/>
                <c:pt idx="0">
                  <c:v>Portée</c:v>
                </c:pt>
              </c:strCache>
            </c:strRef>
          </c:tx>
          <c:spPr>
            <a:ln w="25400">
              <a:solidFill>
                <a:srgbClr val="80000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2.1000000000000014</c:v>
                </c:pt>
                <c:pt idx="202">
                  <c:v>2.2000000000000015</c:v>
                </c:pt>
                <c:pt idx="203">
                  <c:v>2.3000000000000016</c:v>
                </c:pt>
                <c:pt idx="204">
                  <c:v>2.4000000000000017</c:v>
                </c:pt>
                <c:pt idx="205">
                  <c:v>2.5000000000000018</c:v>
                </c:pt>
                <c:pt idx="206">
                  <c:v>2.6000000000000019</c:v>
                </c:pt>
                <c:pt idx="207">
                  <c:v>2.700000000000002</c:v>
                </c:pt>
                <c:pt idx="208">
                  <c:v>2.800000000000002</c:v>
                </c:pt>
                <c:pt idx="209">
                  <c:v>2.9000000000000021</c:v>
                </c:pt>
                <c:pt idx="210">
                  <c:v>3.0000000000000022</c:v>
                </c:pt>
                <c:pt idx="211">
                  <c:v>3.1000000000000023</c:v>
                </c:pt>
                <c:pt idx="212">
                  <c:v>3.2000000000000024</c:v>
                </c:pt>
                <c:pt idx="213">
                  <c:v>3.3000000000000025</c:v>
                </c:pt>
                <c:pt idx="214">
                  <c:v>3.4000000000000026</c:v>
                </c:pt>
                <c:pt idx="215">
                  <c:v>3.5000000000000027</c:v>
                </c:pt>
                <c:pt idx="216">
                  <c:v>3.6000000000000028</c:v>
                </c:pt>
                <c:pt idx="217">
                  <c:v>3.7000000000000028</c:v>
                </c:pt>
                <c:pt idx="218">
                  <c:v>3.8000000000000029</c:v>
                </c:pt>
                <c:pt idx="219">
                  <c:v>3.900000000000003</c:v>
                </c:pt>
                <c:pt idx="220">
                  <c:v>4.0000000000000027</c:v>
                </c:pt>
                <c:pt idx="221">
                  <c:v>4.1000000000000023</c:v>
                </c:pt>
                <c:pt idx="222">
                  <c:v>4.200000000000002</c:v>
                </c:pt>
                <c:pt idx="223">
                  <c:v>4.3000000000000016</c:v>
                </c:pt>
                <c:pt idx="224">
                  <c:v>4.4000000000000012</c:v>
                </c:pt>
                <c:pt idx="225">
                  <c:v>4.5000000000000009</c:v>
                </c:pt>
                <c:pt idx="226">
                  <c:v>4.6000000000000005</c:v>
                </c:pt>
                <c:pt idx="227">
                  <c:v>4.7</c:v>
                </c:pt>
                <c:pt idx="228">
                  <c:v>4.8</c:v>
                </c:pt>
                <c:pt idx="229">
                  <c:v>4.8999999999999995</c:v>
                </c:pt>
                <c:pt idx="230">
                  <c:v>4.9999999999999991</c:v>
                </c:pt>
                <c:pt idx="231">
                  <c:v>5.0999999999999988</c:v>
                </c:pt>
                <c:pt idx="232">
                  <c:v>5.1999999999999984</c:v>
                </c:pt>
                <c:pt idx="233">
                  <c:v>5.299999999999998</c:v>
                </c:pt>
                <c:pt idx="234">
                  <c:v>5.3999999999999977</c:v>
                </c:pt>
                <c:pt idx="235">
                  <c:v>5.4999999999999973</c:v>
                </c:pt>
                <c:pt idx="236">
                  <c:v>5.599999999999997</c:v>
                </c:pt>
                <c:pt idx="237">
                  <c:v>5.6999999999999966</c:v>
                </c:pt>
                <c:pt idx="238">
                  <c:v>5.7999999999999963</c:v>
                </c:pt>
                <c:pt idx="239">
                  <c:v>5.8999999999999959</c:v>
                </c:pt>
                <c:pt idx="240">
                  <c:v>5.9999999999999956</c:v>
                </c:pt>
                <c:pt idx="241">
                  <c:v>6.0999999999999952</c:v>
                </c:pt>
                <c:pt idx="242">
                  <c:v>6.1999999999999948</c:v>
                </c:pt>
                <c:pt idx="243">
                  <c:v>6.2999999999999945</c:v>
                </c:pt>
                <c:pt idx="244">
                  <c:v>6.3999999999999941</c:v>
                </c:pt>
                <c:pt idx="245">
                  <c:v>6.4999999999999938</c:v>
                </c:pt>
                <c:pt idx="246">
                  <c:v>6.5999999999999934</c:v>
                </c:pt>
                <c:pt idx="247">
                  <c:v>6.6999999999999931</c:v>
                </c:pt>
                <c:pt idx="248">
                  <c:v>6.7999999999999927</c:v>
                </c:pt>
                <c:pt idx="249">
                  <c:v>6.8999999999999924</c:v>
                </c:pt>
                <c:pt idx="250">
                  <c:v>6.999999999999992</c:v>
                </c:pt>
                <c:pt idx="251">
                  <c:v>7.0999999999999917</c:v>
                </c:pt>
                <c:pt idx="252">
                  <c:v>7.1999999999999913</c:v>
                </c:pt>
                <c:pt idx="253">
                  <c:v>7.2999999999999909</c:v>
                </c:pt>
                <c:pt idx="254">
                  <c:v>7.3999999999999906</c:v>
                </c:pt>
                <c:pt idx="255">
                  <c:v>7.4999999999999902</c:v>
                </c:pt>
                <c:pt idx="256">
                  <c:v>7.5999999999999899</c:v>
                </c:pt>
                <c:pt idx="257">
                  <c:v>7.6999999999999895</c:v>
                </c:pt>
                <c:pt idx="258">
                  <c:v>7.7999999999999892</c:v>
                </c:pt>
                <c:pt idx="259">
                  <c:v>7.8999999999999888</c:v>
                </c:pt>
                <c:pt idx="260">
                  <c:v>7.9999999999999885</c:v>
                </c:pt>
                <c:pt idx="261">
                  <c:v>8.099999999999989</c:v>
                </c:pt>
                <c:pt idx="262">
                  <c:v>8.1999999999999886</c:v>
                </c:pt>
                <c:pt idx="263">
                  <c:v>8.2999999999999883</c:v>
                </c:pt>
                <c:pt idx="264">
                  <c:v>8.3999999999999879</c:v>
                </c:pt>
                <c:pt idx="265">
                  <c:v>8.4999999999999876</c:v>
                </c:pt>
                <c:pt idx="266">
                  <c:v>8.5999999999999872</c:v>
                </c:pt>
                <c:pt idx="267">
                  <c:v>8.6999999999999869</c:v>
                </c:pt>
                <c:pt idx="268">
                  <c:v>8.7999999999999865</c:v>
                </c:pt>
                <c:pt idx="269">
                  <c:v>8.8999999999999861</c:v>
                </c:pt>
                <c:pt idx="270">
                  <c:v>8.9999999999999858</c:v>
                </c:pt>
                <c:pt idx="271">
                  <c:v>9.0999999999999854</c:v>
                </c:pt>
                <c:pt idx="272">
                  <c:v>9.1999999999999851</c:v>
                </c:pt>
                <c:pt idx="273">
                  <c:v>9.2999999999999847</c:v>
                </c:pt>
                <c:pt idx="274">
                  <c:v>9.3999999999999844</c:v>
                </c:pt>
                <c:pt idx="275">
                  <c:v>9.499999999999984</c:v>
                </c:pt>
                <c:pt idx="276">
                  <c:v>9.5999999999999837</c:v>
                </c:pt>
                <c:pt idx="277">
                  <c:v>9.6999999999999833</c:v>
                </c:pt>
                <c:pt idx="278">
                  <c:v>9.7999999999999829</c:v>
                </c:pt>
                <c:pt idx="279">
                  <c:v>9.8999999999999826</c:v>
                </c:pt>
                <c:pt idx="280">
                  <c:v>9.9999999999999822</c:v>
                </c:pt>
                <c:pt idx="281">
                  <c:v>10.099999999999982</c:v>
                </c:pt>
                <c:pt idx="282">
                  <c:v>10.199999999999982</c:v>
                </c:pt>
                <c:pt idx="283">
                  <c:v>10.299999999999981</c:v>
                </c:pt>
                <c:pt idx="284">
                  <c:v>10.399999999999981</c:v>
                </c:pt>
                <c:pt idx="285">
                  <c:v>10.49999999999998</c:v>
                </c:pt>
                <c:pt idx="286">
                  <c:v>10.59999999999998</c:v>
                </c:pt>
                <c:pt idx="287">
                  <c:v>10.69999999999998</c:v>
                </c:pt>
                <c:pt idx="288">
                  <c:v>10.799999999999979</c:v>
                </c:pt>
                <c:pt idx="289">
                  <c:v>10.899999999999979</c:v>
                </c:pt>
                <c:pt idx="290">
                  <c:v>10.999999999999979</c:v>
                </c:pt>
                <c:pt idx="291">
                  <c:v>11.099999999999978</c:v>
                </c:pt>
                <c:pt idx="292">
                  <c:v>11.199999999999978</c:v>
                </c:pt>
                <c:pt idx="293">
                  <c:v>11.299999999999978</c:v>
                </c:pt>
                <c:pt idx="294">
                  <c:v>11.399999999999977</c:v>
                </c:pt>
                <c:pt idx="295">
                  <c:v>11.499999999999977</c:v>
                </c:pt>
                <c:pt idx="296">
                  <c:v>11.599999999999977</c:v>
                </c:pt>
                <c:pt idx="297">
                  <c:v>11.699999999999976</c:v>
                </c:pt>
                <c:pt idx="298">
                  <c:v>11.799999999999976</c:v>
                </c:pt>
                <c:pt idx="299">
                  <c:v>11.899999999999975</c:v>
                </c:pt>
                <c:pt idx="300">
                  <c:v>11.999999999999975</c:v>
                </c:pt>
                <c:pt idx="301">
                  <c:v>12.099999999999975</c:v>
                </c:pt>
                <c:pt idx="302">
                  <c:v>12.199999999999974</c:v>
                </c:pt>
                <c:pt idx="303">
                  <c:v>12.299999999999974</c:v>
                </c:pt>
                <c:pt idx="304">
                  <c:v>12.399999999999974</c:v>
                </c:pt>
                <c:pt idx="305">
                  <c:v>12.499999999999973</c:v>
                </c:pt>
                <c:pt idx="306">
                  <c:v>12.599999999999973</c:v>
                </c:pt>
                <c:pt idx="307">
                  <c:v>12.699999999999973</c:v>
                </c:pt>
                <c:pt idx="308">
                  <c:v>12.799999999999972</c:v>
                </c:pt>
                <c:pt idx="309">
                  <c:v>12.899999999999972</c:v>
                </c:pt>
                <c:pt idx="310">
                  <c:v>12.999999999999972</c:v>
                </c:pt>
                <c:pt idx="311">
                  <c:v>13.099999999999971</c:v>
                </c:pt>
                <c:pt idx="312">
                  <c:v>13.199999999999971</c:v>
                </c:pt>
                <c:pt idx="313">
                  <c:v>13.299999999999971</c:v>
                </c:pt>
                <c:pt idx="314">
                  <c:v>13.39999999999997</c:v>
                </c:pt>
                <c:pt idx="315">
                  <c:v>13.49999999999997</c:v>
                </c:pt>
                <c:pt idx="316">
                  <c:v>13.599999999999969</c:v>
                </c:pt>
                <c:pt idx="317">
                  <c:v>13.699999999999969</c:v>
                </c:pt>
                <c:pt idx="318">
                  <c:v>13.799999999999969</c:v>
                </c:pt>
                <c:pt idx="319">
                  <c:v>13.899999999999968</c:v>
                </c:pt>
                <c:pt idx="320">
                  <c:v>13.999999999999968</c:v>
                </c:pt>
                <c:pt idx="321">
                  <c:v>14.099999999999968</c:v>
                </c:pt>
                <c:pt idx="322">
                  <c:v>14.199999999999967</c:v>
                </c:pt>
                <c:pt idx="323">
                  <c:v>14.299999999999967</c:v>
                </c:pt>
                <c:pt idx="324">
                  <c:v>14.399999999999967</c:v>
                </c:pt>
                <c:pt idx="325">
                  <c:v>14.499999999999966</c:v>
                </c:pt>
                <c:pt idx="326">
                  <c:v>14.599999999999966</c:v>
                </c:pt>
                <c:pt idx="327">
                  <c:v>14.699999999999966</c:v>
                </c:pt>
                <c:pt idx="328">
                  <c:v>14.799999999999965</c:v>
                </c:pt>
                <c:pt idx="329">
                  <c:v>14.899999999999965</c:v>
                </c:pt>
                <c:pt idx="330">
                  <c:v>14.999999999999964</c:v>
                </c:pt>
                <c:pt idx="331">
                  <c:v>15.099999999999964</c:v>
                </c:pt>
                <c:pt idx="332">
                  <c:v>15.199999999999964</c:v>
                </c:pt>
                <c:pt idx="333">
                  <c:v>15.299999999999963</c:v>
                </c:pt>
                <c:pt idx="334">
                  <c:v>15.399999999999963</c:v>
                </c:pt>
                <c:pt idx="335">
                  <c:v>15.499999999999963</c:v>
                </c:pt>
                <c:pt idx="336">
                  <c:v>15.599999999999962</c:v>
                </c:pt>
                <c:pt idx="337">
                  <c:v>15.699999999999962</c:v>
                </c:pt>
                <c:pt idx="338">
                  <c:v>15.799999999999962</c:v>
                </c:pt>
                <c:pt idx="339">
                  <c:v>15.899999999999961</c:v>
                </c:pt>
                <c:pt idx="340">
                  <c:v>15.999999999999961</c:v>
                </c:pt>
                <c:pt idx="341">
                  <c:v>16.099999999999962</c:v>
                </c:pt>
                <c:pt idx="342">
                  <c:v>16.199999999999964</c:v>
                </c:pt>
                <c:pt idx="343">
                  <c:v>16.299999999999965</c:v>
                </c:pt>
                <c:pt idx="344">
                  <c:v>16.399999999999967</c:v>
                </c:pt>
                <c:pt idx="345">
                  <c:v>16.499999999999968</c:v>
                </c:pt>
                <c:pt idx="346">
                  <c:v>16.599999999999969</c:v>
                </c:pt>
                <c:pt idx="347">
                  <c:v>16.699999999999971</c:v>
                </c:pt>
                <c:pt idx="348">
                  <c:v>16.799999999999972</c:v>
                </c:pt>
                <c:pt idx="349">
                  <c:v>16.899999999999974</c:v>
                </c:pt>
                <c:pt idx="350">
                  <c:v>16.999999999999975</c:v>
                </c:pt>
                <c:pt idx="351">
                  <c:v>17.099999999999977</c:v>
                </c:pt>
                <c:pt idx="352">
                  <c:v>17.199999999999978</c:v>
                </c:pt>
                <c:pt idx="353">
                  <c:v>17.299999999999979</c:v>
                </c:pt>
                <c:pt idx="354">
                  <c:v>17.399999999999981</c:v>
                </c:pt>
                <c:pt idx="355">
                  <c:v>17.499999999999982</c:v>
                </c:pt>
                <c:pt idx="356">
                  <c:v>17.599999999999984</c:v>
                </c:pt>
                <c:pt idx="357">
                  <c:v>17.699999999999985</c:v>
                </c:pt>
                <c:pt idx="358">
                  <c:v>17.799999999999986</c:v>
                </c:pt>
                <c:pt idx="359">
                  <c:v>17.899999999999988</c:v>
                </c:pt>
                <c:pt idx="360">
                  <c:v>17.999999999999989</c:v>
                </c:pt>
                <c:pt idx="361">
                  <c:v>18.099999999999991</c:v>
                </c:pt>
                <c:pt idx="362">
                  <c:v>18.199999999999992</c:v>
                </c:pt>
                <c:pt idx="363">
                  <c:v>18.299999999999994</c:v>
                </c:pt>
                <c:pt idx="364">
                  <c:v>18.399999999999995</c:v>
                </c:pt>
                <c:pt idx="365">
                  <c:v>18.499999999999996</c:v>
                </c:pt>
                <c:pt idx="366">
                  <c:v>18.599999999999998</c:v>
                </c:pt>
                <c:pt idx="367">
                  <c:v>18.7</c:v>
                </c:pt>
                <c:pt idx="368">
                  <c:v>18.8</c:v>
                </c:pt>
                <c:pt idx="369">
                  <c:v>18.900000000000002</c:v>
                </c:pt>
                <c:pt idx="370">
                  <c:v>19.000000000000004</c:v>
                </c:pt>
                <c:pt idx="371">
                  <c:v>19.100000000000005</c:v>
                </c:pt>
                <c:pt idx="372">
                  <c:v>19.200000000000006</c:v>
                </c:pt>
                <c:pt idx="373">
                  <c:v>19.300000000000008</c:v>
                </c:pt>
                <c:pt idx="374">
                  <c:v>19.400000000000009</c:v>
                </c:pt>
                <c:pt idx="375">
                  <c:v>19.500000000000011</c:v>
                </c:pt>
                <c:pt idx="376">
                  <c:v>19.600000000000012</c:v>
                </c:pt>
                <c:pt idx="377">
                  <c:v>19.700000000000014</c:v>
                </c:pt>
                <c:pt idx="378">
                  <c:v>19.800000000000015</c:v>
                </c:pt>
                <c:pt idx="379">
                  <c:v>19.900000000000016</c:v>
                </c:pt>
                <c:pt idx="380">
                  <c:v>20.000000000000018</c:v>
                </c:pt>
                <c:pt idx="381">
                  <c:v>20.100000000000019</c:v>
                </c:pt>
                <c:pt idx="382">
                  <c:v>20.200000000000021</c:v>
                </c:pt>
                <c:pt idx="383">
                  <c:v>20.300000000000022</c:v>
                </c:pt>
                <c:pt idx="384">
                  <c:v>20.400000000000023</c:v>
                </c:pt>
                <c:pt idx="385">
                  <c:v>20.500000000000025</c:v>
                </c:pt>
                <c:pt idx="386">
                  <c:v>20.600000000000026</c:v>
                </c:pt>
                <c:pt idx="387">
                  <c:v>20.700000000000028</c:v>
                </c:pt>
                <c:pt idx="388">
                  <c:v>20.800000000000029</c:v>
                </c:pt>
                <c:pt idx="389">
                  <c:v>20.900000000000031</c:v>
                </c:pt>
                <c:pt idx="390">
                  <c:v>21.000000000000032</c:v>
                </c:pt>
                <c:pt idx="391">
                  <c:v>21.100000000000033</c:v>
                </c:pt>
                <c:pt idx="392">
                  <c:v>21.200000000000035</c:v>
                </c:pt>
                <c:pt idx="393">
                  <c:v>21.300000000000036</c:v>
                </c:pt>
                <c:pt idx="394">
                  <c:v>21.400000000000038</c:v>
                </c:pt>
                <c:pt idx="395">
                  <c:v>21.500000000000039</c:v>
                </c:pt>
                <c:pt idx="396">
                  <c:v>21.600000000000041</c:v>
                </c:pt>
                <c:pt idx="397">
                  <c:v>21.700000000000042</c:v>
                </c:pt>
                <c:pt idx="398">
                  <c:v>21.800000000000043</c:v>
                </c:pt>
                <c:pt idx="399">
                  <c:v>21.900000000000045</c:v>
                </c:pt>
                <c:pt idx="400">
                  <c:v>22.000000000000046</c:v>
                </c:pt>
                <c:pt idx="401">
                  <c:v>22.100000000000048</c:v>
                </c:pt>
                <c:pt idx="402">
                  <c:v>22.200000000000049</c:v>
                </c:pt>
                <c:pt idx="403">
                  <c:v>22.30000000000005</c:v>
                </c:pt>
                <c:pt idx="404">
                  <c:v>22.400000000000052</c:v>
                </c:pt>
                <c:pt idx="405">
                  <c:v>22.500000000000053</c:v>
                </c:pt>
                <c:pt idx="406">
                  <c:v>22.600000000000055</c:v>
                </c:pt>
                <c:pt idx="407">
                  <c:v>22.700000000000056</c:v>
                </c:pt>
                <c:pt idx="408">
                  <c:v>22.800000000000058</c:v>
                </c:pt>
                <c:pt idx="409">
                  <c:v>22.900000000000059</c:v>
                </c:pt>
                <c:pt idx="410">
                  <c:v>23.00000000000006</c:v>
                </c:pt>
                <c:pt idx="411">
                  <c:v>23.100000000000062</c:v>
                </c:pt>
                <c:pt idx="412">
                  <c:v>23.200000000000063</c:v>
                </c:pt>
                <c:pt idx="413">
                  <c:v>23.300000000000065</c:v>
                </c:pt>
                <c:pt idx="414">
                  <c:v>23.400000000000066</c:v>
                </c:pt>
                <c:pt idx="415">
                  <c:v>23.500000000000068</c:v>
                </c:pt>
                <c:pt idx="416">
                  <c:v>23.600000000000069</c:v>
                </c:pt>
                <c:pt idx="417">
                  <c:v>23.70000000000007</c:v>
                </c:pt>
                <c:pt idx="418">
                  <c:v>23.800000000000072</c:v>
                </c:pt>
                <c:pt idx="419">
                  <c:v>23.900000000000073</c:v>
                </c:pt>
                <c:pt idx="420">
                  <c:v>24.000000000000075</c:v>
                </c:pt>
                <c:pt idx="421">
                  <c:v>24.100000000000076</c:v>
                </c:pt>
                <c:pt idx="422">
                  <c:v>24.200000000000077</c:v>
                </c:pt>
                <c:pt idx="423">
                  <c:v>24.300000000000079</c:v>
                </c:pt>
                <c:pt idx="424">
                  <c:v>24.40000000000008</c:v>
                </c:pt>
                <c:pt idx="425">
                  <c:v>24.500000000000082</c:v>
                </c:pt>
                <c:pt idx="426">
                  <c:v>24.600000000000083</c:v>
                </c:pt>
                <c:pt idx="427">
                  <c:v>24.700000000000085</c:v>
                </c:pt>
                <c:pt idx="428">
                  <c:v>24.800000000000086</c:v>
                </c:pt>
                <c:pt idx="429">
                  <c:v>24.900000000000087</c:v>
                </c:pt>
                <c:pt idx="430">
                  <c:v>25.000000000000089</c:v>
                </c:pt>
                <c:pt idx="431">
                  <c:v>25.10000000000009</c:v>
                </c:pt>
                <c:pt idx="432">
                  <c:v>25.200000000000092</c:v>
                </c:pt>
                <c:pt idx="433">
                  <c:v>25.300000000000093</c:v>
                </c:pt>
                <c:pt idx="434">
                  <c:v>25.400000000000095</c:v>
                </c:pt>
                <c:pt idx="435">
                  <c:v>25.500000000000096</c:v>
                </c:pt>
                <c:pt idx="436">
                  <c:v>25.600000000000097</c:v>
                </c:pt>
                <c:pt idx="437">
                  <c:v>25.700000000000099</c:v>
                </c:pt>
                <c:pt idx="438">
                  <c:v>25.8000000000001</c:v>
                </c:pt>
                <c:pt idx="439">
                  <c:v>25.900000000000102</c:v>
                </c:pt>
                <c:pt idx="440">
                  <c:v>26.000000000000103</c:v>
                </c:pt>
                <c:pt idx="441">
                  <c:v>26.100000000000104</c:v>
                </c:pt>
                <c:pt idx="442">
                  <c:v>26.200000000000106</c:v>
                </c:pt>
                <c:pt idx="443">
                  <c:v>26.300000000000107</c:v>
                </c:pt>
                <c:pt idx="444">
                  <c:v>26.400000000000109</c:v>
                </c:pt>
                <c:pt idx="445">
                  <c:v>26.50000000000011</c:v>
                </c:pt>
                <c:pt idx="446">
                  <c:v>26.600000000000112</c:v>
                </c:pt>
                <c:pt idx="447">
                  <c:v>26.700000000000113</c:v>
                </c:pt>
                <c:pt idx="448">
                  <c:v>26.800000000000114</c:v>
                </c:pt>
                <c:pt idx="449">
                  <c:v>26.900000000000116</c:v>
                </c:pt>
                <c:pt idx="450">
                  <c:v>27.000000000000117</c:v>
                </c:pt>
                <c:pt idx="451">
                  <c:v>27.100000000000119</c:v>
                </c:pt>
                <c:pt idx="452">
                  <c:v>27.20000000000012</c:v>
                </c:pt>
                <c:pt idx="453">
                  <c:v>27.300000000000122</c:v>
                </c:pt>
                <c:pt idx="454">
                  <c:v>27.400000000000123</c:v>
                </c:pt>
                <c:pt idx="455">
                  <c:v>27.500000000000124</c:v>
                </c:pt>
                <c:pt idx="456">
                  <c:v>27.600000000000126</c:v>
                </c:pt>
                <c:pt idx="457">
                  <c:v>27.700000000000127</c:v>
                </c:pt>
                <c:pt idx="458">
                  <c:v>27.800000000000129</c:v>
                </c:pt>
                <c:pt idx="459">
                  <c:v>27.90000000000013</c:v>
                </c:pt>
                <c:pt idx="460">
                  <c:v>28.000000000000131</c:v>
                </c:pt>
                <c:pt idx="461">
                  <c:v>28.100000000000133</c:v>
                </c:pt>
                <c:pt idx="462">
                  <c:v>28.200000000000134</c:v>
                </c:pt>
                <c:pt idx="463">
                  <c:v>28.300000000000136</c:v>
                </c:pt>
                <c:pt idx="464">
                  <c:v>28.400000000000137</c:v>
                </c:pt>
                <c:pt idx="465">
                  <c:v>28.500000000000139</c:v>
                </c:pt>
                <c:pt idx="466">
                  <c:v>28.60000000000014</c:v>
                </c:pt>
                <c:pt idx="467">
                  <c:v>28.700000000000141</c:v>
                </c:pt>
                <c:pt idx="468">
                  <c:v>28.800000000000143</c:v>
                </c:pt>
                <c:pt idx="469">
                  <c:v>28.900000000000144</c:v>
                </c:pt>
                <c:pt idx="470">
                  <c:v>29.000000000000146</c:v>
                </c:pt>
                <c:pt idx="471">
                  <c:v>29.100000000000147</c:v>
                </c:pt>
                <c:pt idx="472">
                  <c:v>29.200000000000149</c:v>
                </c:pt>
                <c:pt idx="473">
                  <c:v>29.30000000000015</c:v>
                </c:pt>
                <c:pt idx="474">
                  <c:v>29.400000000000151</c:v>
                </c:pt>
                <c:pt idx="475">
                  <c:v>29.500000000000153</c:v>
                </c:pt>
                <c:pt idx="476">
                  <c:v>29.600000000000154</c:v>
                </c:pt>
                <c:pt idx="477">
                  <c:v>29.700000000000156</c:v>
                </c:pt>
                <c:pt idx="478">
                  <c:v>29.800000000000157</c:v>
                </c:pt>
                <c:pt idx="479">
                  <c:v>29.900000000000158</c:v>
                </c:pt>
                <c:pt idx="480">
                  <c:v>30.00000000000016</c:v>
                </c:pt>
                <c:pt idx="481">
                  <c:v>30.100000000000161</c:v>
                </c:pt>
                <c:pt idx="482">
                  <c:v>30.200000000000163</c:v>
                </c:pt>
                <c:pt idx="483">
                  <c:v>30.300000000000164</c:v>
                </c:pt>
                <c:pt idx="484">
                  <c:v>30.400000000000166</c:v>
                </c:pt>
                <c:pt idx="485">
                  <c:v>30.500000000000167</c:v>
                </c:pt>
                <c:pt idx="486">
                  <c:v>30.600000000000168</c:v>
                </c:pt>
                <c:pt idx="487">
                  <c:v>30.70000000000017</c:v>
                </c:pt>
                <c:pt idx="488">
                  <c:v>30.800000000000171</c:v>
                </c:pt>
                <c:pt idx="489">
                  <c:v>30.900000000000173</c:v>
                </c:pt>
                <c:pt idx="490">
                  <c:v>31.000000000000174</c:v>
                </c:pt>
                <c:pt idx="491">
                  <c:v>31.100000000000176</c:v>
                </c:pt>
                <c:pt idx="492">
                  <c:v>31.200000000000177</c:v>
                </c:pt>
                <c:pt idx="493">
                  <c:v>31.300000000000178</c:v>
                </c:pt>
                <c:pt idx="494">
                  <c:v>31.40000000000018</c:v>
                </c:pt>
                <c:pt idx="495">
                  <c:v>31.500000000000181</c:v>
                </c:pt>
                <c:pt idx="496">
                  <c:v>31.600000000000183</c:v>
                </c:pt>
                <c:pt idx="497">
                  <c:v>31.700000000000184</c:v>
                </c:pt>
                <c:pt idx="498">
                  <c:v>31.800000000000185</c:v>
                </c:pt>
                <c:pt idx="499">
                  <c:v>31.900000000000187</c:v>
                </c:pt>
                <c:pt idx="500">
                  <c:v>32.000000000000185</c:v>
                </c:pt>
                <c:pt idx="501">
                  <c:v>32.100000000000186</c:v>
                </c:pt>
                <c:pt idx="502">
                  <c:v>32.200000000000188</c:v>
                </c:pt>
                <c:pt idx="503">
                  <c:v>32.300000000000189</c:v>
                </c:pt>
                <c:pt idx="504">
                  <c:v>32.40000000000019</c:v>
                </c:pt>
                <c:pt idx="505">
                  <c:v>32.500000000000192</c:v>
                </c:pt>
                <c:pt idx="506">
                  <c:v>32.600000000000193</c:v>
                </c:pt>
                <c:pt idx="507">
                  <c:v>32.700000000000195</c:v>
                </c:pt>
                <c:pt idx="508">
                  <c:v>32.800000000000196</c:v>
                </c:pt>
                <c:pt idx="509">
                  <c:v>32.900000000000198</c:v>
                </c:pt>
                <c:pt idx="510">
                  <c:v>33.000000000000199</c:v>
                </c:pt>
                <c:pt idx="511">
                  <c:v>33.1000000000002</c:v>
                </c:pt>
                <c:pt idx="512">
                  <c:v>33.200000000000202</c:v>
                </c:pt>
                <c:pt idx="513">
                  <c:v>33.300000000000203</c:v>
                </c:pt>
                <c:pt idx="514">
                  <c:v>33.400000000000205</c:v>
                </c:pt>
                <c:pt idx="515">
                  <c:v>33.500000000000206</c:v>
                </c:pt>
                <c:pt idx="516">
                  <c:v>33.600000000000207</c:v>
                </c:pt>
                <c:pt idx="517">
                  <c:v>33.700000000000209</c:v>
                </c:pt>
                <c:pt idx="518">
                  <c:v>33.80000000000021</c:v>
                </c:pt>
                <c:pt idx="519">
                  <c:v>33.900000000000212</c:v>
                </c:pt>
                <c:pt idx="520">
                  <c:v>34.000000000000213</c:v>
                </c:pt>
                <c:pt idx="521">
                  <c:v>34.100000000000215</c:v>
                </c:pt>
                <c:pt idx="522">
                  <c:v>34.200000000000216</c:v>
                </c:pt>
                <c:pt idx="523">
                  <c:v>34.300000000000217</c:v>
                </c:pt>
                <c:pt idx="524">
                  <c:v>34.400000000000219</c:v>
                </c:pt>
                <c:pt idx="525">
                  <c:v>34.50000000000022</c:v>
                </c:pt>
                <c:pt idx="526">
                  <c:v>34.600000000000222</c:v>
                </c:pt>
                <c:pt idx="527">
                  <c:v>34.700000000000223</c:v>
                </c:pt>
                <c:pt idx="528">
                  <c:v>34.800000000000225</c:v>
                </c:pt>
                <c:pt idx="529">
                  <c:v>34.900000000000226</c:v>
                </c:pt>
                <c:pt idx="530">
                  <c:v>35.000000000000227</c:v>
                </c:pt>
                <c:pt idx="531">
                  <c:v>35.100000000000229</c:v>
                </c:pt>
                <c:pt idx="532">
                  <c:v>35.20000000000023</c:v>
                </c:pt>
                <c:pt idx="533">
                  <c:v>35.300000000000232</c:v>
                </c:pt>
                <c:pt idx="534">
                  <c:v>35.400000000000233</c:v>
                </c:pt>
                <c:pt idx="535">
                  <c:v>35.500000000000234</c:v>
                </c:pt>
                <c:pt idx="536">
                  <c:v>35.600000000000236</c:v>
                </c:pt>
                <c:pt idx="537">
                  <c:v>35.700000000000237</c:v>
                </c:pt>
                <c:pt idx="538">
                  <c:v>35.800000000000239</c:v>
                </c:pt>
                <c:pt idx="539">
                  <c:v>35.90000000000024</c:v>
                </c:pt>
                <c:pt idx="540">
                  <c:v>36.000000000000242</c:v>
                </c:pt>
                <c:pt idx="541">
                  <c:v>36.100000000000243</c:v>
                </c:pt>
                <c:pt idx="542">
                  <c:v>36.200000000000244</c:v>
                </c:pt>
                <c:pt idx="543">
                  <c:v>36.300000000000246</c:v>
                </c:pt>
                <c:pt idx="544">
                  <c:v>36.400000000000247</c:v>
                </c:pt>
                <c:pt idx="545">
                  <c:v>36.500000000000249</c:v>
                </c:pt>
                <c:pt idx="546">
                  <c:v>36.60000000000025</c:v>
                </c:pt>
                <c:pt idx="547">
                  <c:v>36.700000000000252</c:v>
                </c:pt>
                <c:pt idx="548">
                  <c:v>36.700100000000255</c:v>
                </c:pt>
                <c:pt idx="549">
                  <c:v>36.700200000000258</c:v>
                </c:pt>
                <c:pt idx="550">
                  <c:v>36.700300000000261</c:v>
                </c:pt>
                <c:pt idx="551">
                  <c:v>36.700400000000265</c:v>
                </c:pt>
                <c:pt idx="552">
                  <c:v>36.700500000000268</c:v>
                </c:pt>
                <c:pt idx="553">
                  <c:v>36.700600000000271</c:v>
                </c:pt>
                <c:pt idx="554">
                  <c:v>36.700700000000275</c:v>
                </c:pt>
                <c:pt idx="555">
                  <c:v>36.700800000000278</c:v>
                </c:pt>
                <c:pt idx="556">
                  <c:v>36.700900000000281</c:v>
                </c:pt>
                <c:pt idx="557">
                  <c:v>36.701000000000285</c:v>
                </c:pt>
                <c:pt idx="558">
                  <c:v>36.701100000000288</c:v>
                </c:pt>
                <c:pt idx="559">
                  <c:v>36.701200000000291</c:v>
                </c:pt>
                <c:pt idx="560">
                  <c:v>36.701300000000295</c:v>
                </c:pt>
                <c:pt idx="561">
                  <c:v>36.701400000000298</c:v>
                </c:pt>
                <c:pt idx="562">
                  <c:v>36.701500000000301</c:v>
                </c:pt>
                <c:pt idx="563">
                  <c:v>36.701600000000305</c:v>
                </c:pt>
                <c:pt idx="564">
                  <c:v>36.701700000000308</c:v>
                </c:pt>
                <c:pt idx="565">
                  <c:v>36.701800000000311</c:v>
                </c:pt>
                <c:pt idx="566">
                  <c:v>36.701900000000315</c:v>
                </c:pt>
                <c:pt idx="567">
                  <c:v>36.702000000000318</c:v>
                </c:pt>
                <c:pt idx="568">
                  <c:v>36.702100000000321</c:v>
                </c:pt>
                <c:pt idx="569">
                  <c:v>36.702200000000325</c:v>
                </c:pt>
                <c:pt idx="570">
                  <c:v>36.702300000000328</c:v>
                </c:pt>
                <c:pt idx="571">
                  <c:v>36.702400000000331</c:v>
                </c:pt>
                <c:pt idx="572">
                  <c:v>36.702500000000335</c:v>
                </c:pt>
                <c:pt idx="573">
                  <c:v>36.702600000000338</c:v>
                </c:pt>
                <c:pt idx="574">
                  <c:v>36.702700000000341</c:v>
                </c:pt>
                <c:pt idx="575">
                  <c:v>36.702800000000344</c:v>
                </c:pt>
                <c:pt idx="576">
                  <c:v>36.702900000000348</c:v>
                </c:pt>
                <c:pt idx="577">
                  <c:v>36.703000000000351</c:v>
                </c:pt>
                <c:pt idx="578">
                  <c:v>36.703100000000354</c:v>
                </c:pt>
                <c:pt idx="579">
                  <c:v>36.703200000000358</c:v>
                </c:pt>
                <c:pt idx="580">
                  <c:v>36.703300000000361</c:v>
                </c:pt>
                <c:pt idx="581">
                  <c:v>36.703400000000364</c:v>
                </c:pt>
                <c:pt idx="582">
                  <c:v>36.703500000000368</c:v>
                </c:pt>
                <c:pt idx="583">
                  <c:v>36.703600000000371</c:v>
                </c:pt>
                <c:pt idx="584">
                  <c:v>36.703700000000374</c:v>
                </c:pt>
                <c:pt idx="585">
                  <c:v>36.703800000000378</c:v>
                </c:pt>
                <c:pt idx="586">
                  <c:v>36.703900000000381</c:v>
                </c:pt>
                <c:pt idx="587">
                  <c:v>36.704000000000384</c:v>
                </c:pt>
                <c:pt idx="588">
                  <c:v>36.704100000000388</c:v>
                </c:pt>
                <c:pt idx="589">
                  <c:v>36.704200000000391</c:v>
                </c:pt>
                <c:pt idx="590">
                  <c:v>36.704300000000394</c:v>
                </c:pt>
                <c:pt idx="591">
                  <c:v>36.704400000000398</c:v>
                </c:pt>
                <c:pt idx="592">
                  <c:v>36.704500000000401</c:v>
                </c:pt>
                <c:pt idx="593">
                  <c:v>36.704600000000404</c:v>
                </c:pt>
                <c:pt idx="594">
                  <c:v>36.704700000000408</c:v>
                </c:pt>
                <c:pt idx="595">
                  <c:v>36.704800000000411</c:v>
                </c:pt>
                <c:pt idx="596">
                  <c:v>36.704900000000414</c:v>
                </c:pt>
                <c:pt idx="597">
                  <c:v>36.705000000000418</c:v>
                </c:pt>
                <c:pt idx="598">
                  <c:v>36.705100000000421</c:v>
                </c:pt>
                <c:pt idx="599">
                  <c:v>36.705200000000424</c:v>
                </c:pt>
                <c:pt idx="600">
                  <c:v>36.705300000000427</c:v>
                </c:pt>
                <c:pt idx="601">
                  <c:v>36.705400000000431</c:v>
                </c:pt>
                <c:pt idx="602">
                  <c:v>36.705500000000434</c:v>
                </c:pt>
                <c:pt idx="603">
                  <c:v>36.705600000000437</c:v>
                </c:pt>
                <c:pt idx="604">
                  <c:v>36.705700000000441</c:v>
                </c:pt>
                <c:pt idx="605">
                  <c:v>36.705800000000444</c:v>
                </c:pt>
                <c:pt idx="606">
                  <c:v>36.705900000000447</c:v>
                </c:pt>
                <c:pt idx="607">
                  <c:v>36.706000000000451</c:v>
                </c:pt>
                <c:pt idx="608">
                  <c:v>36.706100000000454</c:v>
                </c:pt>
                <c:pt idx="609">
                  <c:v>36.706200000000457</c:v>
                </c:pt>
                <c:pt idx="610">
                  <c:v>36.706300000000461</c:v>
                </c:pt>
                <c:pt idx="611">
                  <c:v>36.706400000000464</c:v>
                </c:pt>
                <c:pt idx="612">
                  <c:v>36.706500000000467</c:v>
                </c:pt>
                <c:pt idx="613">
                  <c:v>36.706600000000471</c:v>
                </c:pt>
                <c:pt idx="614">
                  <c:v>36.706700000000474</c:v>
                </c:pt>
                <c:pt idx="615">
                  <c:v>36.706800000000477</c:v>
                </c:pt>
                <c:pt idx="616">
                  <c:v>36.706900000000481</c:v>
                </c:pt>
                <c:pt idx="617">
                  <c:v>36.707000000000484</c:v>
                </c:pt>
                <c:pt idx="618">
                  <c:v>36.707100000000487</c:v>
                </c:pt>
                <c:pt idx="619">
                  <c:v>36.707200000000491</c:v>
                </c:pt>
                <c:pt idx="620">
                  <c:v>36.707300000000494</c:v>
                </c:pt>
                <c:pt idx="621">
                  <c:v>36.707400000000497</c:v>
                </c:pt>
                <c:pt idx="622">
                  <c:v>36.707500000000501</c:v>
                </c:pt>
                <c:pt idx="623">
                  <c:v>36.707600000000504</c:v>
                </c:pt>
                <c:pt idx="624">
                  <c:v>36.707700000000507</c:v>
                </c:pt>
                <c:pt idx="625">
                  <c:v>36.70780000000051</c:v>
                </c:pt>
                <c:pt idx="626">
                  <c:v>36.707900000000514</c:v>
                </c:pt>
                <c:pt idx="627">
                  <c:v>36.708000000000517</c:v>
                </c:pt>
                <c:pt idx="628">
                  <c:v>36.70810000000052</c:v>
                </c:pt>
                <c:pt idx="629">
                  <c:v>36.708200000000524</c:v>
                </c:pt>
                <c:pt idx="630">
                  <c:v>36.708300000000527</c:v>
                </c:pt>
                <c:pt idx="631">
                  <c:v>36.70840000000053</c:v>
                </c:pt>
                <c:pt idx="632">
                  <c:v>36.708500000000534</c:v>
                </c:pt>
                <c:pt idx="633">
                  <c:v>36.708600000000537</c:v>
                </c:pt>
                <c:pt idx="634">
                  <c:v>36.70870000000054</c:v>
                </c:pt>
                <c:pt idx="635">
                  <c:v>36.708800000000544</c:v>
                </c:pt>
                <c:pt idx="636">
                  <c:v>36.708900000000547</c:v>
                </c:pt>
                <c:pt idx="637">
                  <c:v>36.70900000000055</c:v>
                </c:pt>
                <c:pt idx="638">
                  <c:v>36.709100000000554</c:v>
                </c:pt>
                <c:pt idx="639">
                  <c:v>36.709200000000557</c:v>
                </c:pt>
                <c:pt idx="640">
                  <c:v>36.70930000000056</c:v>
                </c:pt>
                <c:pt idx="641">
                  <c:v>36.709400000000564</c:v>
                </c:pt>
                <c:pt idx="642">
                  <c:v>36.709500000000567</c:v>
                </c:pt>
                <c:pt idx="643">
                  <c:v>36.70960000000057</c:v>
                </c:pt>
                <c:pt idx="644">
                  <c:v>36.709700000000574</c:v>
                </c:pt>
                <c:pt idx="645">
                  <c:v>36.709800000000577</c:v>
                </c:pt>
                <c:pt idx="646">
                  <c:v>36.70990000000058</c:v>
                </c:pt>
                <c:pt idx="647">
                  <c:v>36.710000000000583</c:v>
                </c:pt>
                <c:pt idx="648">
                  <c:v>36.710100000000587</c:v>
                </c:pt>
                <c:pt idx="649">
                  <c:v>36.71020000000059</c:v>
                </c:pt>
                <c:pt idx="650">
                  <c:v>36.710300000000593</c:v>
                </c:pt>
                <c:pt idx="651">
                  <c:v>36.710400000000597</c:v>
                </c:pt>
                <c:pt idx="652">
                  <c:v>36.7105000000006</c:v>
                </c:pt>
                <c:pt idx="653">
                  <c:v>36.710600000000603</c:v>
                </c:pt>
                <c:pt idx="654">
                  <c:v>36.710700000000607</c:v>
                </c:pt>
                <c:pt idx="655">
                  <c:v>36.71080000000061</c:v>
                </c:pt>
                <c:pt idx="656">
                  <c:v>36.710900000000613</c:v>
                </c:pt>
                <c:pt idx="657">
                  <c:v>36.711000000000617</c:v>
                </c:pt>
                <c:pt idx="658">
                  <c:v>36.71110000000062</c:v>
                </c:pt>
                <c:pt idx="659">
                  <c:v>36.711200000000623</c:v>
                </c:pt>
                <c:pt idx="660">
                  <c:v>36.711300000000627</c:v>
                </c:pt>
                <c:pt idx="661">
                  <c:v>36.71140000000063</c:v>
                </c:pt>
                <c:pt idx="662">
                  <c:v>36.711500000000633</c:v>
                </c:pt>
                <c:pt idx="663">
                  <c:v>36.711600000000637</c:v>
                </c:pt>
                <c:pt idx="664">
                  <c:v>36.71170000000064</c:v>
                </c:pt>
                <c:pt idx="665">
                  <c:v>36.711800000000643</c:v>
                </c:pt>
                <c:pt idx="666">
                  <c:v>36.711900000000647</c:v>
                </c:pt>
                <c:pt idx="667">
                  <c:v>36.71200000000065</c:v>
                </c:pt>
                <c:pt idx="668">
                  <c:v>36.712100000000653</c:v>
                </c:pt>
                <c:pt idx="669">
                  <c:v>36.712200000000657</c:v>
                </c:pt>
                <c:pt idx="670">
                  <c:v>36.71230000000066</c:v>
                </c:pt>
                <c:pt idx="671">
                  <c:v>36.712400000000663</c:v>
                </c:pt>
                <c:pt idx="672">
                  <c:v>36.712500000000666</c:v>
                </c:pt>
                <c:pt idx="673">
                  <c:v>36.71260000000067</c:v>
                </c:pt>
                <c:pt idx="674">
                  <c:v>36.712700000000673</c:v>
                </c:pt>
                <c:pt idx="675">
                  <c:v>36.712800000000676</c:v>
                </c:pt>
                <c:pt idx="676">
                  <c:v>36.71290000000068</c:v>
                </c:pt>
                <c:pt idx="677">
                  <c:v>36.713000000000683</c:v>
                </c:pt>
                <c:pt idx="678">
                  <c:v>36.713100000000686</c:v>
                </c:pt>
                <c:pt idx="679">
                  <c:v>36.71320000000069</c:v>
                </c:pt>
                <c:pt idx="680">
                  <c:v>36.713300000000693</c:v>
                </c:pt>
                <c:pt idx="681">
                  <c:v>36.713400000000696</c:v>
                </c:pt>
                <c:pt idx="682">
                  <c:v>36.7135000000007</c:v>
                </c:pt>
                <c:pt idx="683">
                  <c:v>36.713600000000703</c:v>
                </c:pt>
                <c:pt idx="684">
                  <c:v>36.713700000000706</c:v>
                </c:pt>
                <c:pt idx="685">
                  <c:v>36.71380000000071</c:v>
                </c:pt>
                <c:pt idx="686">
                  <c:v>36.713900000000713</c:v>
                </c:pt>
                <c:pt idx="687">
                  <c:v>36.714000000000716</c:v>
                </c:pt>
                <c:pt idx="688">
                  <c:v>36.71410000000072</c:v>
                </c:pt>
                <c:pt idx="689">
                  <c:v>36.714200000000723</c:v>
                </c:pt>
                <c:pt idx="690">
                  <c:v>36.714300000000726</c:v>
                </c:pt>
                <c:pt idx="691">
                  <c:v>36.71440000000073</c:v>
                </c:pt>
                <c:pt idx="692">
                  <c:v>36.714500000000733</c:v>
                </c:pt>
                <c:pt idx="693">
                  <c:v>36.714600000000736</c:v>
                </c:pt>
                <c:pt idx="694">
                  <c:v>36.71470000000074</c:v>
                </c:pt>
                <c:pt idx="695">
                  <c:v>36.714800000000743</c:v>
                </c:pt>
                <c:pt idx="696">
                  <c:v>36.714900000000746</c:v>
                </c:pt>
                <c:pt idx="697">
                  <c:v>36.715000000000749</c:v>
                </c:pt>
                <c:pt idx="698">
                  <c:v>36.715100000000753</c:v>
                </c:pt>
                <c:pt idx="699">
                  <c:v>36.715200000000756</c:v>
                </c:pt>
                <c:pt idx="700">
                  <c:v>36.715300000000759</c:v>
                </c:pt>
                <c:pt idx="701">
                  <c:v>36.715400000000763</c:v>
                </c:pt>
                <c:pt idx="702">
                  <c:v>36.715500000000766</c:v>
                </c:pt>
                <c:pt idx="703">
                  <c:v>36.715600000000769</c:v>
                </c:pt>
                <c:pt idx="704">
                  <c:v>36.715700000000773</c:v>
                </c:pt>
                <c:pt idx="705">
                  <c:v>36.715800000000776</c:v>
                </c:pt>
                <c:pt idx="706">
                  <c:v>36.715900000000779</c:v>
                </c:pt>
                <c:pt idx="707">
                  <c:v>36.716000000000783</c:v>
                </c:pt>
                <c:pt idx="708">
                  <c:v>36.716100000000786</c:v>
                </c:pt>
                <c:pt idx="709">
                  <c:v>36.716200000000789</c:v>
                </c:pt>
                <c:pt idx="710">
                  <c:v>36.716300000000793</c:v>
                </c:pt>
                <c:pt idx="711">
                  <c:v>36.716400000000796</c:v>
                </c:pt>
                <c:pt idx="712">
                  <c:v>36.716500000000799</c:v>
                </c:pt>
                <c:pt idx="713">
                  <c:v>36.716600000000803</c:v>
                </c:pt>
                <c:pt idx="714">
                  <c:v>36.716700000000806</c:v>
                </c:pt>
                <c:pt idx="715">
                  <c:v>36.716800000000809</c:v>
                </c:pt>
                <c:pt idx="716">
                  <c:v>36.716900000000813</c:v>
                </c:pt>
                <c:pt idx="717">
                  <c:v>36.717000000000816</c:v>
                </c:pt>
                <c:pt idx="718">
                  <c:v>36.717100000000819</c:v>
                </c:pt>
                <c:pt idx="719">
                  <c:v>36.717200000000823</c:v>
                </c:pt>
                <c:pt idx="720">
                  <c:v>36.717300000000826</c:v>
                </c:pt>
                <c:pt idx="721">
                  <c:v>36.717400000000829</c:v>
                </c:pt>
                <c:pt idx="722">
                  <c:v>36.717500000000832</c:v>
                </c:pt>
                <c:pt idx="723">
                  <c:v>36.717600000000836</c:v>
                </c:pt>
                <c:pt idx="724">
                  <c:v>36.717700000000839</c:v>
                </c:pt>
                <c:pt idx="725">
                  <c:v>36.717800000000842</c:v>
                </c:pt>
                <c:pt idx="726">
                  <c:v>36.717900000000846</c:v>
                </c:pt>
                <c:pt idx="727">
                  <c:v>36.718000000000849</c:v>
                </c:pt>
                <c:pt idx="728">
                  <c:v>36.718100000000852</c:v>
                </c:pt>
                <c:pt idx="729">
                  <c:v>36.718200000000856</c:v>
                </c:pt>
                <c:pt idx="730">
                  <c:v>36.718300000000859</c:v>
                </c:pt>
                <c:pt idx="731">
                  <c:v>36.718400000000862</c:v>
                </c:pt>
                <c:pt idx="732">
                  <c:v>36.718500000000866</c:v>
                </c:pt>
                <c:pt idx="733">
                  <c:v>36.718600000000869</c:v>
                </c:pt>
                <c:pt idx="734">
                  <c:v>36.718700000000872</c:v>
                </c:pt>
                <c:pt idx="735">
                  <c:v>36.718800000000876</c:v>
                </c:pt>
                <c:pt idx="736">
                  <c:v>36.718900000000879</c:v>
                </c:pt>
                <c:pt idx="737">
                  <c:v>36.719000000000882</c:v>
                </c:pt>
                <c:pt idx="738">
                  <c:v>36.719100000000886</c:v>
                </c:pt>
                <c:pt idx="739">
                  <c:v>36.719200000000889</c:v>
                </c:pt>
                <c:pt idx="740">
                  <c:v>36.719300000000892</c:v>
                </c:pt>
                <c:pt idx="741">
                  <c:v>36.719400000000896</c:v>
                </c:pt>
                <c:pt idx="742">
                  <c:v>36.719500000000899</c:v>
                </c:pt>
                <c:pt idx="743">
                  <c:v>36.719600000000902</c:v>
                </c:pt>
                <c:pt idx="744">
                  <c:v>36.719700000000906</c:v>
                </c:pt>
                <c:pt idx="745">
                  <c:v>36.719800000000909</c:v>
                </c:pt>
                <c:pt idx="746">
                  <c:v>36.719900000000912</c:v>
                </c:pt>
                <c:pt idx="747">
                  <c:v>36.720000000000915</c:v>
                </c:pt>
                <c:pt idx="748">
                  <c:v>36.720100000000919</c:v>
                </c:pt>
                <c:pt idx="749">
                  <c:v>36.720200000000922</c:v>
                </c:pt>
                <c:pt idx="750">
                  <c:v>36.720300000000925</c:v>
                </c:pt>
                <c:pt idx="751">
                  <c:v>36.720400000000929</c:v>
                </c:pt>
                <c:pt idx="752">
                  <c:v>36.720500000000932</c:v>
                </c:pt>
                <c:pt idx="753">
                  <c:v>36.720600000000935</c:v>
                </c:pt>
                <c:pt idx="754">
                  <c:v>36.720700000000939</c:v>
                </c:pt>
                <c:pt idx="755">
                  <c:v>36.720800000000942</c:v>
                </c:pt>
                <c:pt idx="756">
                  <c:v>36.720900000000945</c:v>
                </c:pt>
                <c:pt idx="757">
                  <c:v>36.721000000000949</c:v>
                </c:pt>
                <c:pt idx="758">
                  <c:v>36.721100000000952</c:v>
                </c:pt>
                <c:pt idx="759">
                  <c:v>36.721200000000955</c:v>
                </c:pt>
                <c:pt idx="760">
                  <c:v>36.721300000000959</c:v>
                </c:pt>
                <c:pt idx="761">
                  <c:v>36.721400000000962</c:v>
                </c:pt>
                <c:pt idx="762">
                  <c:v>36.721500000000965</c:v>
                </c:pt>
                <c:pt idx="763">
                  <c:v>36.721600000000969</c:v>
                </c:pt>
                <c:pt idx="764">
                  <c:v>36.721700000000972</c:v>
                </c:pt>
                <c:pt idx="765">
                  <c:v>36.721800000000975</c:v>
                </c:pt>
                <c:pt idx="766">
                  <c:v>36.721900000000979</c:v>
                </c:pt>
                <c:pt idx="767">
                  <c:v>36.722000000000982</c:v>
                </c:pt>
                <c:pt idx="768">
                  <c:v>36.722100000000985</c:v>
                </c:pt>
                <c:pt idx="769">
                  <c:v>36.722200000000988</c:v>
                </c:pt>
                <c:pt idx="770">
                  <c:v>36.722300000000992</c:v>
                </c:pt>
                <c:pt idx="771">
                  <c:v>36.722400000000995</c:v>
                </c:pt>
                <c:pt idx="772">
                  <c:v>36.722500000000998</c:v>
                </c:pt>
                <c:pt idx="773">
                  <c:v>36.722600000001002</c:v>
                </c:pt>
                <c:pt idx="774">
                  <c:v>36.722700000001005</c:v>
                </c:pt>
                <c:pt idx="775">
                  <c:v>36.722800000001008</c:v>
                </c:pt>
                <c:pt idx="776">
                  <c:v>36.722900000001012</c:v>
                </c:pt>
                <c:pt idx="777">
                  <c:v>36.723000000001015</c:v>
                </c:pt>
                <c:pt idx="778">
                  <c:v>36.723100000001018</c:v>
                </c:pt>
                <c:pt idx="779">
                  <c:v>36.723200000001022</c:v>
                </c:pt>
                <c:pt idx="780">
                  <c:v>36.723300000001025</c:v>
                </c:pt>
                <c:pt idx="781">
                  <c:v>36.723400000001028</c:v>
                </c:pt>
                <c:pt idx="782">
                  <c:v>36.723500000001032</c:v>
                </c:pt>
                <c:pt idx="783">
                  <c:v>36.723600000001035</c:v>
                </c:pt>
                <c:pt idx="784">
                  <c:v>36.723700000001038</c:v>
                </c:pt>
                <c:pt idx="785">
                  <c:v>36.723800000001042</c:v>
                </c:pt>
                <c:pt idx="786">
                  <c:v>36.723900000001045</c:v>
                </c:pt>
                <c:pt idx="787">
                  <c:v>36.724000000001048</c:v>
                </c:pt>
                <c:pt idx="788">
                  <c:v>36.724100000001052</c:v>
                </c:pt>
                <c:pt idx="789">
                  <c:v>36.724200000001055</c:v>
                </c:pt>
                <c:pt idx="790">
                  <c:v>36.724300000001058</c:v>
                </c:pt>
                <c:pt idx="791">
                  <c:v>36.724400000001062</c:v>
                </c:pt>
                <c:pt idx="792">
                  <c:v>36.724500000001065</c:v>
                </c:pt>
                <c:pt idx="793">
                  <c:v>36.724600000001068</c:v>
                </c:pt>
                <c:pt idx="794">
                  <c:v>36.724700000001071</c:v>
                </c:pt>
                <c:pt idx="795">
                  <c:v>36.724800000001075</c:v>
                </c:pt>
                <c:pt idx="796">
                  <c:v>36.724900000001078</c:v>
                </c:pt>
                <c:pt idx="797">
                  <c:v>36.725000000001081</c:v>
                </c:pt>
                <c:pt idx="798">
                  <c:v>36.725100000001085</c:v>
                </c:pt>
                <c:pt idx="799">
                  <c:v>36.725200000001088</c:v>
                </c:pt>
                <c:pt idx="800">
                  <c:v>36.725300000001091</c:v>
                </c:pt>
                <c:pt idx="801">
                  <c:v>36.725400000001095</c:v>
                </c:pt>
                <c:pt idx="802">
                  <c:v>36.725500000001098</c:v>
                </c:pt>
                <c:pt idx="803">
                  <c:v>36.725600000001101</c:v>
                </c:pt>
                <c:pt idx="804">
                  <c:v>36.725700000001105</c:v>
                </c:pt>
                <c:pt idx="805">
                  <c:v>36.725800000001108</c:v>
                </c:pt>
                <c:pt idx="806">
                  <c:v>36.725900000001111</c:v>
                </c:pt>
                <c:pt idx="807">
                  <c:v>36.726000000001115</c:v>
                </c:pt>
                <c:pt idx="808">
                  <c:v>36.726100000001118</c:v>
                </c:pt>
                <c:pt idx="809">
                  <c:v>36.726200000001121</c:v>
                </c:pt>
                <c:pt idx="810">
                  <c:v>36.726300000001125</c:v>
                </c:pt>
                <c:pt idx="811">
                  <c:v>36.726400000001128</c:v>
                </c:pt>
                <c:pt idx="812">
                  <c:v>36.726500000001131</c:v>
                </c:pt>
                <c:pt idx="813">
                  <c:v>36.726600000001135</c:v>
                </c:pt>
                <c:pt idx="814">
                  <c:v>36.726700000001138</c:v>
                </c:pt>
                <c:pt idx="815">
                  <c:v>36.726800000001141</c:v>
                </c:pt>
                <c:pt idx="816">
                  <c:v>36.726900000001145</c:v>
                </c:pt>
                <c:pt idx="817">
                  <c:v>36.727000000001148</c:v>
                </c:pt>
                <c:pt idx="818">
                  <c:v>36.727100000001151</c:v>
                </c:pt>
                <c:pt idx="819">
                  <c:v>36.727200000001154</c:v>
                </c:pt>
                <c:pt idx="820">
                  <c:v>36.727300000001158</c:v>
                </c:pt>
                <c:pt idx="821">
                  <c:v>36.727400000001161</c:v>
                </c:pt>
                <c:pt idx="822">
                  <c:v>36.727500000001164</c:v>
                </c:pt>
                <c:pt idx="823">
                  <c:v>36.727600000001168</c:v>
                </c:pt>
                <c:pt idx="824">
                  <c:v>36.727700000001171</c:v>
                </c:pt>
                <c:pt idx="825">
                  <c:v>36.727800000001174</c:v>
                </c:pt>
                <c:pt idx="826">
                  <c:v>36.727900000001178</c:v>
                </c:pt>
                <c:pt idx="827">
                  <c:v>36.728000000001181</c:v>
                </c:pt>
                <c:pt idx="828">
                  <c:v>36.728100000001184</c:v>
                </c:pt>
                <c:pt idx="829">
                  <c:v>36.728200000001188</c:v>
                </c:pt>
                <c:pt idx="830">
                  <c:v>36.728300000001191</c:v>
                </c:pt>
                <c:pt idx="831">
                  <c:v>36.728400000001194</c:v>
                </c:pt>
                <c:pt idx="832">
                  <c:v>36.728500000001198</c:v>
                </c:pt>
                <c:pt idx="833">
                  <c:v>36.728600000001201</c:v>
                </c:pt>
                <c:pt idx="834">
                  <c:v>36.728700000001204</c:v>
                </c:pt>
                <c:pt idx="835">
                  <c:v>36.728800000001208</c:v>
                </c:pt>
                <c:pt idx="836">
                  <c:v>36.728900000001211</c:v>
                </c:pt>
                <c:pt idx="837">
                  <c:v>36.729000000001214</c:v>
                </c:pt>
                <c:pt idx="838">
                  <c:v>36.729100000001218</c:v>
                </c:pt>
                <c:pt idx="839">
                  <c:v>36.729200000001221</c:v>
                </c:pt>
                <c:pt idx="840">
                  <c:v>36.729300000001224</c:v>
                </c:pt>
                <c:pt idx="841">
                  <c:v>36.729400000001228</c:v>
                </c:pt>
                <c:pt idx="842">
                  <c:v>36.729500000001231</c:v>
                </c:pt>
                <c:pt idx="843">
                  <c:v>36.729600000001234</c:v>
                </c:pt>
                <c:pt idx="844">
                  <c:v>36.729700000001237</c:v>
                </c:pt>
                <c:pt idx="845">
                  <c:v>36.729800000001241</c:v>
                </c:pt>
                <c:pt idx="846">
                  <c:v>36.729900000001244</c:v>
                </c:pt>
                <c:pt idx="847">
                  <c:v>36.730000000001247</c:v>
                </c:pt>
                <c:pt idx="848">
                  <c:v>36.730100000001251</c:v>
                </c:pt>
                <c:pt idx="849">
                  <c:v>36.730200000001254</c:v>
                </c:pt>
                <c:pt idx="850">
                  <c:v>36.730300000001257</c:v>
                </c:pt>
                <c:pt idx="851">
                  <c:v>36.730400000001261</c:v>
                </c:pt>
                <c:pt idx="852">
                  <c:v>36.730500000001264</c:v>
                </c:pt>
                <c:pt idx="853">
                  <c:v>36.730600000001267</c:v>
                </c:pt>
                <c:pt idx="854">
                  <c:v>36.730700000001271</c:v>
                </c:pt>
                <c:pt idx="855">
                  <c:v>36.730800000001274</c:v>
                </c:pt>
                <c:pt idx="856">
                  <c:v>36.730900000001277</c:v>
                </c:pt>
                <c:pt idx="857">
                  <c:v>36.731000000001281</c:v>
                </c:pt>
                <c:pt idx="858">
                  <c:v>36.731100000001284</c:v>
                </c:pt>
                <c:pt idx="859">
                  <c:v>36.731200000001287</c:v>
                </c:pt>
                <c:pt idx="860">
                  <c:v>36.731300000001291</c:v>
                </c:pt>
                <c:pt idx="861">
                  <c:v>36.731400000001294</c:v>
                </c:pt>
                <c:pt idx="862">
                  <c:v>36.731500000001297</c:v>
                </c:pt>
                <c:pt idx="863">
                  <c:v>36.731600000001301</c:v>
                </c:pt>
                <c:pt idx="864">
                  <c:v>36.731700000001304</c:v>
                </c:pt>
                <c:pt idx="865">
                  <c:v>36.731800000001307</c:v>
                </c:pt>
                <c:pt idx="866">
                  <c:v>36.731900000001311</c:v>
                </c:pt>
                <c:pt idx="867">
                  <c:v>36.732000000001314</c:v>
                </c:pt>
                <c:pt idx="868">
                  <c:v>36.732100000001317</c:v>
                </c:pt>
                <c:pt idx="869">
                  <c:v>36.73220000000132</c:v>
                </c:pt>
                <c:pt idx="870">
                  <c:v>36.732300000001324</c:v>
                </c:pt>
                <c:pt idx="871">
                  <c:v>36.732400000001327</c:v>
                </c:pt>
                <c:pt idx="872">
                  <c:v>36.73250000000133</c:v>
                </c:pt>
                <c:pt idx="873">
                  <c:v>36.732600000001334</c:v>
                </c:pt>
                <c:pt idx="874">
                  <c:v>36.732700000001337</c:v>
                </c:pt>
                <c:pt idx="875">
                  <c:v>36.73280000000134</c:v>
                </c:pt>
                <c:pt idx="876">
                  <c:v>36.732900000001344</c:v>
                </c:pt>
                <c:pt idx="877">
                  <c:v>36.733000000001347</c:v>
                </c:pt>
                <c:pt idx="878">
                  <c:v>36.73310000000135</c:v>
                </c:pt>
                <c:pt idx="879">
                  <c:v>36.733200000001354</c:v>
                </c:pt>
                <c:pt idx="880">
                  <c:v>36.733300000001357</c:v>
                </c:pt>
                <c:pt idx="881">
                  <c:v>36.73340000000136</c:v>
                </c:pt>
                <c:pt idx="882">
                  <c:v>36.733500000001364</c:v>
                </c:pt>
                <c:pt idx="883">
                  <c:v>36.733600000001367</c:v>
                </c:pt>
                <c:pt idx="884">
                  <c:v>36.73370000000137</c:v>
                </c:pt>
                <c:pt idx="885">
                  <c:v>36.733800000001374</c:v>
                </c:pt>
                <c:pt idx="886">
                  <c:v>36.733900000001377</c:v>
                </c:pt>
                <c:pt idx="887">
                  <c:v>36.73400000000138</c:v>
                </c:pt>
                <c:pt idx="888">
                  <c:v>36.734100000001384</c:v>
                </c:pt>
                <c:pt idx="889">
                  <c:v>36.734200000001387</c:v>
                </c:pt>
                <c:pt idx="890">
                  <c:v>36.73430000000139</c:v>
                </c:pt>
                <c:pt idx="891">
                  <c:v>36.734400000001393</c:v>
                </c:pt>
                <c:pt idx="892">
                  <c:v>36.734500000001397</c:v>
                </c:pt>
                <c:pt idx="893">
                  <c:v>36.7346000000014</c:v>
                </c:pt>
                <c:pt idx="894">
                  <c:v>36.734700000001403</c:v>
                </c:pt>
                <c:pt idx="895">
                  <c:v>36.734800000001407</c:v>
                </c:pt>
                <c:pt idx="896">
                  <c:v>36.73490000000141</c:v>
                </c:pt>
                <c:pt idx="897">
                  <c:v>36.735000000001413</c:v>
                </c:pt>
                <c:pt idx="898">
                  <c:v>36.735100000001417</c:v>
                </c:pt>
                <c:pt idx="899">
                  <c:v>36.73520000000142</c:v>
                </c:pt>
                <c:pt idx="900">
                  <c:v>36.735300000001423</c:v>
                </c:pt>
                <c:pt idx="901">
                  <c:v>36.735400000001427</c:v>
                </c:pt>
                <c:pt idx="902">
                  <c:v>36.73550000000143</c:v>
                </c:pt>
                <c:pt idx="903">
                  <c:v>36.735600000001433</c:v>
                </c:pt>
                <c:pt idx="904">
                  <c:v>36.735700000001437</c:v>
                </c:pt>
                <c:pt idx="905">
                  <c:v>36.73580000000144</c:v>
                </c:pt>
                <c:pt idx="906">
                  <c:v>36.735900000001443</c:v>
                </c:pt>
                <c:pt idx="907">
                  <c:v>36.736000000001447</c:v>
                </c:pt>
                <c:pt idx="908">
                  <c:v>36.73610000000145</c:v>
                </c:pt>
                <c:pt idx="909">
                  <c:v>36.736200000001453</c:v>
                </c:pt>
                <c:pt idx="910">
                  <c:v>36.736300000001457</c:v>
                </c:pt>
                <c:pt idx="911">
                  <c:v>36.73640000000146</c:v>
                </c:pt>
                <c:pt idx="912">
                  <c:v>36.736500000001463</c:v>
                </c:pt>
                <c:pt idx="913">
                  <c:v>36.736600000001467</c:v>
                </c:pt>
                <c:pt idx="914">
                  <c:v>36.73670000000147</c:v>
                </c:pt>
                <c:pt idx="915">
                  <c:v>36.736800000001473</c:v>
                </c:pt>
                <c:pt idx="916">
                  <c:v>36.736900000001476</c:v>
                </c:pt>
                <c:pt idx="917">
                  <c:v>36.73700000000148</c:v>
                </c:pt>
                <c:pt idx="918">
                  <c:v>36.737100000001483</c:v>
                </c:pt>
                <c:pt idx="919">
                  <c:v>36.737200000001486</c:v>
                </c:pt>
                <c:pt idx="920">
                  <c:v>36.73730000000149</c:v>
                </c:pt>
                <c:pt idx="921">
                  <c:v>36.737400000001493</c:v>
                </c:pt>
                <c:pt idx="922">
                  <c:v>36.737500000001496</c:v>
                </c:pt>
                <c:pt idx="923">
                  <c:v>36.7376000000015</c:v>
                </c:pt>
                <c:pt idx="924">
                  <c:v>36.737700000001503</c:v>
                </c:pt>
                <c:pt idx="925">
                  <c:v>36.737800000001506</c:v>
                </c:pt>
                <c:pt idx="926">
                  <c:v>36.73790000000151</c:v>
                </c:pt>
                <c:pt idx="927">
                  <c:v>36.738000000001513</c:v>
                </c:pt>
                <c:pt idx="928">
                  <c:v>36.738100000001516</c:v>
                </c:pt>
                <c:pt idx="929">
                  <c:v>36.73820000000152</c:v>
                </c:pt>
                <c:pt idx="930">
                  <c:v>36.738300000001523</c:v>
                </c:pt>
                <c:pt idx="931">
                  <c:v>36.738400000001526</c:v>
                </c:pt>
                <c:pt idx="932">
                  <c:v>36.73850000000153</c:v>
                </c:pt>
                <c:pt idx="933">
                  <c:v>36.738600000001533</c:v>
                </c:pt>
                <c:pt idx="934">
                  <c:v>36.738700000001536</c:v>
                </c:pt>
                <c:pt idx="935">
                  <c:v>36.73880000000154</c:v>
                </c:pt>
                <c:pt idx="936">
                  <c:v>36.738900000001543</c:v>
                </c:pt>
                <c:pt idx="937">
                  <c:v>36.739000000001546</c:v>
                </c:pt>
                <c:pt idx="938">
                  <c:v>36.73910000000155</c:v>
                </c:pt>
                <c:pt idx="939">
                  <c:v>36.739200000001553</c:v>
                </c:pt>
                <c:pt idx="940">
                  <c:v>36.739300000001556</c:v>
                </c:pt>
                <c:pt idx="941">
                  <c:v>36.739400000001559</c:v>
                </c:pt>
                <c:pt idx="942">
                  <c:v>36.739500000001563</c:v>
                </c:pt>
                <c:pt idx="943">
                  <c:v>36.739600000001566</c:v>
                </c:pt>
                <c:pt idx="944">
                  <c:v>36.739700000001569</c:v>
                </c:pt>
                <c:pt idx="945">
                  <c:v>36.739800000001573</c:v>
                </c:pt>
                <c:pt idx="946">
                  <c:v>36.739900000001576</c:v>
                </c:pt>
                <c:pt idx="947">
                  <c:v>36.740000000001579</c:v>
                </c:pt>
                <c:pt idx="948">
                  <c:v>36.740100000001583</c:v>
                </c:pt>
                <c:pt idx="949">
                  <c:v>36.740200000001586</c:v>
                </c:pt>
                <c:pt idx="950">
                  <c:v>36.740300000001589</c:v>
                </c:pt>
                <c:pt idx="951">
                  <c:v>36.740400000001593</c:v>
                </c:pt>
                <c:pt idx="952">
                  <c:v>36.740500000001596</c:v>
                </c:pt>
                <c:pt idx="953">
                  <c:v>36.740600000001599</c:v>
                </c:pt>
                <c:pt idx="954">
                  <c:v>36.740700000001603</c:v>
                </c:pt>
                <c:pt idx="955">
                  <c:v>36.740800000001606</c:v>
                </c:pt>
                <c:pt idx="956">
                  <c:v>36.740900000001609</c:v>
                </c:pt>
                <c:pt idx="957">
                  <c:v>36.741000000001613</c:v>
                </c:pt>
                <c:pt idx="958">
                  <c:v>36.741100000001616</c:v>
                </c:pt>
                <c:pt idx="959">
                  <c:v>36.741200000001619</c:v>
                </c:pt>
                <c:pt idx="960">
                  <c:v>36.741300000001623</c:v>
                </c:pt>
                <c:pt idx="961">
                  <c:v>36.741400000001626</c:v>
                </c:pt>
                <c:pt idx="962">
                  <c:v>36.741500000001629</c:v>
                </c:pt>
                <c:pt idx="963">
                  <c:v>36.741600000001633</c:v>
                </c:pt>
                <c:pt idx="964">
                  <c:v>36.741700000001636</c:v>
                </c:pt>
                <c:pt idx="965">
                  <c:v>36.741800000001639</c:v>
                </c:pt>
                <c:pt idx="966">
                  <c:v>36.741900000001642</c:v>
                </c:pt>
                <c:pt idx="967">
                  <c:v>36.742000000001646</c:v>
                </c:pt>
                <c:pt idx="968">
                  <c:v>36.742100000001649</c:v>
                </c:pt>
                <c:pt idx="969">
                  <c:v>36.742200000001652</c:v>
                </c:pt>
                <c:pt idx="970">
                  <c:v>36.742300000001656</c:v>
                </c:pt>
                <c:pt idx="971">
                  <c:v>36.742400000001659</c:v>
                </c:pt>
                <c:pt idx="972">
                  <c:v>36.742500000001662</c:v>
                </c:pt>
                <c:pt idx="973">
                  <c:v>36.742600000001666</c:v>
                </c:pt>
                <c:pt idx="974">
                  <c:v>36.742700000001669</c:v>
                </c:pt>
                <c:pt idx="975">
                  <c:v>36.742800000001672</c:v>
                </c:pt>
                <c:pt idx="976">
                  <c:v>36.742900000001676</c:v>
                </c:pt>
                <c:pt idx="977">
                  <c:v>36.743000000001679</c:v>
                </c:pt>
                <c:pt idx="978">
                  <c:v>36.743100000001682</c:v>
                </c:pt>
                <c:pt idx="979">
                  <c:v>36.743200000001686</c:v>
                </c:pt>
                <c:pt idx="980">
                  <c:v>36.743300000001689</c:v>
                </c:pt>
                <c:pt idx="981">
                  <c:v>36.743400000001692</c:v>
                </c:pt>
                <c:pt idx="982">
                  <c:v>36.743500000001696</c:v>
                </c:pt>
                <c:pt idx="983">
                  <c:v>36.743600000001699</c:v>
                </c:pt>
                <c:pt idx="984">
                  <c:v>36.743700000001702</c:v>
                </c:pt>
                <c:pt idx="985">
                  <c:v>36.743800000001706</c:v>
                </c:pt>
                <c:pt idx="986">
                  <c:v>36.743900000001709</c:v>
                </c:pt>
                <c:pt idx="987">
                  <c:v>36.744000000001712</c:v>
                </c:pt>
                <c:pt idx="988">
                  <c:v>36.744100000001716</c:v>
                </c:pt>
                <c:pt idx="989">
                  <c:v>36.744200000001719</c:v>
                </c:pt>
                <c:pt idx="990">
                  <c:v>36.744300000001722</c:v>
                </c:pt>
                <c:pt idx="991">
                  <c:v>36.744400000001725</c:v>
                </c:pt>
                <c:pt idx="992">
                  <c:v>36.744500000001729</c:v>
                </c:pt>
                <c:pt idx="993">
                  <c:v>36.744600000001732</c:v>
                </c:pt>
                <c:pt idx="994">
                  <c:v>36.744700000001735</c:v>
                </c:pt>
                <c:pt idx="995">
                  <c:v>36.744800000001739</c:v>
                </c:pt>
                <c:pt idx="996">
                  <c:v>36.744900000001742</c:v>
                </c:pt>
                <c:pt idx="997">
                  <c:v>36.745000000001745</c:v>
                </c:pt>
                <c:pt idx="998">
                  <c:v>36.745100000001749</c:v>
                </c:pt>
                <c:pt idx="999">
                  <c:v>36.745200000001752</c:v>
                </c:pt>
                <c:pt idx="1000">
                  <c:v>36.745300000001755</c:v>
                </c:pt>
              </c:numCache>
            </c:numRef>
          </c:xVal>
          <c:yVal>
            <c:numRef>
              <c:f>Calculs!$J$4:$J$1004</c:f>
              <c:numCache>
                <c:formatCode>0.00</c:formatCode>
                <c:ptCount val="1001"/>
                <c:pt idx="0">
                  <c:v>0</c:v>
                </c:pt>
                <c:pt idx="1">
                  <c:v>1.7892997656497936E-4</c:v>
                </c:pt>
                <c:pt idx="2">
                  <c:v>1.4474288184167655E-3</c:v>
                </c:pt>
                <c:pt idx="3">
                  <c:v>4.9832137393807791E-3</c:v>
                </c:pt>
                <c:pt idx="4">
                  <c:v>1.1185805984879213E-2</c:v>
                </c:pt>
                <c:pt idx="5">
                  <c:v>1.9962106559816332E-2</c:v>
                </c:pt>
                <c:pt idx="6">
                  <c:v>3.1247287650135055E-2</c:v>
                </c:pt>
                <c:pt idx="7">
                  <c:v>4.5033399923459179E-2</c:v>
                </c:pt>
                <c:pt idx="8">
                  <c:v>6.1340984352270589E-2</c:v>
                </c:pt>
                <c:pt idx="9">
                  <c:v>8.0190597511336087E-2</c:v>
                </c:pt>
                <c:pt idx="10">
                  <c:v>0.10160281123163188</c:v>
                </c:pt>
                <c:pt idx="11">
                  <c:v>0.12559525131653826</c:v>
                </c:pt>
                <c:pt idx="12">
                  <c:v>0.152179627257715</c:v>
                </c:pt>
                <c:pt idx="13">
                  <c:v>0.18136467950163004</c:v>
                </c:pt>
                <c:pt idx="14">
                  <c:v>0.21315913574829407</c:v>
                </c:pt>
                <c:pt idx="15">
                  <c:v>0.24757171066501538</c:v>
                </c:pt>
                <c:pt idx="16">
                  <c:v>0.28461110559901903</c:v>
                </c:pt>
                <c:pt idx="17">
                  <c:v>0.32428600828894893</c:v>
                </c:pt>
                <c:pt idx="18">
                  <c:v>0.36660509257527152</c:v>
                </c:pt>
                <c:pt idx="19">
                  <c:v>0.41157701810960073</c:v>
                </c:pt>
                <c:pt idx="20">
                  <c:v>0.45921043006296369</c:v>
                </c:pt>
                <c:pt idx="21">
                  <c:v>0.5095127693343231</c:v>
                </c:pt>
                <c:pt idx="22">
                  <c:v>0.56248907919422608</c:v>
                </c:pt>
                <c:pt idx="23">
                  <c:v>0.61814318931996148</c:v>
                </c:pt>
                <c:pt idx="24">
                  <c:v>0.67647890344921857</c:v>
                </c:pt>
                <c:pt idx="25">
                  <c:v>0.73749999919546472</c:v>
                </c:pt>
                <c:pt idx="26">
                  <c:v>0.8012941763834075</c:v>
                </c:pt>
                <c:pt idx="27">
                  <c:v>0.86795272947429092</c:v>
                </c:pt>
                <c:pt idx="28">
                  <c:v>0.93748653958243822</c:v>
                </c:pt>
                <c:pt idx="29">
                  <c:v>1.0099062825247531</c:v>
                </c:pt>
                <c:pt idx="30">
                  <c:v>1.085222377190548</c:v>
                </c:pt>
                <c:pt idx="31">
                  <c:v>1.1634450013451973</c:v>
                </c:pt>
                <c:pt idx="32">
                  <c:v>1.2445841058013298</c:v>
                </c:pt>
                <c:pt idx="33">
                  <c:v>1.3286494271723839</c:v>
                </c:pt>
                <c:pt idx="34">
                  <c:v>1.415650499389117</c:v>
                </c:pt>
                <c:pt idx="35">
                  <c:v>1.5055966641317808</c:v>
                </c:pt>
                <c:pt idx="36">
                  <c:v>1.5984970803078113</c:v>
                </c:pt>
                <c:pt idx="37">
                  <c:v>1.6943607326860135</c:v>
                </c:pt>
                <c:pt idx="38">
                  <c:v>1.7931964397825528</c:v>
                </c:pt>
                <c:pt idx="39">
                  <c:v>1.8950128610809818</c:v>
                </c:pt>
                <c:pt idx="40">
                  <c:v>1.9998185036575469</c:v>
                </c:pt>
                <c:pt idx="41">
                  <c:v>2.1076207712838904</c:v>
                </c:pt>
                <c:pt idx="42">
                  <c:v>2.218425005839372</c:v>
                </c:pt>
                <c:pt idx="43">
                  <c:v>2.3322354399259564</c:v>
                </c:pt>
                <c:pt idx="44">
                  <c:v>2.449056156621757</c:v>
                </c:pt>
                <c:pt idx="45">
                  <c:v>2.5688910945344472</c:v>
                </c:pt>
                <c:pt idx="46">
                  <c:v>2.6917440524969045</c:v>
                </c:pt>
                <c:pt idx="47">
                  <c:v>2.8176186939381216</c:v>
                </c:pt>
                <c:pt idx="48">
                  <c:v>2.9465185509587153</c:v>
                </c:pt>
                <c:pt idx="49">
                  <c:v>3.0784470281371492</c:v>
                </c:pt>
                <c:pt idx="50">
                  <c:v>3.2134074060899813</c:v>
                </c:pt>
                <c:pt idx="51">
                  <c:v>3.351402844807001</c:v>
                </c:pt>
                <c:pt idx="52">
                  <c:v>3.4924363867799717</c:v>
                </c:pt>
                <c:pt idx="53">
                  <c:v>3.6365109599418122</c:v>
                </c:pt>
                <c:pt idx="54">
                  <c:v>3.7836293804313885</c:v>
                </c:pt>
                <c:pt idx="55">
                  <c:v>3.9337943551976151</c:v>
                </c:pt>
                <c:pt idx="56">
                  <c:v>4.0870084844552679</c:v>
                </c:pt>
                <c:pt idx="57">
                  <c:v>4.2432742640037509</c:v>
                </c:pt>
                <c:pt idx="58">
                  <c:v>4.4025940874190415</c:v>
                </c:pt>
                <c:pt idx="59">
                  <c:v>4.5649702481281036</c:v>
                </c:pt>
                <c:pt idx="60">
                  <c:v>4.7304049413742542</c:v>
                </c:pt>
                <c:pt idx="61">
                  <c:v>4.8989002660812258</c:v>
                </c:pt>
                <c:pt idx="62">
                  <c:v>5.0704582266230132</c:v>
                </c:pt>
                <c:pt idx="63">
                  <c:v>5.2450807345059918</c:v>
                </c:pt>
                <c:pt idx="64">
                  <c:v>5.4227696099692642</c:v>
                </c:pt>
                <c:pt idx="65">
                  <c:v>5.6035265835087165</c:v>
                </c:pt>
                <c:pt idx="66">
                  <c:v>5.7873532973298154</c:v>
                </c:pt>
                <c:pt idx="67">
                  <c:v>5.9742513067337928</c:v>
                </c:pt>
                <c:pt idx="68">
                  <c:v>6.1642220814415012</c:v>
                </c:pt>
                <c:pt idx="69">
                  <c:v>6.3572670068588977</c:v>
                </c:pt>
                <c:pt idx="70">
                  <c:v>6.5533873852878211</c:v>
                </c:pt>
                <c:pt idx="71">
                  <c:v>6.7525844370854538</c:v>
                </c:pt>
                <c:pt idx="72">
                  <c:v>6.954859301775608</c:v>
                </c:pt>
                <c:pt idx="73">
                  <c:v>7.1602130391147609</c:v>
                </c:pt>
                <c:pt idx="74">
                  <c:v>7.3686466301155544</c:v>
                </c:pt>
                <c:pt idx="75">
                  <c:v>7.5801609780302721</c:v>
                </c:pt>
                <c:pt idx="76">
                  <c:v>7.794756909296658</c:v>
                </c:pt>
                <c:pt idx="77">
                  <c:v>8.0124351744482567</c:v>
                </c:pt>
                <c:pt idx="78">
                  <c:v>8.2331964489913236</c:v>
                </c:pt>
                <c:pt idx="79">
                  <c:v>8.4570413342502153</c:v>
                </c:pt>
                <c:pt idx="80">
                  <c:v>8.683970358183041</c:v>
                </c:pt>
                <c:pt idx="81">
                  <c:v>8.9139829542945961</c:v>
                </c:pt>
                <c:pt idx="82">
                  <c:v>9.1470764357997627</c:v>
                </c:pt>
                <c:pt idx="83">
                  <c:v>9.3832470122053717</c:v>
                </c:pt>
                <c:pt idx="84">
                  <c:v>9.6224908107447931</c:v>
                </c:pt>
                <c:pt idx="85">
                  <c:v>9.8648038773720774</c:v>
                </c:pt>
                <c:pt idx="86">
                  <c:v>10.110182177729953</c:v>
                </c:pt>
                <c:pt idx="87">
                  <c:v>10.3586215980931</c:v>
                </c:pt>
                <c:pt idx="88">
                  <c:v>10.610117946288042</c:v>
                </c:pt>
                <c:pt idx="89">
                  <c:v>10.864666952590948</c:v>
                </c:pt>
                <c:pt idx="90">
                  <c:v>11.122264270604477</c:v>
                </c:pt>
                <c:pt idx="91">
                  <c:v>11.382905022507245</c:v>
                </c:pt>
                <c:pt idx="92">
                  <c:v>11.646583342379879</c:v>
                </c:pt>
                <c:pt idx="93">
                  <c:v>11.91329283025769</c:v>
                </c:pt>
                <c:pt idx="94">
                  <c:v>12.183027008137143</c:v>
                </c:pt>
                <c:pt idx="95">
                  <c:v>12.455779320894628</c:v>
                </c:pt>
                <c:pt idx="96">
                  <c:v>12.731543137188357</c:v>
                </c:pt>
                <c:pt idx="97">
                  <c:v>13.010311750344218</c:v>
                </c:pt>
                <c:pt idx="98">
                  <c:v>13.292078379226389</c:v>
                </c:pt>
                <c:pt idx="99">
                  <c:v>13.57683616909347</c:v>
                </c:pt>
                <c:pt idx="100">
                  <c:v>13.864578192440836</c:v>
                </c:pt>
                <c:pt idx="101">
                  <c:v>14.155297376350045</c:v>
                </c:pt>
                <c:pt idx="102">
                  <c:v>14.448986429548018</c:v>
                </c:pt>
                <c:pt idx="103">
                  <c:v>14.745637916355145</c:v>
                </c:pt>
                <c:pt idx="104">
                  <c:v>15.04524433090991</c:v>
                </c:pt>
                <c:pt idx="105">
                  <c:v>15.347798097971733</c:v>
                </c:pt>
                <c:pt idx="106">
                  <c:v>15.653291573713307</c:v>
                </c:pt>
                <c:pt idx="107">
                  <c:v>15.961717046502892</c:v>
                </c:pt>
                <c:pt idx="108">
                  <c:v>16.27306673767702</c:v>
                </c:pt>
                <c:pt idx="109">
                  <c:v>16.58733280230404</c:v>
                </c:pt>
                <c:pt idx="110">
                  <c:v>16.904507329938905</c:v>
                </c:pt>
                <c:pt idx="111">
                  <c:v>17.224583197876726</c:v>
                </c:pt>
                <c:pt idx="112">
                  <c:v>17.547554927316444</c:v>
                </c:pt>
                <c:pt idx="113">
                  <c:v>17.873417835004652</c:v>
                </c:pt>
                <c:pt idx="114">
                  <c:v>18.202167181847798</c:v>
                </c:pt>
                <c:pt idx="115">
                  <c:v>18.533798173417278</c:v>
                </c:pt>
                <c:pt idx="116">
                  <c:v>18.868305960449607</c:v>
                </c:pt>
                <c:pt idx="117">
                  <c:v>19.205685639341908</c:v>
                </c:pt>
                <c:pt idx="118">
                  <c:v>19.545932252642903</c:v>
                </c:pt>
                <c:pt idx="119">
                  <c:v>19.889040789539624</c:v>
                </c:pt>
                <c:pt idx="120">
                  <c:v>20.235006186340019</c:v>
                </c:pt>
                <c:pt idx="121">
                  <c:v>20.583821902847102</c:v>
                </c:pt>
                <c:pt idx="122">
                  <c:v>20.935478494280126</c:v>
                </c:pt>
                <c:pt idx="123">
                  <c:v>21.289965030840758</c:v>
                </c:pt>
                <c:pt idx="124">
                  <c:v>21.647270521898832</c:v>
                </c:pt>
                <c:pt idx="125">
                  <c:v>22.007383916803164</c:v>
                </c:pt>
                <c:pt idx="126">
                  <c:v>22.370294105686341</c:v>
                </c:pt>
                <c:pt idx="127">
                  <c:v>22.735989920263702</c:v>
                </c:pt>
                <c:pt idx="128">
                  <c:v>23.104460134626635</c:v>
                </c:pt>
                <c:pt idx="129">
                  <c:v>23.475693466030386</c:v>
                </c:pt>
                <c:pt idx="130">
                  <c:v>23.849678575676499</c:v>
                </c:pt>
                <c:pt idx="131">
                  <c:v>24.22640369415118</c:v>
                </c:pt>
                <c:pt idx="132">
                  <c:v>24.605856245813058</c:v>
                </c:pt>
                <c:pt idx="133">
                  <c:v>24.988023223789575</c:v>
                </c:pt>
                <c:pt idx="134">
                  <c:v>25.372891566061412</c:v>
                </c:pt>
                <c:pt idx="135">
                  <c:v>25.760448156314386</c:v>
                </c:pt>
                <c:pt idx="136">
                  <c:v>26.150679824785865</c:v>
                </c:pt>
                <c:pt idx="137">
                  <c:v>26.543573349105799</c:v>
                </c:pt>
                <c:pt idx="138">
                  <c:v>26.939115455132459</c:v>
                </c:pt>
                <c:pt idx="139">
                  <c:v>27.337292817782952</c:v>
                </c:pt>
                <c:pt idx="140">
                  <c:v>27.738092061858637</c:v>
                </c:pt>
                <c:pt idx="141">
                  <c:v>28.141495246640073</c:v>
                </c:pt>
                <c:pt idx="142">
                  <c:v>28.547475339462455</c:v>
                </c:pt>
                <c:pt idx="143">
                  <c:v>28.956000722050604</c:v>
                </c:pt>
                <c:pt idx="144">
                  <c:v>29.367039708534971</c:v>
                </c:pt>
                <c:pt idx="145">
                  <c:v>29.780560547587509</c:v>
                </c:pt>
                <c:pt idx="146">
                  <c:v>30.196531424537593</c:v>
                </c:pt>
                <c:pt idx="147">
                  <c:v>30.61492046346801</c:v>
                </c:pt>
                <c:pt idx="148">
                  <c:v>31.035695729291103</c:v>
                </c:pt>
                <c:pt idx="149">
                  <c:v>31.458825229805033</c:v>
                </c:pt>
                <c:pt idx="150">
                  <c:v>31.884276917730208</c:v>
                </c:pt>
                <c:pt idx="151">
                  <c:v>32.312018692725871</c:v>
                </c:pt>
                <c:pt idx="152">
                  <c:v>32.742018403386844</c:v>
                </c:pt>
                <c:pt idx="153">
                  <c:v>33.174243849220417</c:v>
                </c:pt>
                <c:pt idx="154">
                  <c:v>33.608662782603396</c:v>
                </c:pt>
                <c:pt idx="155">
                  <c:v>34.045242910719253</c:v>
                </c:pt>
                <c:pt idx="156">
                  <c:v>34.483930322078059</c:v>
                </c:pt>
                <c:pt idx="157">
                  <c:v>34.92462787832725</c:v>
                </c:pt>
                <c:pt idx="158">
                  <c:v>35.367216770925353</c:v>
                </c:pt>
                <c:pt idx="159">
                  <c:v>35.811578118604466</c:v>
                </c:pt>
                <c:pt idx="160">
                  <c:v>36.257592981334824</c:v>
                </c:pt>
                <c:pt idx="161">
                  <c:v>36.705114872221273</c:v>
                </c:pt>
                <c:pt idx="162">
                  <c:v>37.153942248869846</c:v>
                </c:pt>
                <c:pt idx="163">
                  <c:v>37.603848668083614</c:v>
                </c:pt>
                <c:pt idx="164">
                  <c:v>38.054612976057101</c:v>
                </c:pt>
                <c:pt idx="165">
                  <c:v>38.506043043587127</c:v>
                </c:pt>
                <c:pt idx="166">
                  <c:v>38.957999493957715</c:v>
                </c:pt>
                <c:pt idx="167">
                  <c:v>39.410349340342641</c:v>
                </c:pt>
                <c:pt idx="168">
                  <c:v>39.862934118427646</c:v>
                </c:pt>
                <c:pt idx="169">
                  <c:v>40.315548551444436</c:v>
                </c:pt>
                <c:pt idx="170">
                  <c:v>40.767933771760433</c:v>
                </c:pt>
                <c:pt idx="171">
                  <c:v>41.219908555212577</c:v>
                </c:pt>
                <c:pt idx="172">
                  <c:v>41.671427848854393</c:v>
                </c:pt>
                <c:pt idx="173">
                  <c:v>42.122492862915699</c:v>
                </c:pt>
                <c:pt idx="174">
                  <c:v>42.573104803021707</c:v>
                </c:pt>
                <c:pt idx="175">
                  <c:v>43.023264870216877</c:v>
                </c:pt>
                <c:pt idx="176">
                  <c:v>43.472974260988636</c:v>
                </c:pt>
                <c:pt idx="177">
                  <c:v>43.922234167290867</c:v>
                </c:pt>
                <c:pt idx="178">
                  <c:v>44.371045776567335</c:v>
                </c:pt>
                <c:pt idx="179">
                  <c:v>44.819410271774899</c:v>
                </c:pt>
                <c:pt idx="180">
                  <c:v>45.267328831406608</c:v>
                </c:pt>
                <c:pt idx="181">
                  <c:v>45.714802629514622</c:v>
                </c:pt>
                <c:pt idx="182">
                  <c:v>46.161832835733016</c:v>
                </c:pt>
                <c:pt idx="183">
                  <c:v>46.608420615300403</c:v>
                </c:pt>
                <c:pt idx="184">
                  <c:v>47.054567129082443</c:v>
                </c:pt>
                <c:pt idx="185">
                  <c:v>47.500273533594182</c:v>
                </c:pt>
                <c:pt idx="186">
                  <c:v>47.945540981022276</c:v>
                </c:pt>
                <c:pt idx="187">
                  <c:v>48.39037061924703</c:v>
                </c:pt>
                <c:pt idx="188">
                  <c:v>48.834763591864345</c:v>
                </c:pt>
                <c:pt idx="189">
                  <c:v>49.278721038207486</c:v>
                </c:pt>
                <c:pt idx="190">
                  <c:v>49.722244093368737</c:v>
                </c:pt>
                <c:pt idx="191">
                  <c:v>50.165333888220907</c:v>
                </c:pt>
                <c:pt idx="192">
                  <c:v>50.607991549438694</c:v>
                </c:pt>
                <c:pt idx="193">
                  <c:v>51.050218199519918</c:v>
                </c:pt>
                <c:pt idx="194">
                  <c:v>51.492014956806635</c:v>
                </c:pt>
                <c:pt idx="195">
                  <c:v>51.933382935506089</c:v>
                </c:pt>
                <c:pt idx="196">
                  <c:v>52.374323245711551</c:v>
                </c:pt>
                <c:pt idx="197">
                  <c:v>52.814836993423008</c:v>
                </c:pt>
                <c:pt idx="198">
                  <c:v>53.254925280567761</c:v>
                </c:pt>
                <c:pt idx="199">
                  <c:v>53.69458920502084</c:v>
                </c:pt>
                <c:pt idx="200">
                  <c:v>54.133829860625326</c:v>
                </c:pt>
                <c:pt idx="201">
                  <c:v>58.503041046905885</c:v>
                </c:pt>
                <c:pt idx="202">
                  <c:v>62.830626810240574</c:v>
                </c:pt>
                <c:pt idx="203">
                  <c:v>67.117643965684536</c:v>
                </c:pt>
                <c:pt idx="204">
                  <c:v>71.365111550687885</c:v>
                </c:pt>
                <c:pt idx="205">
                  <c:v>75.574012650867189</c:v>
                </c:pt>
                <c:pt idx="206">
                  <c:v>79.745296116155473</c:v>
                </c:pt>
                <c:pt idx="207">
                  <c:v>83.879878175183563</c:v>
                </c:pt>
                <c:pt idx="208">
                  <c:v>87.978643955094199</c:v>
                </c:pt>
                <c:pt idx="209">
                  <c:v>92.042448913400179</c:v>
                </c:pt>
                <c:pt idx="210">
                  <c:v>96.072120187962554</c:v>
                </c:pt>
                <c:pt idx="211">
                  <c:v>100.06845787067839</c:v>
                </c:pt>
                <c:pt idx="212">
                  <c:v>104.03223621002586</c:v>
                </c:pt>
                <c:pt idx="213">
                  <c:v>107.96420474721168</c:v>
                </c:pt>
                <c:pt idx="214">
                  <c:v>111.86508939029925</c:v>
                </c:pt>
                <c:pt idx="215">
                  <c:v>115.73559343036112</c:v>
                </c:pt>
                <c:pt idx="216">
                  <c:v>119.57639850339403</c:v>
                </c:pt>
                <c:pt idx="217">
                  <c:v>123.38816550145492</c:v>
                </c:pt>
                <c:pt idx="218">
                  <c:v>127.17153543622089</c:v>
                </c:pt>
                <c:pt idx="219">
                  <c:v>130.92713025794177</c:v>
                </c:pt>
                <c:pt idx="220">
                  <c:v>134.65555363253887</c:v>
                </c:pt>
                <c:pt idx="221">
                  <c:v>138.3573916794067</c:v>
                </c:pt>
                <c:pt idx="222">
                  <c:v>142.03321367229265</c:v>
                </c:pt>
                <c:pt idx="223">
                  <c:v>145.68357270546375</c:v>
                </c:pt>
                <c:pt idx="224">
                  <c:v>149.30900632721557</c:v>
                </c:pt>
                <c:pt idx="225">
                  <c:v>152.91003714263752</c:v>
                </c:pt>
                <c:pt idx="226">
                  <c:v>156.48717338741832</c:v>
                </c:pt>
                <c:pt idx="227">
                  <c:v>160.0409094743554</c:v>
                </c:pt>
                <c:pt idx="228">
                  <c:v>163.57172651412057</c:v>
                </c:pt>
                <c:pt idx="229">
                  <c:v>167.0800928117323</c:v>
                </c:pt>
                <c:pt idx="230">
                  <c:v>170.56646434008957</c:v>
                </c:pt>
                <c:pt idx="231">
                  <c:v>174.03128519183443</c:v>
                </c:pt>
                <c:pt idx="232">
                  <c:v>177.47498801072931</c:v>
                </c:pt>
                <c:pt idx="233">
                  <c:v>180.89799440365911</c:v>
                </c:pt>
                <c:pt idx="234">
                  <c:v>184.30071533429884</c:v>
                </c:pt>
                <c:pt idx="235">
                  <c:v>187.68355149942172</c:v>
                </c:pt>
                <c:pt idx="236">
                  <c:v>191.04689368876274</c:v>
                </c:pt>
                <c:pt idx="237">
                  <c:v>194.3911231292964</c:v>
                </c:pt>
                <c:pt idx="238">
                  <c:v>197.71661181473522</c:v>
                </c:pt>
                <c:pt idx="239">
                  <c:v>201.02372282100643</c:v>
                </c:pt>
                <c:pt idx="240">
                  <c:v>204.31281060841957</c:v>
                </c:pt>
                <c:pt idx="241">
                  <c:v>207.58422131119502</c:v>
                </c:pt>
                <c:pt idx="242">
                  <c:v>210.83829301498417</c:v>
                </c:pt>
                <c:pt idx="243">
                  <c:v>214.07535602297509</c:v>
                </c:pt>
                <c:pt idx="244">
                  <c:v>217.29573311114319</c:v>
                </c:pt>
                <c:pt idx="245">
                  <c:v>220.49973977317427</c:v>
                </c:pt>
                <c:pt idx="246">
                  <c:v>223.68768445555713</c:v>
                </c:pt>
                <c:pt idx="247">
                  <c:v>226.85986878331485</c:v>
                </c:pt>
                <c:pt idx="248">
                  <c:v>230.01658777681766</c:v>
                </c:pt>
                <c:pt idx="249">
                  <c:v>233.1581300600952</c:v>
                </c:pt>
                <c:pt idx="250">
                  <c:v>236.28477806104328</c:v>
                </c:pt>
                <c:pt idx="251">
                  <c:v>239.39680820389836</c:v>
                </c:pt>
                <c:pt idx="252">
                  <c:v>242.49449109433226</c:v>
                </c:pt>
                <c:pt idx="253">
                  <c:v>245.57809169750112</c:v>
                </c:pt>
                <c:pt idx="254">
                  <c:v>248.64786950936386</c:v>
                </c:pt>
                <c:pt idx="255">
                  <c:v>251.70407872156909</c:v>
                </c:pt>
                <c:pt idx="256">
                  <c:v>254.74696838019312</c:v>
                </c:pt>
                <c:pt idx="257">
                  <c:v>257.77678253859671</c:v>
                </c:pt>
                <c:pt idx="258">
                  <c:v>260.79376040465439</c:v>
                </c:pt>
                <c:pt idx="259">
                  <c:v>263.79813648259619</c:v>
                </c:pt>
                <c:pt idx="260">
                  <c:v>266.79014070969009</c:v>
                </c:pt>
                <c:pt idx="261">
                  <c:v>269.76999858798007</c:v>
                </c:pt>
                <c:pt idx="262">
                  <c:v>272.73793131128519</c:v>
                </c:pt>
                <c:pt idx="263">
                  <c:v>275.69415588765293</c:v>
                </c:pt>
                <c:pt idx="264">
                  <c:v>278.63888525745097</c:v>
                </c:pt>
                <c:pt idx="265">
                  <c:v>281.57232840727158</c:v>
                </c:pt>
                <c:pt idx="266">
                  <c:v>284.4946904798141</c:v>
                </c:pt>
                <c:pt idx="267">
                  <c:v>287.40617287990176</c:v>
                </c:pt>
                <c:pt idx="268">
                  <c:v>290.30697337678203</c:v>
                </c:pt>
                <c:pt idx="269">
                  <c:v>293.19728620285059</c:v>
                </c:pt>
                <c:pt idx="270">
                  <c:v>296.07730214893286</c:v>
                </c:pt>
                <c:pt idx="271">
                  <c:v>298.94720865624902</c:v>
                </c:pt>
                <c:pt idx="272">
                  <c:v>301.80718990518261</c:v>
                </c:pt>
                <c:pt idx="273">
                  <c:v>304.6574269009655</c:v>
                </c:pt>
                <c:pt idx="274">
                  <c:v>307.49809755638648</c:v>
                </c:pt>
                <c:pt idx="275">
                  <c:v>310.32937677162442</c:v>
                </c:pt>
                <c:pt idx="276">
                  <c:v>313.15143651130177</c:v>
                </c:pt>
                <c:pt idx="277">
                  <c:v>315.96444587884804</c:v>
                </c:pt>
                <c:pt idx="278">
                  <c:v>318.76857118825825</c:v>
                </c:pt>
                <c:pt idx="279">
                  <c:v>321.56397603332545</c:v>
                </c:pt>
                <c:pt idx="280">
                  <c:v>324.35082135442258</c:v>
                </c:pt>
                <c:pt idx="281">
                  <c:v>327.12926550290308</c:v>
                </c:pt>
                <c:pt idx="282">
                  <c:v>329.8994643031852</c:v>
                </c:pt>
                <c:pt idx="283">
                  <c:v>332.66157111258087</c:v>
                </c:pt>
                <c:pt idx="284">
                  <c:v>335.41573687892503</c:v>
                </c:pt>
                <c:pt idx="285">
                  <c:v>338.16211019605674</c:v>
                </c:pt>
                <c:pt idx="286">
                  <c:v>340.90083735719918</c:v>
                </c:pt>
                <c:pt idx="287">
                  <c:v>343.63206240628176</c:v>
                </c:pt>
                <c:pt idx="288">
                  <c:v>346.35592718724206</c:v>
                </c:pt>
                <c:pt idx="289">
                  <c:v>349.07257139134219</c:v>
                </c:pt>
                <c:pt idx="290">
                  <c:v>351.78213260252897</c:v>
                </c:pt>
                <c:pt idx="291">
                  <c:v>354.48474634086335</c:v>
                </c:pt>
                <c:pt idx="292">
                  <c:v>357.18054610403965</c:v>
                </c:pt>
                <c:pt idx="293">
                  <c:v>359.8696634070111</c:v>
                </c:pt>
                <c:pt idx="294">
                  <c:v>362.55222781973339</c:v>
                </c:pt>
                <c:pt idx="295">
                  <c:v>365.22836700303253</c:v>
                </c:pt>
                <c:pt idx="296">
                  <c:v>367.89820674259994</c:v>
                </c:pt>
                <c:pt idx="297">
                  <c:v>370.56187098111076</c:v>
                </c:pt>
                <c:pt idx="298">
                  <c:v>373.21948184845792</c:v>
                </c:pt>
                <c:pt idx="299">
                  <c:v>375.87115969008755</c:v>
                </c:pt>
                <c:pt idx="300">
                  <c:v>378.51702309341704</c:v>
                </c:pt>
                <c:pt idx="301">
                  <c:v>381.15718891231006</c:v>
                </c:pt>
                <c:pt idx="302">
                  <c:v>383.79177228957741</c:v>
                </c:pt>
                <c:pt idx="303">
                  <c:v>386.4208866774656</c:v>
                </c:pt>
                <c:pt idx="304">
                  <c:v>389.04464385608901</c:v>
                </c:pt>
                <c:pt idx="305">
                  <c:v>391.66315394975345</c:v>
                </c:pt>
                <c:pt idx="306">
                  <c:v>394.2765254411126</c:v>
                </c:pt>
                <c:pt idx="307">
                  <c:v>396.88486518308986</c:v>
                </c:pt>
                <c:pt idx="308">
                  <c:v>399.48827840849128</c:v>
                </c:pt>
                <c:pt idx="309">
                  <c:v>402.08686873722593</c:v>
                </c:pt>
                <c:pt idx="310">
                  <c:v>404.68073818104131</c:v>
                </c:pt>
                <c:pt idx="311">
                  <c:v>407.26998714567304</c:v>
                </c:pt>
                <c:pt idx="312">
                  <c:v>409.85471443029792</c:v>
                </c:pt>
                <c:pt idx="313">
                  <c:v>412.43501722417028</c:v>
                </c:pt>
                <c:pt idx="314">
                  <c:v>415.01099110031248</c:v>
                </c:pt>
                <c:pt idx="315">
                  <c:v>417.58273000611962</c:v>
                </c:pt>
                <c:pt idx="316">
                  <c:v>420.15032625073064</c:v>
                </c:pt>
                <c:pt idx="317">
                  <c:v>422.71387048900817</c:v>
                </c:pt>
                <c:pt idx="318">
                  <c:v>425.2734517019619</c:v>
                </c:pt>
                <c:pt idx="319">
                  <c:v>427.82915717344304</c:v>
                </c:pt>
                <c:pt idx="320">
                  <c:v>430.38107246293168</c:v>
                </c:pt>
                <c:pt idx="321">
                  <c:v>432.92928137423621</c:v>
                </c:pt>
                <c:pt idx="322">
                  <c:v>435.47386591992267</c:v>
                </c:pt>
                <c:pt idx="323">
                  <c:v>438.01490628129505</c:v>
                </c:pt>
                <c:pt idx="324">
                  <c:v>440.5524807637546</c:v>
                </c:pt>
                <c:pt idx="325">
                  <c:v>443.08666574737993</c:v>
                </c:pt>
                <c:pt idx="326">
                  <c:v>445.61753563258776</c:v>
                </c:pt>
                <c:pt idx="327">
                  <c:v>448.14516278076326</c:v>
                </c:pt>
                <c:pt idx="328">
                  <c:v>450.66961744978551</c:v>
                </c:pt>
                <c:pt idx="329">
                  <c:v>453.1909677244214</c:v>
                </c:pt>
                <c:pt idx="330">
                  <c:v>455.70927944162383</c:v>
                </c:pt>
                <c:pt idx="331">
                  <c:v>458.22461611084339</c:v>
                </c:pt>
                <c:pt idx="332">
                  <c:v>460.73703882955533</c:v>
                </c:pt>
                <c:pt idx="333">
                  <c:v>463.24660619430972</c:v>
                </c:pt>
                <c:pt idx="334">
                  <c:v>465.75337420773729</c:v>
                </c:pt>
                <c:pt idx="335">
                  <c:v>468.25739618208422</c:v>
                </c:pt>
                <c:pt idx="336">
                  <c:v>470.75872264000435</c:v>
                </c:pt>
                <c:pt idx="337">
                  <c:v>473.25740121350509</c:v>
                </c:pt>
                <c:pt idx="338">
                  <c:v>475.75347654211879</c:v>
                </c:pt>
                <c:pt idx="339">
                  <c:v>478.24699017154677</c:v>
                </c:pt>
                <c:pt idx="340">
                  <c:v>480.73798045419397</c:v>
                </c:pt>
                <c:pt idx="341">
                  <c:v>483.22648245316498</c:v>
                </c:pt>
                <c:pt idx="342">
                  <c:v>485.71252785141667</c:v>
                </c:pt>
                <c:pt idx="343">
                  <c:v>488.19614486784985</c:v>
                </c:pt>
                <c:pt idx="344">
                  <c:v>490.6773581821563</c:v>
                </c:pt>
                <c:pt idx="345">
                  <c:v>493.15618887021139</c:v>
                </c:pt>
                <c:pt idx="346">
                  <c:v>495.63265435170877</c:v>
                </c:pt>
                <c:pt idx="347">
                  <c:v>498.10676835156522</c:v>
                </c:pt>
                <c:pt idx="348">
                  <c:v>500.5785408763889</c:v>
                </c:pt>
                <c:pt idx="349">
                  <c:v>503.04797820700134</c:v>
                </c:pt>
                <c:pt idx="350">
                  <c:v>505.51508290765275</c:v>
                </c:pt>
                <c:pt idx="351">
                  <c:v>507.97985385218311</c:v>
                </c:pt>
                <c:pt idx="352">
                  <c:v>510.44228626698077</c:v>
                </c:pt>
                <c:pt idx="353">
                  <c:v>512.90237179019596</c:v>
                </c:pt>
                <c:pt idx="354">
                  <c:v>515.36009854630231</c:v>
                </c:pt>
                <c:pt idx="355">
                  <c:v>517.81545123477906</c:v>
                </c:pt>
                <c:pt idx="356">
                  <c:v>520.26841123142958</c:v>
                </c:pt>
                <c:pt idx="357">
                  <c:v>522.71895670066215</c:v>
                </c:pt>
                <c:pt idx="358">
                  <c:v>525.16706271694272</c:v>
                </c:pt>
                <c:pt idx="359">
                  <c:v>527.61270139358612</c:v>
                </c:pt>
                <c:pt idx="360">
                  <c:v>530.05584201706881</c:v>
                </c:pt>
                <c:pt idx="361">
                  <c:v>532.49645118512433</c:v>
                </c:pt>
                <c:pt idx="362">
                  <c:v>534.93449294699963</c:v>
                </c:pt>
                <c:pt idx="363">
                  <c:v>537.36992894440129</c:v>
                </c:pt>
                <c:pt idx="364">
                  <c:v>539.80271855183173</c:v>
                </c:pt>
                <c:pt idx="365">
                  <c:v>542.23281901519704</c:v>
                </c:pt>
                <c:pt idx="366">
                  <c:v>544.66018558774681</c:v>
                </c:pt>
                <c:pt idx="367">
                  <c:v>547.08477166258456</c:v>
                </c:pt>
                <c:pt idx="368">
                  <c:v>549.50652890114816</c:v>
                </c:pt>
                <c:pt idx="369">
                  <c:v>551.92540735721059</c:v>
                </c:pt>
                <c:pt idx="370">
                  <c:v>554.34135559608194</c:v>
                </c:pt>
                <c:pt idx="371">
                  <c:v>556.75432080880967</c:v>
                </c:pt>
                <c:pt idx="372">
                  <c:v>559.16424892126975</c:v>
                </c:pt>
                <c:pt idx="373">
                  <c:v>561.57108469812306</c:v>
                </c:pt>
                <c:pt idx="374">
                  <c:v>563.97477184167781</c:v>
                </c:pt>
                <c:pt idx="375">
                  <c:v>566.37525308574982</c:v>
                </c:pt>
                <c:pt idx="376">
                  <c:v>568.77247028465331</c:v>
                </c:pt>
                <c:pt idx="377">
                  <c:v>571.16636449748501</c:v>
                </c:pt>
                <c:pt idx="378">
                  <c:v>573.5568760678857</c:v>
                </c:pt>
                <c:pt idx="379">
                  <c:v>575.94394469947736</c:v>
                </c:pt>
                <c:pt idx="380">
                  <c:v>578.327509527183</c:v>
                </c:pt>
                <c:pt idx="381">
                  <c:v>580.70750918463852</c:v>
                </c:pt>
                <c:pt idx="382">
                  <c:v>583.08388186790705</c:v>
                </c:pt>
                <c:pt idx="383">
                  <c:v>585.45656539570211</c:v>
                </c:pt>
                <c:pt idx="384">
                  <c:v>587.82549726632158</c:v>
                </c:pt>
                <c:pt idx="385">
                  <c:v>590.19061471148564</c:v>
                </c:pt>
                <c:pt idx="386">
                  <c:v>592.55185474726727</c:v>
                </c:pt>
                <c:pt idx="387">
                  <c:v>594.90915422229023</c:v>
                </c:pt>
                <c:pt idx="388">
                  <c:v>597.26244986336485</c:v>
                </c:pt>
                <c:pt idx="389">
                  <c:v>599.6116783187199</c:v>
                </c:pt>
                <c:pt idx="390">
                  <c:v>601.95677619897947</c:v>
                </c:pt>
                <c:pt idx="391">
                  <c:v>604.29768011602619</c:v>
                </c:pt>
                <c:pt idx="392">
                  <c:v>606.63432671988107</c:v>
                </c:pt>
                <c:pt idx="393">
                  <c:v>608.96665273372321</c:v>
                </c:pt>
                <c:pt idx="394">
                  <c:v>611.29459498716278</c:v>
                </c:pt>
                <c:pt idx="395">
                  <c:v>613.61809044787447</c:v>
                </c:pt>
                <c:pt idx="396">
                  <c:v>615.93707625168986</c:v>
                </c:pt>
                <c:pt idx="397">
                  <c:v>618.25148973124067</c:v>
                </c:pt>
                <c:pt idx="398">
                  <c:v>620.56126844323796</c:v>
                </c:pt>
                <c:pt idx="399">
                  <c:v>622.86635019446692</c:v>
                </c:pt>
                <c:pt idx="400">
                  <c:v>625.16667306657018</c:v>
                </c:pt>
                <c:pt idx="401">
                  <c:v>627.46217543968771</c:v>
                </c:pt>
                <c:pt idx="402">
                  <c:v>629.75279601501688</c:v>
                </c:pt>
                <c:pt idx="403">
                  <c:v>632.03847383635059</c:v>
                </c:pt>
                <c:pt idx="404">
                  <c:v>634.31914831064796</c:v>
                </c:pt>
                <c:pt idx="405">
                  <c:v>636.59475922768786</c:v>
                </c:pt>
                <c:pt idx="406">
                  <c:v>638.865246778852</c:v>
                </c:pt>
                <c:pt idx="407">
                  <c:v>641.13055157508074</c:v>
                </c:pt>
                <c:pt idx="408">
                  <c:v>643.39061466404155</c:v>
                </c:pt>
                <c:pt idx="409">
                  <c:v>645.64537754654793</c:v>
                </c:pt>
                <c:pt idx="410">
                  <c:v>647.89478219226339</c:v>
                </c:pt>
                <c:pt idx="411">
                  <c:v>650.1387710547217</c:v>
                </c:pt>
                <c:pt idx="412">
                  <c:v>652.37728708569512</c:v>
                </c:pt>
                <c:pt idx="413">
                  <c:v>654.61027374893672</c:v>
                </c:pt>
                <c:pt idx="414">
                  <c:v>656.83767503332433</c:v>
                </c:pt>
                <c:pt idx="415">
                  <c:v>659.05943546542881</c:v>
                </c:pt>
                <c:pt idx="416">
                  <c:v>661.27550012153074</c:v>
                </c:pt>
                <c:pt idx="417">
                  <c:v>663.48581463910546</c:v>
                </c:pt>
                <c:pt idx="418">
                  <c:v>665.69032522779708</c:v>
                </c:pt>
                <c:pt idx="419">
                  <c:v>667.88897867989908</c:v>
                </c:pt>
                <c:pt idx="420">
                  <c:v>670.08172238035957</c:v>
                </c:pt>
                <c:pt idx="421">
                  <c:v>672.26850431632693</c:v>
                </c:pt>
                <c:pt idx="422">
                  <c:v>674.44927308625154</c:v>
                </c:pt>
                <c:pt idx="423">
                  <c:v>676.62397790855732</c:v>
                </c:pt>
                <c:pt idx="424">
                  <c:v>678.792568629897</c:v>
                </c:pt>
                <c:pt idx="425">
                  <c:v>680.95499573300367</c:v>
                </c:pt>
                <c:pt idx="426">
                  <c:v>683.11121034415078</c:v>
                </c:pt>
                <c:pt idx="427">
                  <c:v>685.26116424023155</c:v>
                </c:pt>
                <c:pt idx="428">
                  <c:v>687.40480985546935</c:v>
                </c:pt>
                <c:pt idx="429">
                  <c:v>689.54210028776765</c:v>
                </c:pt>
                <c:pt idx="430">
                  <c:v>691.67298930471122</c:v>
                </c:pt>
                <c:pt idx="431">
                  <c:v>693.79743134922592</c:v>
                </c:pt>
                <c:pt idx="432">
                  <c:v>695.91538154490718</c:v>
                </c:pt>
                <c:pt idx="433">
                  <c:v>698.02679570102475</c:v>
                </c:pt>
                <c:pt idx="434">
                  <c:v>700.13163031721149</c:v>
                </c:pt>
                <c:pt idx="435">
                  <c:v>702.22984258784504</c:v>
                </c:pt>
                <c:pt idx="436">
                  <c:v>704.32139040612822</c:v>
                </c:pt>
                <c:pt idx="437">
                  <c:v>706.40623236787587</c:v>
                </c:pt>
                <c:pt idx="438">
                  <c:v>708.484327775015</c:v>
                </c:pt>
                <c:pt idx="439">
                  <c:v>710.55563663880423</c:v>
                </c:pt>
                <c:pt idx="440">
                  <c:v>712.62011968277966</c:v>
                </c:pt>
                <c:pt idx="441">
                  <c:v>714.67773834543175</c:v>
                </c:pt>
                <c:pt idx="442">
                  <c:v>716.7284547826207</c:v>
                </c:pt>
                <c:pt idx="443">
                  <c:v>718.77223186973492</c:v>
                </c:pt>
                <c:pt idx="444">
                  <c:v>720.80903320359846</c:v>
                </c:pt>
                <c:pt idx="445">
                  <c:v>722.83882310413264</c:v>
                </c:pt>
                <c:pt idx="446">
                  <c:v>724.86156661577706</c:v>
                </c:pt>
                <c:pt idx="447">
                  <c:v>726.87722950867533</c:v>
                </c:pt>
                <c:pt idx="448">
                  <c:v>728.88577827963036</c:v>
                </c:pt>
                <c:pt idx="449">
                  <c:v>730.88718015283314</c:v>
                </c:pt>
                <c:pt idx="450">
                  <c:v>732.8814030803718</c:v>
                </c:pt>
                <c:pt idx="451">
                  <c:v>734.86841574252321</c:v>
                </c:pt>
                <c:pt idx="452">
                  <c:v>736.84818754783305</c:v>
                </c:pt>
                <c:pt idx="453">
                  <c:v>738.820688632989</c:v>
                </c:pt>
                <c:pt idx="454">
                  <c:v>740.78588986249019</c:v>
                </c:pt>
                <c:pt idx="455">
                  <c:v>742.74376282811841</c:v>
                </c:pt>
                <c:pt idx="456">
                  <c:v>744.69427984821448</c:v>
                </c:pt>
                <c:pt idx="457">
                  <c:v>746.6374139667646</c:v>
                </c:pt>
                <c:pt idx="458">
                  <c:v>748.57313895230027</c:v>
                </c:pt>
                <c:pt idx="459">
                  <c:v>750.50142929661615</c:v>
                </c:pt>
                <c:pt idx="460">
                  <c:v>752.42226021330964</c:v>
                </c:pt>
                <c:pt idx="461">
                  <c:v>754.33560763614594</c:v>
                </c:pt>
                <c:pt idx="462">
                  <c:v>756.24144821725326</c:v>
                </c:pt>
                <c:pt idx="463">
                  <c:v>758.1397593251512</c:v>
                </c:pt>
                <c:pt idx="464">
                  <c:v>760.03051904261645</c:v>
                </c:pt>
                <c:pt idx="465">
                  <c:v>761.9137061643894</c:v>
                </c:pt>
                <c:pt idx="466">
                  <c:v>763.78930019472568</c:v>
                </c:pt>
                <c:pt idx="467">
                  <c:v>765.65728134479616</c:v>
                </c:pt>
                <c:pt idx="468">
                  <c:v>767.51763052993886</c:v>
                </c:pt>
                <c:pt idx="469">
                  <c:v>769.37032936676678</c:v>
                </c:pt>
                <c:pt idx="470">
                  <c:v>771.21536017013477</c:v>
                </c:pt>
                <c:pt idx="471">
                  <c:v>773.05270594996944</c:v>
                </c:pt>
                <c:pt idx="472">
                  <c:v>774.8823504079653</c:v>
                </c:pt>
                <c:pt idx="473">
                  <c:v>776.70427793415047</c:v>
                </c:pt>
                <c:pt idx="474">
                  <c:v>778.51847360332636</c:v>
                </c:pt>
                <c:pt idx="475">
                  <c:v>780.32492317138303</c:v>
                </c:pt>
                <c:pt idx="476">
                  <c:v>782.12361307149547</c:v>
                </c:pt>
                <c:pt idx="477">
                  <c:v>783.91453041020281</c:v>
                </c:pt>
                <c:pt idx="478">
                  <c:v>785.69766296337434</c:v>
                </c:pt>
                <c:pt idx="479">
                  <c:v>787.47299917206578</c:v>
                </c:pt>
                <c:pt idx="480">
                  <c:v>789.24052813826847</c:v>
                </c:pt>
                <c:pt idx="481">
                  <c:v>791.00023962055559</c:v>
                </c:pt>
                <c:pt idx="482">
                  <c:v>792.75212402962757</c:v>
                </c:pt>
                <c:pt idx="483">
                  <c:v>794.49617242376075</c:v>
                </c:pt>
                <c:pt idx="484">
                  <c:v>796.23237650416206</c:v>
                </c:pt>
                <c:pt idx="485">
                  <c:v>797.96072861023288</c:v>
                </c:pt>
                <c:pt idx="486">
                  <c:v>799.68122171474488</c:v>
                </c:pt>
                <c:pt idx="487">
                  <c:v>801.3938494189315</c:v>
                </c:pt>
                <c:pt idx="488">
                  <c:v>803.09860594749762</c:v>
                </c:pt>
                <c:pt idx="489">
                  <c:v>804.79548614355076</c:v>
                </c:pt>
                <c:pt idx="490">
                  <c:v>806.48448546345605</c:v>
                </c:pt>
                <c:pt idx="491">
                  <c:v>808.1655999716188</c:v>
                </c:pt>
                <c:pt idx="492">
                  <c:v>809.83882633519727</c:v>
                </c:pt>
                <c:pt idx="493">
                  <c:v>811.50416181874812</c:v>
                </c:pt>
                <c:pt idx="494">
                  <c:v>813.16160427880777</c:v>
                </c:pt>
                <c:pt idx="495">
                  <c:v>814.81115215841214</c:v>
                </c:pt>
                <c:pt idx="496">
                  <c:v>816.45280448155847</c:v>
                </c:pt>
                <c:pt idx="497">
                  <c:v>818.08656084761026</c:v>
                </c:pt>
                <c:pt idx="498">
                  <c:v>819.71242142564972</c:v>
                </c:pt>
                <c:pt idx="499">
                  <c:v>821.33038694877928</c:v>
                </c:pt>
                <c:pt idx="500">
                  <c:v>822.94045870837522</c:v>
                </c:pt>
                <c:pt idx="501">
                  <c:v>824.54263854829651</c:v>
                </c:pt>
                <c:pt idx="502">
                  <c:v>826.13692885905016</c:v>
                </c:pt>
                <c:pt idx="503">
                  <c:v>827.72333257191644</c:v>
                </c:pt>
                <c:pt idx="504">
                  <c:v>829.30185315303686</c:v>
                </c:pt>
                <c:pt idx="505">
                  <c:v>830.87249459746658</c:v>
                </c:pt>
                <c:pt idx="506">
                  <c:v>832.43526142319354</c:v>
                </c:pt>
                <c:pt idx="507">
                  <c:v>833.99015866512775</c:v>
                </c:pt>
                <c:pt idx="508">
                  <c:v>835.53719186906199</c:v>
                </c:pt>
                <c:pt idx="509">
                  <c:v>837.07636708560688</c:v>
                </c:pt>
                <c:pt idx="510">
                  <c:v>838.60769086410221</c:v>
                </c:pt>
                <c:pt idx="511">
                  <c:v>840.13117024650717</c:v>
                </c:pt>
                <c:pt idx="512">
                  <c:v>841.64681276127112</c:v>
                </c:pt>
                <c:pt idx="513">
                  <c:v>843.1546264171875</c:v>
                </c:pt>
                <c:pt idx="514">
                  <c:v>844.6546196972331</c:v>
                </c:pt>
                <c:pt idx="515">
                  <c:v>846.14680155239444</c:v>
                </c:pt>
                <c:pt idx="516">
                  <c:v>847.63118139548305</c:v>
                </c:pt>
                <c:pt idx="517">
                  <c:v>849.10776909494257</c:v>
                </c:pt>
                <c:pt idx="518">
                  <c:v>850.57657496864886</c:v>
                </c:pt>
                <c:pt idx="519">
                  <c:v>852.03760977770526</c:v>
                </c:pt>
                <c:pt idx="520">
                  <c:v>853.49088472023516</c:v>
                </c:pt>
                <c:pt idx="521">
                  <c:v>854.93641142517322</c:v>
                </c:pt>
                <c:pt idx="522">
                  <c:v>856.3742019460575</c:v>
                </c:pt>
                <c:pt idx="523">
                  <c:v>857.80426875482419</c:v>
                </c:pt>
                <c:pt idx="524">
                  <c:v>859.22662473560661</c:v>
                </c:pt>
                <c:pt idx="525">
                  <c:v>860.64128317854022</c:v>
                </c:pt>
                <c:pt idx="526">
                  <c:v>862.04825777357519</c:v>
                </c:pt>
                <c:pt idx="527">
                  <c:v>863.44756260429858</c:v>
                </c:pt>
                <c:pt idx="528">
                  <c:v>864.83921214176701</c:v>
                </c:pt>
                <c:pt idx="529">
                  <c:v>866.22322123835227</c:v>
                </c:pt>
                <c:pt idx="530">
                  <c:v>867.59960512160046</c:v>
                </c:pt>
                <c:pt idx="531">
                  <c:v>868.96837938810722</c:v>
                </c:pt>
                <c:pt idx="532">
                  <c:v>870.32955999740898</c:v>
                </c:pt>
                <c:pt idx="533">
                  <c:v>871.68316326589354</c:v>
                </c:pt>
                <c:pt idx="534">
                  <c:v>873.02920586072969</c:v>
                </c:pt>
                <c:pt idx="535">
                  <c:v>874.36770479381812</c:v>
                </c:pt>
                <c:pt idx="536">
                  <c:v>875.69867741576491</c:v>
                </c:pt>
                <c:pt idx="537">
                  <c:v>877.02214140987815</c:v>
                </c:pt>
                <c:pt idx="538">
                  <c:v>878.33811478618986</c:v>
                </c:pt>
                <c:pt idx="539">
                  <c:v>879.64661587550393</c:v>
                </c:pt>
                <c:pt idx="540">
                  <c:v>880.94766332347103</c:v>
                </c:pt>
                <c:pt idx="541">
                  <c:v>882.241276084692</c:v>
                </c:pt>
                <c:pt idx="542">
                  <c:v>883.52747341685097</c:v>
                </c:pt>
                <c:pt idx="543">
                  <c:v>884.80627487487868</c:v>
                </c:pt>
                <c:pt idx="544">
                  <c:v>886.07770030514746</c:v>
                </c:pt>
                <c:pt idx="545">
                  <c:v>887.3417698396986</c:v>
                </c:pt>
                <c:pt idx="546">
                  <c:v>888.59850389050348</c:v>
                </c:pt>
                <c:pt idx="547">
                  <c:v>889.84792314375909</c:v>
                </c:pt>
                <c:pt idx="548">
                  <c:v>889.84792314375909</c:v>
                </c:pt>
                <c:pt idx="549">
                  <c:v>889.84792314375909</c:v>
                </c:pt>
                <c:pt idx="550">
                  <c:v>889.84792314375909</c:v>
                </c:pt>
                <c:pt idx="551">
                  <c:v>889.84792314375909</c:v>
                </c:pt>
                <c:pt idx="552">
                  <c:v>889.84792314375909</c:v>
                </c:pt>
                <c:pt idx="553">
                  <c:v>889.84792314375909</c:v>
                </c:pt>
                <c:pt idx="554">
                  <c:v>889.84792314375909</c:v>
                </c:pt>
                <c:pt idx="555">
                  <c:v>889.84792314375909</c:v>
                </c:pt>
                <c:pt idx="556">
                  <c:v>889.84792314375909</c:v>
                </c:pt>
                <c:pt idx="557">
                  <c:v>889.84792314375909</c:v>
                </c:pt>
                <c:pt idx="558">
                  <c:v>889.84792314375909</c:v>
                </c:pt>
                <c:pt idx="559">
                  <c:v>889.84792314375909</c:v>
                </c:pt>
                <c:pt idx="560">
                  <c:v>889.84792314375909</c:v>
                </c:pt>
                <c:pt idx="561">
                  <c:v>889.84792314375909</c:v>
                </c:pt>
                <c:pt idx="562">
                  <c:v>889.84792314375909</c:v>
                </c:pt>
                <c:pt idx="563">
                  <c:v>889.84792314375909</c:v>
                </c:pt>
                <c:pt idx="564">
                  <c:v>889.84792314375909</c:v>
                </c:pt>
                <c:pt idx="565">
                  <c:v>889.84792314375909</c:v>
                </c:pt>
                <c:pt idx="566">
                  <c:v>889.84792314375909</c:v>
                </c:pt>
                <c:pt idx="567">
                  <c:v>889.84792314375909</c:v>
                </c:pt>
                <c:pt idx="568">
                  <c:v>889.84792314375909</c:v>
                </c:pt>
                <c:pt idx="569">
                  <c:v>889.84792314375909</c:v>
                </c:pt>
                <c:pt idx="570">
                  <c:v>889.84792314375909</c:v>
                </c:pt>
                <c:pt idx="571">
                  <c:v>889.84792314375909</c:v>
                </c:pt>
                <c:pt idx="572">
                  <c:v>889.84792314375909</c:v>
                </c:pt>
                <c:pt idx="573">
                  <c:v>889.84792314375909</c:v>
                </c:pt>
                <c:pt idx="574">
                  <c:v>889.84792314375909</c:v>
                </c:pt>
                <c:pt idx="575">
                  <c:v>889.84792314375909</c:v>
                </c:pt>
                <c:pt idx="576">
                  <c:v>889.84792314375909</c:v>
                </c:pt>
                <c:pt idx="577">
                  <c:v>889.84792314375909</c:v>
                </c:pt>
                <c:pt idx="578">
                  <c:v>889.84792314375909</c:v>
                </c:pt>
                <c:pt idx="579">
                  <c:v>889.84792314375909</c:v>
                </c:pt>
                <c:pt idx="580">
                  <c:v>889.84792314375909</c:v>
                </c:pt>
                <c:pt idx="581">
                  <c:v>889.84792314375909</c:v>
                </c:pt>
                <c:pt idx="582">
                  <c:v>889.84792314375909</c:v>
                </c:pt>
                <c:pt idx="583">
                  <c:v>889.84792314375909</c:v>
                </c:pt>
                <c:pt idx="584">
                  <c:v>889.84792314375909</c:v>
                </c:pt>
                <c:pt idx="585">
                  <c:v>889.84792314375909</c:v>
                </c:pt>
                <c:pt idx="586">
                  <c:v>889.84792314375909</c:v>
                </c:pt>
                <c:pt idx="587">
                  <c:v>889.84792314375909</c:v>
                </c:pt>
                <c:pt idx="588">
                  <c:v>889.84792314375909</c:v>
                </c:pt>
                <c:pt idx="589">
                  <c:v>889.84792314375909</c:v>
                </c:pt>
                <c:pt idx="590">
                  <c:v>889.84792314375909</c:v>
                </c:pt>
                <c:pt idx="591">
                  <c:v>889.84792314375909</c:v>
                </c:pt>
                <c:pt idx="592">
                  <c:v>889.84792314375909</c:v>
                </c:pt>
                <c:pt idx="593">
                  <c:v>889.84792314375909</c:v>
                </c:pt>
                <c:pt idx="594">
                  <c:v>889.84792314375909</c:v>
                </c:pt>
                <c:pt idx="595">
                  <c:v>889.84792314375909</c:v>
                </c:pt>
                <c:pt idx="596">
                  <c:v>889.84792314375909</c:v>
                </c:pt>
                <c:pt idx="597">
                  <c:v>889.84792314375909</c:v>
                </c:pt>
                <c:pt idx="598">
                  <c:v>889.84792314375909</c:v>
                </c:pt>
                <c:pt idx="599">
                  <c:v>889.84792314375909</c:v>
                </c:pt>
                <c:pt idx="600">
                  <c:v>889.84792314375909</c:v>
                </c:pt>
                <c:pt idx="601">
                  <c:v>889.84792314375909</c:v>
                </c:pt>
                <c:pt idx="602">
                  <c:v>889.84792314375909</c:v>
                </c:pt>
                <c:pt idx="603">
                  <c:v>889.84792314375909</c:v>
                </c:pt>
                <c:pt idx="604">
                  <c:v>889.84792314375909</c:v>
                </c:pt>
                <c:pt idx="605">
                  <c:v>889.84792314375909</c:v>
                </c:pt>
                <c:pt idx="606">
                  <c:v>889.84792314375909</c:v>
                </c:pt>
                <c:pt idx="607">
                  <c:v>889.84792314375909</c:v>
                </c:pt>
                <c:pt idx="608">
                  <c:v>889.84792314375909</c:v>
                </c:pt>
                <c:pt idx="609">
                  <c:v>889.84792314375909</c:v>
                </c:pt>
                <c:pt idx="610">
                  <c:v>889.84792314375909</c:v>
                </c:pt>
                <c:pt idx="611">
                  <c:v>889.84792314375909</c:v>
                </c:pt>
                <c:pt idx="612">
                  <c:v>889.84792314375909</c:v>
                </c:pt>
                <c:pt idx="613">
                  <c:v>889.84792314375909</c:v>
                </c:pt>
                <c:pt idx="614">
                  <c:v>889.84792314375909</c:v>
                </c:pt>
                <c:pt idx="615">
                  <c:v>889.84792314375909</c:v>
                </c:pt>
                <c:pt idx="616">
                  <c:v>889.84792314375909</c:v>
                </c:pt>
                <c:pt idx="617">
                  <c:v>889.84792314375909</c:v>
                </c:pt>
                <c:pt idx="618">
                  <c:v>889.84792314375909</c:v>
                </c:pt>
                <c:pt idx="619">
                  <c:v>889.84792314375909</c:v>
                </c:pt>
                <c:pt idx="620">
                  <c:v>889.84792314375909</c:v>
                </c:pt>
                <c:pt idx="621">
                  <c:v>889.84792314375909</c:v>
                </c:pt>
                <c:pt idx="622">
                  <c:v>889.84792314375909</c:v>
                </c:pt>
                <c:pt idx="623">
                  <c:v>889.84792314375909</c:v>
                </c:pt>
                <c:pt idx="624">
                  <c:v>889.84792314375909</c:v>
                </c:pt>
                <c:pt idx="625">
                  <c:v>889.84792314375909</c:v>
                </c:pt>
                <c:pt idx="626">
                  <c:v>889.84792314375909</c:v>
                </c:pt>
                <c:pt idx="627">
                  <c:v>889.84792314375909</c:v>
                </c:pt>
                <c:pt idx="628">
                  <c:v>889.84792314375909</c:v>
                </c:pt>
                <c:pt idx="629">
                  <c:v>889.84792314375909</c:v>
                </c:pt>
                <c:pt idx="630">
                  <c:v>889.84792314375909</c:v>
                </c:pt>
                <c:pt idx="631">
                  <c:v>889.84792314375909</c:v>
                </c:pt>
                <c:pt idx="632">
                  <c:v>889.84792314375909</c:v>
                </c:pt>
                <c:pt idx="633">
                  <c:v>889.84792314375909</c:v>
                </c:pt>
                <c:pt idx="634">
                  <c:v>889.84792314375909</c:v>
                </c:pt>
                <c:pt idx="635">
                  <c:v>889.84792314375909</c:v>
                </c:pt>
                <c:pt idx="636">
                  <c:v>889.84792314375909</c:v>
                </c:pt>
                <c:pt idx="637">
                  <c:v>889.84792314375909</c:v>
                </c:pt>
                <c:pt idx="638">
                  <c:v>889.84792314375909</c:v>
                </c:pt>
                <c:pt idx="639">
                  <c:v>889.84792314375909</c:v>
                </c:pt>
                <c:pt idx="640">
                  <c:v>889.84792314375909</c:v>
                </c:pt>
                <c:pt idx="641">
                  <c:v>889.84792314375909</c:v>
                </c:pt>
                <c:pt idx="642">
                  <c:v>889.84792314375909</c:v>
                </c:pt>
                <c:pt idx="643">
                  <c:v>889.84792314375909</c:v>
                </c:pt>
                <c:pt idx="644">
                  <c:v>889.84792314375909</c:v>
                </c:pt>
                <c:pt idx="645">
                  <c:v>889.84792314375909</c:v>
                </c:pt>
                <c:pt idx="646">
                  <c:v>889.84792314375909</c:v>
                </c:pt>
                <c:pt idx="647">
                  <c:v>889.84792314375909</c:v>
                </c:pt>
                <c:pt idx="648">
                  <c:v>889.84792314375909</c:v>
                </c:pt>
                <c:pt idx="649">
                  <c:v>889.84792314375909</c:v>
                </c:pt>
                <c:pt idx="650">
                  <c:v>889.84792314375909</c:v>
                </c:pt>
                <c:pt idx="651">
                  <c:v>889.84792314375909</c:v>
                </c:pt>
                <c:pt idx="652">
                  <c:v>889.84792314375909</c:v>
                </c:pt>
                <c:pt idx="653">
                  <c:v>889.84792314375909</c:v>
                </c:pt>
                <c:pt idx="654">
                  <c:v>889.84792314375909</c:v>
                </c:pt>
                <c:pt idx="655">
                  <c:v>889.84792314375909</c:v>
                </c:pt>
                <c:pt idx="656">
                  <c:v>889.84792314375909</c:v>
                </c:pt>
                <c:pt idx="657">
                  <c:v>889.84792314375909</c:v>
                </c:pt>
                <c:pt idx="658">
                  <c:v>889.84792314375909</c:v>
                </c:pt>
                <c:pt idx="659">
                  <c:v>889.84792314375909</c:v>
                </c:pt>
                <c:pt idx="660">
                  <c:v>889.84792314375909</c:v>
                </c:pt>
                <c:pt idx="661">
                  <c:v>889.84792314375909</c:v>
                </c:pt>
                <c:pt idx="662">
                  <c:v>889.84792314375909</c:v>
                </c:pt>
                <c:pt idx="663">
                  <c:v>889.84792314375909</c:v>
                </c:pt>
                <c:pt idx="664">
                  <c:v>889.84792314375909</c:v>
                </c:pt>
                <c:pt idx="665">
                  <c:v>889.84792314375909</c:v>
                </c:pt>
                <c:pt idx="666">
                  <c:v>889.84792314375909</c:v>
                </c:pt>
                <c:pt idx="667">
                  <c:v>889.84792314375909</c:v>
                </c:pt>
                <c:pt idx="668">
                  <c:v>889.84792314375909</c:v>
                </c:pt>
                <c:pt idx="669">
                  <c:v>889.84792314375909</c:v>
                </c:pt>
                <c:pt idx="670">
                  <c:v>889.84792314375909</c:v>
                </c:pt>
                <c:pt idx="671">
                  <c:v>889.84792314375909</c:v>
                </c:pt>
                <c:pt idx="672">
                  <c:v>889.84792314375909</c:v>
                </c:pt>
                <c:pt idx="673">
                  <c:v>889.84792314375909</c:v>
                </c:pt>
                <c:pt idx="674">
                  <c:v>889.84792314375909</c:v>
                </c:pt>
                <c:pt idx="675">
                  <c:v>889.84792314375909</c:v>
                </c:pt>
                <c:pt idx="676">
                  <c:v>889.84792314375909</c:v>
                </c:pt>
                <c:pt idx="677">
                  <c:v>889.84792314375909</c:v>
                </c:pt>
                <c:pt idx="678">
                  <c:v>889.84792314375909</c:v>
                </c:pt>
                <c:pt idx="679">
                  <c:v>889.84792314375909</c:v>
                </c:pt>
                <c:pt idx="680">
                  <c:v>889.84792314375909</c:v>
                </c:pt>
                <c:pt idx="681">
                  <c:v>889.84792314375909</c:v>
                </c:pt>
                <c:pt idx="682">
                  <c:v>889.84792314375909</c:v>
                </c:pt>
                <c:pt idx="683">
                  <c:v>889.84792314375909</c:v>
                </c:pt>
                <c:pt idx="684">
                  <c:v>889.84792314375909</c:v>
                </c:pt>
                <c:pt idx="685">
                  <c:v>889.84792314375909</c:v>
                </c:pt>
                <c:pt idx="686">
                  <c:v>889.84792314375909</c:v>
                </c:pt>
                <c:pt idx="687">
                  <c:v>889.84792314375909</c:v>
                </c:pt>
                <c:pt idx="688">
                  <c:v>889.84792314375909</c:v>
                </c:pt>
                <c:pt idx="689">
                  <c:v>889.84792314375909</c:v>
                </c:pt>
                <c:pt idx="690">
                  <c:v>889.84792314375909</c:v>
                </c:pt>
                <c:pt idx="691">
                  <c:v>889.84792314375909</c:v>
                </c:pt>
                <c:pt idx="692">
                  <c:v>889.84792314375909</c:v>
                </c:pt>
                <c:pt idx="693">
                  <c:v>889.84792314375909</c:v>
                </c:pt>
                <c:pt idx="694">
                  <c:v>889.84792314375909</c:v>
                </c:pt>
                <c:pt idx="695">
                  <c:v>889.84792314375909</c:v>
                </c:pt>
                <c:pt idx="696">
                  <c:v>889.84792314375909</c:v>
                </c:pt>
                <c:pt idx="697">
                  <c:v>889.84792314375909</c:v>
                </c:pt>
                <c:pt idx="698">
                  <c:v>889.84792314375909</c:v>
                </c:pt>
                <c:pt idx="699">
                  <c:v>889.84792314375909</c:v>
                </c:pt>
                <c:pt idx="700">
                  <c:v>889.84792314375909</c:v>
                </c:pt>
                <c:pt idx="701">
                  <c:v>889.84792314375909</c:v>
                </c:pt>
                <c:pt idx="702">
                  <c:v>889.84792314375909</c:v>
                </c:pt>
                <c:pt idx="703">
                  <c:v>889.84792314375909</c:v>
                </c:pt>
                <c:pt idx="704">
                  <c:v>889.84792314375909</c:v>
                </c:pt>
                <c:pt idx="705">
                  <c:v>889.84792314375909</c:v>
                </c:pt>
                <c:pt idx="706">
                  <c:v>889.84792314375909</c:v>
                </c:pt>
                <c:pt idx="707">
                  <c:v>889.84792314375909</c:v>
                </c:pt>
                <c:pt idx="708">
                  <c:v>889.84792314375909</c:v>
                </c:pt>
                <c:pt idx="709">
                  <c:v>889.84792314375909</c:v>
                </c:pt>
                <c:pt idx="710">
                  <c:v>889.84792314375909</c:v>
                </c:pt>
                <c:pt idx="711">
                  <c:v>889.84792314375909</c:v>
                </c:pt>
                <c:pt idx="712">
                  <c:v>889.84792314375909</c:v>
                </c:pt>
                <c:pt idx="713">
                  <c:v>889.84792314375909</c:v>
                </c:pt>
                <c:pt idx="714">
                  <c:v>889.84792314375909</c:v>
                </c:pt>
                <c:pt idx="715">
                  <c:v>889.84792314375909</c:v>
                </c:pt>
                <c:pt idx="716">
                  <c:v>889.84792314375909</c:v>
                </c:pt>
                <c:pt idx="717">
                  <c:v>889.84792314375909</c:v>
                </c:pt>
                <c:pt idx="718">
                  <c:v>889.84792314375909</c:v>
                </c:pt>
                <c:pt idx="719">
                  <c:v>889.84792314375909</c:v>
                </c:pt>
                <c:pt idx="720">
                  <c:v>889.84792314375909</c:v>
                </c:pt>
                <c:pt idx="721">
                  <c:v>889.84792314375909</c:v>
                </c:pt>
                <c:pt idx="722">
                  <c:v>889.84792314375909</c:v>
                </c:pt>
                <c:pt idx="723">
                  <c:v>889.84792314375909</c:v>
                </c:pt>
                <c:pt idx="724">
                  <c:v>889.84792314375909</c:v>
                </c:pt>
                <c:pt idx="725">
                  <c:v>889.84792314375909</c:v>
                </c:pt>
                <c:pt idx="726">
                  <c:v>889.84792314375909</c:v>
                </c:pt>
                <c:pt idx="727">
                  <c:v>889.84792314375909</c:v>
                </c:pt>
                <c:pt idx="728">
                  <c:v>889.84792314375909</c:v>
                </c:pt>
                <c:pt idx="729">
                  <c:v>889.84792314375909</c:v>
                </c:pt>
                <c:pt idx="730">
                  <c:v>889.84792314375909</c:v>
                </c:pt>
                <c:pt idx="731">
                  <c:v>889.84792314375909</c:v>
                </c:pt>
                <c:pt idx="732">
                  <c:v>889.84792314375909</c:v>
                </c:pt>
                <c:pt idx="733">
                  <c:v>889.84792314375909</c:v>
                </c:pt>
                <c:pt idx="734">
                  <c:v>889.84792314375909</c:v>
                </c:pt>
                <c:pt idx="735">
                  <c:v>889.84792314375909</c:v>
                </c:pt>
                <c:pt idx="736">
                  <c:v>889.84792314375909</c:v>
                </c:pt>
                <c:pt idx="737">
                  <c:v>889.84792314375909</c:v>
                </c:pt>
                <c:pt idx="738">
                  <c:v>889.84792314375909</c:v>
                </c:pt>
                <c:pt idx="739">
                  <c:v>889.84792314375909</c:v>
                </c:pt>
                <c:pt idx="740">
                  <c:v>889.84792314375909</c:v>
                </c:pt>
                <c:pt idx="741">
                  <c:v>889.84792314375909</c:v>
                </c:pt>
                <c:pt idx="742">
                  <c:v>889.84792314375909</c:v>
                </c:pt>
                <c:pt idx="743">
                  <c:v>889.84792314375909</c:v>
                </c:pt>
                <c:pt idx="744">
                  <c:v>889.84792314375909</c:v>
                </c:pt>
                <c:pt idx="745">
                  <c:v>889.84792314375909</c:v>
                </c:pt>
                <c:pt idx="746">
                  <c:v>889.84792314375909</c:v>
                </c:pt>
                <c:pt idx="747">
                  <c:v>889.84792314375909</c:v>
                </c:pt>
                <c:pt idx="748">
                  <c:v>889.84792314375909</c:v>
                </c:pt>
                <c:pt idx="749">
                  <c:v>889.84792314375909</c:v>
                </c:pt>
                <c:pt idx="750">
                  <c:v>889.84792314375909</c:v>
                </c:pt>
                <c:pt idx="751">
                  <c:v>889.84792314375909</c:v>
                </c:pt>
                <c:pt idx="752">
                  <c:v>889.84792314375909</c:v>
                </c:pt>
                <c:pt idx="753">
                  <c:v>889.84792314375909</c:v>
                </c:pt>
                <c:pt idx="754">
                  <c:v>889.84792314375909</c:v>
                </c:pt>
                <c:pt idx="755">
                  <c:v>889.84792314375909</c:v>
                </c:pt>
                <c:pt idx="756">
                  <c:v>889.84792314375909</c:v>
                </c:pt>
                <c:pt idx="757">
                  <c:v>889.84792314375909</c:v>
                </c:pt>
                <c:pt idx="758">
                  <c:v>889.84792314375909</c:v>
                </c:pt>
                <c:pt idx="759">
                  <c:v>889.84792314375909</c:v>
                </c:pt>
                <c:pt idx="760">
                  <c:v>889.84792314375909</c:v>
                </c:pt>
                <c:pt idx="761">
                  <c:v>889.84792314375909</c:v>
                </c:pt>
                <c:pt idx="762">
                  <c:v>889.84792314375909</c:v>
                </c:pt>
                <c:pt idx="763">
                  <c:v>889.84792314375909</c:v>
                </c:pt>
                <c:pt idx="764">
                  <c:v>889.84792314375909</c:v>
                </c:pt>
                <c:pt idx="765">
                  <c:v>889.84792314375909</c:v>
                </c:pt>
                <c:pt idx="766">
                  <c:v>889.84792314375909</c:v>
                </c:pt>
                <c:pt idx="767">
                  <c:v>889.84792314375909</c:v>
                </c:pt>
                <c:pt idx="768">
                  <c:v>889.84792314375909</c:v>
                </c:pt>
                <c:pt idx="769">
                  <c:v>889.84792314375909</c:v>
                </c:pt>
                <c:pt idx="770">
                  <c:v>889.84792314375909</c:v>
                </c:pt>
                <c:pt idx="771">
                  <c:v>889.84792314375909</c:v>
                </c:pt>
                <c:pt idx="772">
                  <c:v>889.84792314375909</c:v>
                </c:pt>
                <c:pt idx="773">
                  <c:v>889.84792314375909</c:v>
                </c:pt>
                <c:pt idx="774">
                  <c:v>889.84792314375909</c:v>
                </c:pt>
                <c:pt idx="775">
                  <c:v>889.84792314375909</c:v>
                </c:pt>
                <c:pt idx="776">
                  <c:v>889.84792314375909</c:v>
                </c:pt>
                <c:pt idx="777">
                  <c:v>889.84792314375909</c:v>
                </c:pt>
                <c:pt idx="778">
                  <c:v>889.84792314375909</c:v>
                </c:pt>
                <c:pt idx="779">
                  <c:v>889.84792314375909</c:v>
                </c:pt>
                <c:pt idx="780">
                  <c:v>889.84792314375909</c:v>
                </c:pt>
                <c:pt idx="781">
                  <c:v>889.84792314375909</c:v>
                </c:pt>
                <c:pt idx="782">
                  <c:v>889.84792314375909</c:v>
                </c:pt>
                <c:pt idx="783">
                  <c:v>889.84792314375909</c:v>
                </c:pt>
                <c:pt idx="784">
                  <c:v>889.84792314375909</c:v>
                </c:pt>
                <c:pt idx="785">
                  <c:v>889.84792314375909</c:v>
                </c:pt>
                <c:pt idx="786">
                  <c:v>889.84792314375909</c:v>
                </c:pt>
                <c:pt idx="787">
                  <c:v>889.84792314375909</c:v>
                </c:pt>
                <c:pt idx="788">
                  <c:v>889.84792314375909</c:v>
                </c:pt>
                <c:pt idx="789">
                  <c:v>889.84792314375909</c:v>
                </c:pt>
                <c:pt idx="790">
                  <c:v>889.84792314375909</c:v>
                </c:pt>
                <c:pt idx="791">
                  <c:v>889.84792314375909</c:v>
                </c:pt>
                <c:pt idx="792">
                  <c:v>889.84792314375909</c:v>
                </c:pt>
                <c:pt idx="793">
                  <c:v>889.84792314375909</c:v>
                </c:pt>
                <c:pt idx="794">
                  <c:v>889.84792314375909</c:v>
                </c:pt>
                <c:pt idx="795">
                  <c:v>889.84792314375909</c:v>
                </c:pt>
                <c:pt idx="796">
                  <c:v>889.84792314375909</c:v>
                </c:pt>
                <c:pt idx="797">
                  <c:v>889.84792314375909</c:v>
                </c:pt>
                <c:pt idx="798">
                  <c:v>889.84792314375909</c:v>
                </c:pt>
                <c:pt idx="799">
                  <c:v>889.84792314375909</c:v>
                </c:pt>
                <c:pt idx="800">
                  <c:v>889.84792314375909</c:v>
                </c:pt>
                <c:pt idx="801">
                  <c:v>889.84792314375909</c:v>
                </c:pt>
                <c:pt idx="802">
                  <c:v>889.84792314375909</c:v>
                </c:pt>
                <c:pt idx="803">
                  <c:v>889.84792314375909</c:v>
                </c:pt>
                <c:pt idx="804">
                  <c:v>889.84792314375909</c:v>
                </c:pt>
                <c:pt idx="805">
                  <c:v>889.84792314375909</c:v>
                </c:pt>
                <c:pt idx="806">
                  <c:v>889.84792314375909</c:v>
                </c:pt>
                <c:pt idx="807">
                  <c:v>889.84792314375909</c:v>
                </c:pt>
                <c:pt idx="808">
                  <c:v>889.84792314375909</c:v>
                </c:pt>
                <c:pt idx="809">
                  <c:v>889.84792314375909</c:v>
                </c:pt>
                <c:pt idx="810">
                  <c:v>889.84792314375909</c:v>
                </c:pt>
                <c:pt idx="811">
                  <c:v>889.84792314375909</c:v>
                </c:pt>
                <c:pt idx="812">
                  <c:v>889.84792314375909</c:v>
                </c:pt>
                <c:pt idx="813">
                  <c:v>889.84792314375909</c:v>
                </c:pt>
                <c:pt idx="814">
                  <c:v>889.84792314375909</c:v>
                </c:pt>
                <c:pt idx="815">
                  <c:v>889.84792314375909</c:v>
                </c:pt>
                <c:pt idx="816">
                  <c:v>889.84792314375909</c:v>
                </c:pt>
                <c:pt idx="817">
                  <c:v>889.84792314375909</c:v>
                </c:pt>
                <c:pt idx="818">
                  <c:v>889.84792314375909</c:v>
                </c:pt>
                <c:pt idx="819">
                  <c:v>889.84792314375909</c:v>
                </c:pt>
                <c:pt idx="820">
                  <c:v>889.84792314375909</c:v>
                </c:pt>
                <c:pt idx="821">
                  <c:v>889.84792314375909</c:v>
                </c:pt>
                <c:pt idx="822">
                  <c:v>889.84792314375909</c:v>
                </c:pt>
                <c:pt idx="823">
                  <c:v>889.84792314375909</c:v>
                </c:pt>
                <c:pt idx="824">
                  <c:v>889.84792314375909</c:v>
                </c:pt>
                <c:pt idx="825">
                  <c:v>889.84792314375909</c:v>
                </c:pt>
                <c:pt idx="826">
                  <c:v>889.84792314375909</c:v>
                </c:pt>
                <c:pt idx="827">
                  <c:v>889.84792314375909</c:v>
                </c:pt>
                <c:pt idx="828">
                  <c:v>889.84792314375909</c:v>
                </c:pt>
                <c:pt idx="829">
                  <c:v>889.84792314375909</c:v>
                </c:pt>
                <c:pt idx="830">
                  <c:v>889.84792314375909</c:v>
                </c:pt>
                <c:pt idx="831">
                  <c:v>889.84792314375909</c:v>
                </c:pt>
                <c:pt idx="832">
                  <c:v>889.84792314375909</c:v>
                </c:pt>
                <c:pt idx="833">
                  <c:v>889.84792314375909</c:v>
                </c:pt>
                <c:pt idx="834">
                  <c:v>889.84792314375909</c:v>
                </c:pt>
                <c:pt idx="835">
                  <c:v>889.84792314375909</c:v>
                </c:pt>
                <c:pt idx="836">
                  <c:v>889.84792314375909</c:v>
                </c:pt>
                <c:pt idx="837">
                  <c:v>889.84792314375909</c:v>
                </c:pt>
                <c:pt idx="838">
                  <c:v>889.84792314375909</c:v>
                </c:pt>
                <c:pt idx="839">
                  <c:v>889.84792314375909</c:v>
                </c:pt>
                <c:pt idx="840">
                  <c:v>889.84792314375909</c:v>
                </c:pt>
                <c:pt idx="841">
                  <c:v>889.84792314375909</c:v>
                </c:pt>
                <c:pt idx="842">
                  <c:v>889.84792314375909</c:v>
                </c:pt>
                <c:pt idx="843">
                  <c:v>889.84792314375909</c:v>
                </c:pt>
                <c:pt idx="844">
                  <c:v>889.84792314375909</c:v>
                </c:pt>
                <c:pt idx="845">
                  <c:v>889.84792314375909</c:v>
                </c:pt>
                <c:pt idx="846">
                  <c:v>889.84792314375909</c:v>
                </c:pt>
                <c:pt idx="847">
                  <c:v>889.84792314375909</c:v>
                </c:pt>
                <c:pt idx="848">
                  <c:v>889.84792314375909</c:v>
                </c:pt>
                <c:pt idx="849">
                  <c:v>889.84792314375909</c:v>
                </c:pt>
                <c:pt idx="850">
                  <c:v>889.84792314375909</c:v>
                </c:pt>
                <c:pt idx="851">
                  <c:v>889.84792314375909</c:v>
                </c:pt>
                <c:pt idx="852">
                  <c:v>889.84792314375909</c:v>
                </c:pt>
                <c:pt idx="853">
                  <c:v>889.84792314375909</c:v>
                </c:pt>
                <c:pt idx="854">
                  <c:v>889.84792314375909</c:v>
                </c:pt>
                <c:pt idx="855">
                  <c:v>889.84792314375909</c:v>
                </c:pt>
                <c:pt idx="856">
                  <c:v>889.84792314375909</c:v>
                </c:pt>
                <c:pt idx="857">
                  <c:v>889.84792314375909</c:v>
                </c:pt>
                <c:pt idx="858">
                  <c:v>889.84792314375909</c:v>
                </c:pt>
                <c:pt idx="859">
                  <c:v>889.84792314375909</c:v>
                </c:pt>
                <c:pt idx="860">
                  <c:v>889.84792314375909</c:v>
                </c:pt>
                <c:pt idx="861">
                  <c:v>889.84792314375909</c:v>
                </c:pt>
                <c:pt idx="862">
                  <c:v>889.84792314375909</c:v>
                </c:pt>
                <c:pt idx="863">
                  <c:v>889.84792314375909</c:v>
                </c:pt>
                <c:pt idx="864">
                  <c:v>889.84792314375909</c:v>
                </c:pt>
                <c:pt idx="865">
                  <c:v>889.84792314375909</c:v>
                </c:pt>
                <c:pt idx="866">
                  <c:v>889.84792314375909</c:v>
                </c:pt>
                <c:pt idx="867">
                  <c:v>889.84792314375909</c:v>
                </c:pt>
                <c:pt idx="868">
                  <c:v>889.84792314375909</c:v>
                </c:pt>
                <c:pt idx="869">
                  <c:v>889.84792314375909</c:v>
                </c:pt>
                <c:pt idx="870">
                  <c:v>889.84792314375909</c:v>
                </c:pt>
                <c:pt idx="871">
                  <c:v>889.84792314375909</c:v>
                </c:pt>
                <c:pt idx="872">
                  <c:v>889.84792314375909</c:v>
                </c:pt>
                <c:pt idx="873">
                  <c:v>889.84792314375909</c:v>
                </c:pt>
                <c:pt idx="874">
                  <c:v>889.84792314375909</c:v>
                </c:pt>
                <c:pt idx="875">
                  <c:v>889.84792314375909</c:v>
                </c:pt>
                <c:pt idx="876">
                  <c:v>889.84792314375909</c:v>
                </c:pt>
                <c:pt idx="877">
                  <c:v>889.84792314375909</c:v>
                </c:pt>
                <c:pt idx="878">
                  <c:v>889.84792314375909</c:v>
                </c:pt>
                <c:pt idx="879">
                  <c:v>889.84792314375909</c:v>
                </c:pt>
                <c:pt idx="880">
                  <c:v>889.84792314375909</c:v>
                </c:pt>
                <c:pt idx="881">
                  <c:v>889.84792314375909</c:v>
                </c:pt>
                <c:pt idx="882">
                  <c:v>889.84792314375909</c:v>
                </c:pt>
                <c:pt idx="883">
                  <c:v>889.84792314375909</c:v>
                </c:pt>
                <c:pt idx="884">
                  <c:v>889.84792314375909</c:v>
                </c:pt>
                <c:pt idx="885">
                  <c:v>889.84792314375909</c:v>
                </c:pt>
                <c:pt idx="886">
                  <c:v>889.84792314375909</c:v>
                </c:pt>
                <c:pt idx="887">
                  <c:v>889.84792314375909</c:v>
                </c:pt>
                <c:pt idx="888">
                  <c:v>889.84792314375909</c:v>
                </c:pt>
                <c:pt idx="889">
                  <c:v>889.84792314375909</c:v>
                </c:pt>
                <c:pt idx="890">
                  <c:v>889.84792314375909</c:v>
                </c:pt>
                <c:pt idx="891">
                  <c:v>889.84792314375909</c:v>
                </c:pt>
                <c:pt idx="892">
                  <c:v>889.84792314375909</c:v>
                </c:pt>
                <c:pt idx="893">
                  <c:v>889.84792314375909</c:v>
                </c:pt>
                <c:pt idx="894">
                  <c:v>889.84792314375909</c:v>
                </c:pt>
                <c:pt idx="895">
                  <c:v>889.84792314375909</c:v>
                </c:pt>
                <c:pt idx="896">
                  <c:v>889.84792314375909</c:v>
                </c:pt>
                <c:pt idx="897">
                  <c:v>889.84792314375909</c:v>
                </c:pt>
                <c:pt idx="898">
                  <c:v>889.84792314375909</c:v>
                </c:pt>
                <c:pt idx="899">
                  <c:v>889.84792314375909</c:v>
                </c:pt>
                <c:pt idx="900">
                  <c:v>889.84792314375909</c:v>
                </c:pt>
                <c:pt idx="901">
                  <c:v>889.84792314375909</c:v>
                </c:pt>
                <c:pt idx="902">
                  <c:v>889.84792314375909</c:v>
                </c:pt>
                <c:pt idx="903">
                  <c:v>889.84792314375909</c:v>
                </c:pt>
                <c:pt idx="904">
                  <c:v>889.84792314375909</c:v>
                </c:pt>
                <c:pt idx="905">
                  <c:v>889.84792314375909</c:v>
                </c:pt>
                <c:pt idx="906">
                  <c:v>889.84792314375909</c:v>
                </c:pt>
                <c:pt idx="907">
                  <c:v>889.84792314375909</c:v>
                </c:pt>
                <c:pt idx="908">
                  <c:v>889.84792314375909</c:v>
                </c:pt>
                <c:pt idx="909">
                  <c:v>889.84792314375909</c:v>
                </c:pt>
                <c:pt idx="910">
                  <c:v>889.84792314375909</c:v>
                </c:pt>
                <c:pt idx="911">
                  <c:v>889.84792314375909</c:v>
                </c:pt>
                <c:pt idx="912">
                  <c:v>889.84792314375909</c:v>
                </c:pt>
                <c:pt idx="913">
                  <c:v>889.84792314375909</c:v>
                </c:pt>
                <c:pt idx="914">
                  <c:v>889.84792314375909</c:v>
                </c:pt>
                <c:pt idx="915">
                  <c:v>889.84792314375909</c:v>
                </c:pt>
                <c:pt idx="916">
                  <c:v>889.84792314375909</c:v>
                </c:pt>
                <c:pt idx="917">
                  <c:v>889.84792314375909</c:v>
                </c:pt>
                <c:pt idx="918">
                  <c:v>889.84792314375909</c:v>
                </c:pt>
                <c:pt idx="919">
                  <c:v>889.84792314375909</c:v>
                </c:pt>
                <c:pt idx="920">
                  <c:v>889.84792314375909</c:v>
                </c:pt>
                <c:pt idx="921">
                  <c:v>889.84792314375909</c:v>
                </c:pt>
                <c:pt idx="922">
                  <c:v>889.84792314375909</c:v>
                </c:pt>
                <c:pt idx="923">
                  <c:v>889.84792314375909</c:v>
                </c:pt>
                <c:pt idx="924">
                  <c:v>889.84792314375909</c:v>
                </c:pt>
                <c:pt idx="925">
                  <c:v>889.84792314375909</c:v>
                </c:pt>
                <c:pt idx="926">
                  <c:v>889.84792314375909</c:v>
                </c:pt>
                <c:pt idx="927">
                  <c:v>889.84792314375909</c:v>
                </c:pt>
                <c:pt idx="928">
                  <c:v>889.84792314375909</c:v>
                </c:pt>
                <c:pt idx="929">
                  <c:v>889.84792314375909</c:v>
                </c:pt>
                <c:pt idx="930">
                  <c:v>889.84792314375909</c:v>
                </c:pt>
                <c:pt idx="931">
                  <c:v>889.84792314375909</c:v>
                </c:pt>
                <c:pt idx="932">
                  <c:v>889.84792314375909</c:v>
                </c:pt>
                <c:pt idx="933">
                  <c:v>889.84792314375909</c:v>
                </c:pt>
                <c:pt idx="934">
                  <c:v>889.84792314375909</c:v>
                </c:pt>
                <c:pt idx="935">
                  <c:v>889.84792314375909</c:v>
                </c:pt>
                <c:pt idx="936">
                  <c:v>889.84792314375909</c:v>
                </c:pt>
                <c:pt idx="937">
                  <c:v>889.84792314375909</c:v>
                </c:pt>
                <c:pt idx="938">
                  <c:v>889.84792314375909</c:v>
                </c:pt>
                <c:pt idx="939">
                  <c:v>889.84792314375909</c:v>
                </c:pt>
                <c:pt idx="940">
                  <c:v>889.84792314375909</c:v>
                </c:pt>
                <c:pt idx="941">
                  <c:v>889.84792314375909</c:v>
                </c:pt>
                <c:pt idx="942">
                  <c:v>889.84792314375909</c:v>
                </c:pt>
                <c:pt idx="943">
                  <c:v>889.84792314375909</c:v>
                </c:pt>
                <c:pt idx="944">
                  <c:v>889.84792314375909</c:v>
                </c:pt>
                <c:pt idx="945">
                  <c:v>889.84792314375909</c:v>
                </c:pt>
                <c:pt idx="946">
                  <c:v>889.84792314375909</c:v>
                </c:pt>
                <c:pt idx="947">
                  <c:v>889.84792314375909</c:v>
                </c:pt>
                <c:pt idx="948">
                  <c:v>889.84792314375909</c:v>
                </c:pt>
                <c:pt idx="949">
                  <c:v>889.84792314375909</c:v>
                </c:pt>
                <c:pt idx="950">
                  <c:v>889.84792314375909</c:v>
                </c:pt>
                <c:pt idx="951">
                  <c:v>889.84792314375909</c:v>
                </c:pt>
                <c:pt idx="952">
                  <c:v>889.84792314375909</c:v>
                </c:pt>
                <c:pt idx="953">
                  <c:v>889.84792314375909</c:v>
                </c:pt>
                <c:pt idx="954">
                  <c:v>889.84792314375909</c:v>
                </c:pt>
                <c:pt idx="955">
                  <c:v>889.84792314375909</c:v>
                </c:pt>
                <c:pt idx="956">
                  <c:v>889.84792314375909</c:v>
                </c:pt>
                <c:pt idx="957">
                  <c:v>889.84792314375909</c:v>
                </c:pt>
                <c:pt idx="958">
                  <c:v>889.84792314375909</c:v>
                </c:pt>
                <c:pt idx="959">
                  <c:v>889.84792314375909</c:v>
                </c:pt>
                <c:pt idx="960">
                  <c:v>889.84792314375909</c:v>
                </c:pt>
                <c:pt idx="961">
                  <c:v>889.84792314375909</c:v>
                </c:pt>
                <c:pt idx="962">
                  <c:v>889.84792314375909</c:v>
                </c:pt>
                <c:pt idx="963">
                  <c:v>889.84792314375909</c:v>
                </c:pt>
                <c:pt idx="964">
                  <c:v>889.84792314375909</c:v>
                </c:pt>
                <c:pt idx="965">
                  <c:v>889.84792314375909</c:v>
                </c:pt>
                <c:pt idx="966">
                  <c:v>889.84792314375909</c:v>
                </c:pt>
                <c:pt idx="967">
                  <c:v>889.84792314375909</c:v>
                </c:pt>
                <c:pt idx="968">
                  <c:v>889.84792314375909</c:v>
                </c:pt>
                <c:pt idx="969">
                  <c:v>889.84792314375909</c:v>
                </c:pt>
                <c:pt idx="970">
                  <c:v>889.84792314375909</c:v>
                </c:pt>
                <c:pt idx="971">
                  <c:v>889.84792314375909</c:v>
                </c:pt>
                <c:pt idx="972">
                  <c:v>889.84792314375909</c:v>
                </c:pt>
                <c:pt idx="973">
                  <c:v>889.84792314375909</c:v>
                </c:pt>
                <c:pt idx="974">
                  <c:v>889.84792314375909</c:v>
                </c:pt>
                <c:pt idx="975">
                  <c:v>889.84792314375909</c:v>
                </c:pt>
                <c:pt idx="976">
                  <c:v>889.84792314375909</c:v>
                </c:pt>
                <c:pt idx="977">
                  <c:v>889.84792314375909</c:v>
                </c:pt>
                <c:pt idx="978">
                  <c:v>889.84792314375909</c:v>
                </c:pt>
                <c:pt idx="979">
                  <c:v>889.84792314375909</c:v>
                </c:pt>
                <c:pt idx="980">
                  <c:v>889.84792314375909</c:v>
                </c:pt>
                <c:pt idx="981">
                  <c:v>889.84792314375909</c:v>
                </c:pt>
                <c:pt idx="982">
                  <c:v>889.84792314375909</c:v>
                </c:pt>
                <c:pt idx="983">
                  <c:v>889.84792314375909</c:v>
                </c:pt>
                <c:pt idx="984">
                  <c:v>889.84792314375909</c:v>
                </c:pt>
                <c:pt idx="985">
                  <c:v>889.84792314375909</c:v>
                </c:pt>
                <c:pt idx="986">
                  <c:v>889.84792314375909</c:v>
                </c:pt>
                <c:pt idx="987">
                  <c:v>889.84792314375909</c:v>
                </c:pt>
                <c:pt idx="988">
                  <c:v>889.84792314375909</c:v>
                </c:pt>
                <c:pt idx="989">
                  <c:v>889.84792314375909</c:v>
                </c:pt>
                <c:pt idx="990">
                  <c:v>889.84792314375909</c:v>
                </c:pt>
                <c:pt idx="991">
                  <c:v>889.84792314375909</c:v>
                </c:pt>
                <c:pt idx="992">
                  <c:v>889.84792314375909</c:v>
                </c:pt>
                <c:pt idx="993">
                  <c:v>889.84792314375909</c:v>
                </c:pt>
                <c:pt idx="994">
                  <c:v>889.84792314375909</c:v>
                </c:pt>
                <c:pt idx="995">
                  <c:v>889.84792314375909</c:v>
                </c:pt>
                <c:pt idx="996">
                  <c:v>889.84792314375909</c:v>
                </c:pt>
                <c:pt idx="997">
                  <c:v>889.84792314375909</c:v>
                </c:pt>
                <c:pt idx="998">
                  <c:v>889.84792314375909</c:v>
                </c:pt>
                <c:pt idx="999">
                  <c:v>889.84792314375909</c:v>
                </c:pt>
                <c:pt idx="1000">
                  <c:v>889.84792314375909</c:v>
                </c:pt>
              </c:numCache>
            </c:numRef>
          </c:yVal>
          <c:smooth val="0"/>
          <c:extLst>
            <c:ext xmlns:c16="http://schemas.microsoft.com/office/drawing/2014/chart" uri="{C3380CC4-5D6E-409C-BE32-E72D297353CC}">
              <c16:uniqueId val="{00000000-B5CC-4BD6-9E0D-EA30945FB569}"/>
            </c:ext>
          </c:extLst>
        </c:ser>
        <c:ser>
          <c:idx val="1"/>
          <c:order val="1"/>
          <c:tx>
            <c:strRef>
              <c:f>Courbes!$B$143</c:f>
              <c:strCache>
                <c:ptCount val="1"/>
                <c:pt idx="0">
                  <c:v>Altitude</c:v>
                </c:pt>
              </c:strCache>
            </c:strRef>
          </c:tx>
          <c:spPr>
            <a:ln w="12700">
              <a:solidFill>
                <a:srgbClr val="000080"/>
              </a:solidFill>
              <a:prstDash val="solid"/>
            </a:ln>
          </c:spPr>
          <c:marker>
            <c:symbol val="none"/>
          </c:marker>
          <c:xVal>
            <c:numRef>
              <c:f>Calculs!$B$4:$B$1004</c:f>
              <c:numCache>
                <c:formatCode>0.00</c:formatCode>
                <c:ptCount val="1001"/>
                <c:pt idx="0">
                  <c:v>0</c:v>
                </c:pt>
                <c:pt idx="1">
                  <c:v>0.01</c:v>
                </c:pt>
                <c:pt idx="2">
                  <c:v>0.02</c:v>
                </c:pt>
                <c:pt idx="3">
                  <c:v>0.03</c:v>
                </c:pt>
                <c:pt idx="4">
                  <c:v>0.04</c:v>
                </c:pt>
                <c:pt idx="5">
                  <c:v>0.05</c:v>
                </c:pt>
                <c:pt idx="6">
                  <c:v>6.0000000000000005E-2</c:v>
                </c:pt>
                <c:pt idx="7">
                  <c:v>7.0000000000000007E-2</c:v>
                </c:pt>
                <c:pt idx="8">
                  <c:v>0.08</c:v>
                </c:pt>
                <c:pt idx="9">
                  <c:v>0.09</c:v>
                </c:pt>
                <c:pt idx="10">
                  <c:v>9.9999999999999992E-2</c:v>
                </c:pt>
                <c:pt idx="11">
                  <c:v>0.10999999999999999</c:v>
                </c:pt>
                <c:pt idx="12">
                  <c:v>0.11999999999999998</c:v>
                </c:pt>
                <c:pt idx="13">
                  <c:v>0.12999999999999998</c:v>
                </c:pt>
                <c:pt idx="14">
                  <c:v>0.13999999999999999</c:v>
                </c:pt>
                <c:pt idx="15">
                  <c:v>0.15</c:v>
                </c:pt>
                <c:pt idx="16">
                  <c:v>0.16</c:v>
                </c:pt>
                <c:pt idx="17">
                  <c:v>0.17</c:v>
                </c:pt>
                <c:pt idx="18">
                  <c:v>0.18000000000000002</c:v>
                </c:pt>
                <c:pt idx="19">
                  <c:v>0.19000000000000003</c:v>
                </c:pt>
                <c:pt idx="20">
                  <c:v>0.20000000000000004</c:v>
                </c:pt>
                <c:pt idx="21">
                  <c:v>0.21000000000000005</c:v>
                </c:pt>
                <c:pt idx="22">
                  <c:v>0.22000000000000006</c:v>
                </c:pt>
                <c:pt idx="23">
                  <c:v>0.23000000000000007</c:v>
                </c:pt>
                <c:pt idx="24">
                  <c:v>0.24000000000000007</c:v>
                </c:pt>
                <c:pt idx="25">
                  <c:v>0.25000000000000006</c:v>
                </c:pt>
                <c:pt idx="26">
                  <c:v>0.26000000000000006</c:v>
                </c:pt>
                <c:pt idx="27">
                  <c:v>0.27000000000000007</c:v>
                </c:pt>
                <c:pt idx="28">
                  <c:v>0.28000000000000008</c:v>
                </c:pt>
                <c:pt idx="29">
                  <c:v>0.29000000000000009</c:v>
                </c:pt>
                <c:pt idx="30">
                  <c:v>0.3000000000000001</c:v>
                </c:pt>
                <c:pt idx="31">
                  <c:v>0.31000000000000011</c:v>
                </c:pt>
                <c:pt idx="32">
                  <c:v>0.32000000000000012</c:v>
                </c:pt>
                <c:pt idx="33">
                  <c:v>0.33000000000000013</c:v>
                </c:pt>
                <c:pt idx="34">
                  <c:v>0.34000000000000014</c:v>
                </c:pt>
                <c:pt idx="35">
                  <c:v>0.35000000000000014</c:v>
                </c:pt>
                <c:pt idx="36">
                  <c:v>0.36000000000000015</c:v>
                </c:pt>
                <c:pt idx="37">
                  <c:v>0.37000000000000016</c:v>
                </c:pt>
                <c:pt idx="38">
                  <c:v>0.38000000000000017</c:v>
                </c:pt>
                <c:pt idx="39">
                  <c:v>0.39000000000000018</c:v>
                </c:pt>
                <c:pt idx="40">
                  <c:v>0.40000000000000019</c:v>
                </c:pt>
                <c:pt idx="41">
                  <c:v>0.4100000000000002</c:v>
                </c:pt>
                <c:pt idx="42">
                  <c:v>0.42000000000000021</c:v>
                </c:pt>
                <c:pt idx="43">
                  <c:v>0.43000000000000022</c:v>
                </c:pt>
                <c:pt idx="44">
                  <c:v>0.44000000000000022</c:v>
                </c:pt>
                <c:pt idx="45">
                  <c:v>0.45000000000000023</c:v>
                </c:pt>
                <c:pt idx="46">
                  <c:v>0.46000000000000024</c:v>
                </c:pt>
                <c:pt idx="47">
                  <c:v>0.47000000000000025</c:v>
                </c:pt>
                <c:pt idx="48">
                  <c:v>0.48000000000000026</c:v>
                </c:pt>
                <c:pt idx="49">
                  <c:v>0.49000000000000027</c:v>
                </c:pt>
                <c:pt idx="50">
                  <c:v>0.50000000000000022</c:v>
                </c:pt>
                <c:pt idx="51">
                  <c:v>0.51000000000000023</c:v>
                </c:pt>
                <c:pt idx="52">
                  <c:v>0.52000000000000024</c:v>
                </c:pt>
                <c:pt idx="53">
                  <c:v>0.53000000000000025</c:v>
                </c:pt>
                <c:pt idx="54">
                  <c:v>0.54000000000000026</c:v>
                </c:pt>
                <c:pt idx="55">
                  <c:v>0.55000000000000027</c:v>
                </c:pt>
                <c:pt idx="56">
                  <c:v>0.56000000000000028</c:v>
                </c:pt>
                <c:pt idx="57">
                  <c:v>0.57000000000000028</c:v>
                </c:pt>
                <c:pt idx="58">
                  <c:v>0.58000000000000029</c:v>
                </c:pt>
                <c:pt idx="59">
                  <c:v>0.5900000000000003</c:v>
                </c:pt>
                <c:pt idx="60">
                  <c:v>0.60000000000000031</c:v>
                </c:pt>
                <c:pt idx="61">
                  <c:v>0.61000000000000032</c:v>
                </c:pt>
                <c:pt idx="62">
                  <c:v>0.62000000000000033</c:v>
                </c:pt>
                <c:pt idx="63">
                  <c:v>0.63000000000000034</c:v>
                </c:pt>
                <c:pt idx="64">
                  <c:v>0.64000000000000035</c:v>
                </c:pt>
                <c:pt idx="65">
                  <c:v>0.65000000000000036</c:v>
                </c:pt>
                <c:pt idx="66">
                  <c:v>0.66000000000000036</c:v>
                </c:pt>
                <c:pt idx="67">
                  <c:v>0.67000000000000037</c:v>
                </c:pt>
                <c:pt idx="68">
                  <c:v>0.68000000000000038</c:v>
                </c:pt>
                <c:pt idx="69">
                  <c:v>0.69000000000000039</c:v>
                </c:pt>
                <c:pt idx="70">
                  <c:v>0.7000000000000004</c:v>
                </c:pt>
                <c:pt idx="71">
                  <c:v>0.71000000000000041</c:v>
                </c:pt>
                <c:pt idx="72">
                  <c:v>0.72000000000000042</c:v>
                </c:pt>
                <c:pt idx="73">
                  <c:v>0.73000000000000043</c:v>
                </c:pt>
                <c:pt idx="74">
                  <c:v>0.74000000000000044</c:v>
                </c:pt>
                <c:pt idx="75">
                  <c:v>0.75000000000000044</c:v>
                </c:pt>
                <c:pt idx="76">
                  <c:v>0.76000000000000045</c:v>
                </c:pt>
                <c:pt idx="77">
                  <c:v>0.77000000000000046</c:v>
                </c:pt>
                <c:pt idx="78">
                  <c:v>0.78000000000000047</c:v>
                </c:pt>
                <c:pt idx="79">
                  <c:v>0.79000000000000048</c:v>
                </c:pt>
                <c:pt idx="80">
                  <c:v>0.80000000000000049</c:v>
                </c:pt>
                <c:pt idx="81">
                  <c:v>0.8100000000000005</c:v>
                </c:pt>
                <c:pt idx="82">
                  <c:v>0.82000000000000051</c:v>
                </c:pt>
                <c:pt idx="83">
                  <c:v>0.83000000000000052</c:v>
                </c:pt>
                <c:pt idx="84">
                  <c:v>0.84000000000000052</c:v>
                </c:pt>
                <c:pt idx="85">
                  <c:v>0.85000000000000053</c:v>
                </c:pt>
                <c:pt idx="86">
                  <c:v>0.86000000000000054</c:v>
                </c:pt>
                <c:pt idx="87">
                  <c:v>0.87000000000000055</c:v>
                </c:pt>
                <c:pt idx="88">
                  <c:v>0.88000000000000056</c:v>
                </c:pt>
                <c:pt idx="89">
                  <c:v>0.89000000000000057</c:v>
                </c:pt>
                <c:pt idx="90">
                  <c:v>0.90000000000000058</c:v>
                </c:pt>
                <c:pt idx="91">
                  <c:v>0.91000000000000059</c:v>
                </c:pt>
                <c:pt idx="92">
                  <c:v>0.9200000000000006</c:v>
                </c:pt>
                <c:pt idx="93">
                  <c:v>0.9300000000000006</c:v>
                </c:pt>
                <c:pt idx="94">
                  <c:v>0.94000000000000061</c:v>
                </c:pt>
                <c:pt idx="95">
                  <c:v>0.95000000000000062</c:v>
                </c:pt>
                <c:pt idx="96">
                  <c:v>0.96000000000000063</c:v>
                </c:pt>
                <c:pt idx="97">
                  <c:v>0.97000000000000064</c:v>
                </c:pt>
                <c:pt idx="98">
                  <c:v>0.98000000000000065</c:v>
                </c:pt>
                <c:pt idx="99">
                  <c:v>0.99000000000000066</c:v>
                </c:pt>
                <c:pt idx="100">
                  <c:v>1.0000000000000007</c:v>
                </c:pt>
                <c:pt idx="101">
                  <c:v>1.0100000000000007</c:v>
                </c:pt>
                <c:pt idx="102">
                  <c:v>1.0200000000000007</c:v>
                </c:pt>
                <c:pt idx="103">
                  <c:v>1.0300000000000007</c:v>
                </c:pt>
                <c:pt idx="104">
                  <c:v>1.0400000000000007</c:v>
                </c:pt>
                <c:pt idx="105">
                  <c:v>1.0500000000000007</c:v>
                </c:pt>
                <c:pt idx="106">
                  <c:v>1.0600000000000007</c:v>
                </c:pt>
                <c:pt idx="107">
                  <c:v>1.0700000000000007</c:v>
                </c:pt>
                <c:pt idx="108">
                  <c:v>1.0800000000000007</c:v>
                </c:pt>
                <c:pt idx="109">
                  <c:v>1.0900000000000007</c:v>
                </c:pt>
                <c:pt idx="110">
                  <c:v>1.1000000000000008</c:v>
                </c:pt>
                <c:pt idx="111">
                  <c:v>1.1100000000000008</c:v>
                </c:pt>
                <c:pt idx="112">
                  <c:v>1.1200000000000008</c:v>
                </c:pt>
                <c:pt idx="113">
                  <c:v>1.1300000000000008</c:v>
                </c:pt>
                <c:pt idx="114">
                  <c:v>1.1400000000000008</c:v>
                </c:pt>
                <c:pt idx="115">
                  <c:v>1.1500000000000008</c:v>
                </c:pt>
                <c:pt idx="116">
                  <c:v>1.1600000000000008</c:v>
                </c:pt>
                <c:pt idx="117">
                  <c:v>1.1700000000000008</c:v>
                </c:pt>
                <c:pt idx="118">
                  <c:v>1.1800000000000008</c:v>
                </c:pt>
                <c:pt idx="119">
                  <c:v>1.1900000000000008</c:v>
                </c:pt>
                <c:pt idx="120">
                  <c:v>1.2000000000000008</c:v>
                </c:pt>
                <c:pt idx="121">
                  <c:v>1.2100000000000009</c:v>
                </c:pt>
                <c:pt idx="122">
                  <c:v>1.2200000000000009</c:v>
                </c:pt>
                <c:pt idx="123">
                  <c:v>1.2300000000000009</c:v>
                </c:pt>
                <c:pt idx="124">
                  <c:v>1.2400000000000009</c:v>
                </c:pt>
                <c:pt idx="125">
                  <c:v>1.2500000000000009</c:v>
                </c:pt>
                <c:pt idx="126">
                  <c:v>1.2600000000000009</c:v>
                </c:pt>
                <c:pt idx="127">
                  <c:v>1.2700000000000009</c:v>
                </c:pt>
                <c:pt idx="128">
                  <c:v>1.2800000000000009</c:v>
                </c:pt>
                <c:pt idx="129">
                  <c:v>1.2900000000000009</c:v>
                </c:pt>
                <c:pt idx="130">
                  <c:v>1.3000000000000009</c:v>
                </c:pt>
                <c:pt idx="131">
                  <c:v>1.3100000000000009</c:v>
                </c:pt>
                <c:pt idx="132">
                  <c:v>1.320000000000001</c:v>
                </c:pt>
                <c:pt idx="133">
                  <c:v>1.330000000000001</c:v>
                </c:pt>
                <c:pt idx="134">
                  <c:v>1.340000000000001</c:v>
                </c:pt>
                <c:pt idx="135">
                  <c:v>1.350000000000001</c:v>
                </c:pt>
                <c:pt idx="136">
                  <c:v>1.360000000000001</c:v>
                </c:pt>
                <c:pt idx="137">
                  <c:v>1.370000000000001</c:v>
                </c:pt>
                <c:pt idx="138">
                  <c:v>1.380000000000001</c:v>
                </c:pt>
                <c:pt idx="139">
                  <c:v>1.390000000000001</c:v>
                </c:pt>
                <c:pt idx="140">
                  <c:v>1.400000000000001</c:v>
                </c:pt>
                <c:pt idx="141">
                  <c:v>1.410000000000001</c:v>
                </c:pt>
                <c:pt idx="142">
                  <c:v>1.420000000000001</c:v>
                </c:pt>
                <c:pt idx="143">
                  <c:v>1.430000000000001</c:v>
                </c:pt>
                <c:pt idx="144">
                  <c:v>1.4400000000000011</c:v>
                </c:pt>
                <c:pt idx="145">
                  <c:v>1.4500000000000011</c:v>
                </c:pt>
                <c:pt idx="146">
                  <c:v>1.4600000000000011</c:v>
                </c:pt>
                <c:pt idx="147">
                  <c:v>1.4700000000000011</c:v>
                </c:pt>
                <c:pt idx="148">
                  <c:v>1.4800000000000011</c:v>
                </c:pt>
                <c:pt idx="149">
                  <c:v>1.4900000000000011</c:v>
                </c:pt>
                <c:pt idx="150">
                  <c:v>1.5000000000000011</c:v>
                </c:pt>
                <c:pt idx="151">
                  <c:v>1.5100000000000011</c:v>
                </c:pt>
                <c:pt idx="152">
                  <c:v>1.5200000000000011</c:v>
                </c:pt>
                <c:pt idx="153">
                  <c:v>1.5300000000000011</c:v>
                </c:pt>
                <c:pt idx="154">
                  <c:v>1.5400000000000011</c:v>
                </c:pt>
                <c:pt idx="155">
                  <c:v>1.5500000000000012</c:v>
                </c:pt>
                <c:pt idx="156">
                  <c:v>1.5600000000000012</c:v>
                </c:pt>
                <c:pt idx="157">
                  <c:v>1.5700000000000012</c:v>
                </c:pt>
                <c:pt idx="158">
                  <c:v>1.5800000000000012</c:v>
                </c:pt>
                <c:pt idx="159">
                  <c:v>1.5900000000000012</c:v>
                </c:pt>
                <c:pt idx="160">
                  <c:v>1.6000000000000012</c:v>
                </c:pt>
                <c:pt idx="161">
                  <c:v>1.6100000000000012</c:v>
                </c:pt>
                <c:pt idx="162">
                  <c:v>1.6200000000000012</c:v>
                </c:pt>
                <c:pt idx="163">
                  <c:v>1.6300000000000012</c:v>
                </c:pt>
                <c:pt idx="164">
                  <c:v>1.6400000000000012</c:v>
                </c:pt>
                <c:pt idx="165">
                  <c:v>1.6500000000000012</c:v>
                </c:pt>
                <c:pt idx="166">
                  <c:v>1.6600000000000013</c:v>
                </c:pt>
                <c:pt idx="167">
                  <c:v>1.6700000000000013</c:v>
                </c:pt>
                <c:pt idx="168">
                  <c:v>1.6800000000000013</c:v>
                </c:pt>
                <c:pt idx="169">
                  <c:v>1.6900000000000013</c:v>
                </c:pt>
                <c:pt idx="170">
                  <c:v>1.7000000000000013</c:v>
                </c:pt>
                <c:pt idx="171">
                  <c:v>1.7100000000000013</c:v>
                </c:pt>
                <c:pt idx="172">
                  <c:v>1.7200000000000013</c:v>
                </c:pt>
                <c:pt idx="173">
                  <c:v>1.7300000000000013</c:v>
                </c:pt>
                <c:pt idx="174">
                  <c:v>1.7400000000000013</c:v>
                </c:pt>
                <c:pt idx="175">
                  <c:v>1.7500000000000013</c:v>
                </c:pt>
                <c:pt idx="176">
                  <c:v>1.7600000000000013</c:v>
                </c:pt>
                <c:pt idx="177">
                  <c:v>1.7700000000000014</c:v>
                </c:pt>
                <c:pt idx="178">
                  <c:v>1.7800000000000014</c:v>
                </c:pt>
                <c:pt idx="179">
                  <c:v>1.7900000000000014</c:v>
                </c:pt>
                <c:pt idx="180">
                  <c:v>1.8000000000000014</c:v>
                </c:pt>
                <c:pt idx="181">
                  <c:v>1.8100000000000014</c:v>
                </c:pt>
                <c:pt idx="182">
                  <c:v>1.8200000000000014</c:v>
                </c:pt>
                <c:pt idx="183">
                  <c:v>1.8300000000000014</c:v>
                </c:pt>
                <c:pt idx="184">
                  <c:v>1.8400000000000014</c:v>
                </c:pt>
                <c:pt idx="185">
                  <c:v>1.8500000000000014</c:v>
                </c:pt>
                <c:pt idx="186">
                  <c:v>1.8600000000000014</c:v>
                </c:pt>
                <c:pt idx="187">
                  <c:v>1.8700000000000014</c:v>
                </c:pt>
                <c:pt idx="188">
                  <c:v>1.8800000000000014</c:v>
                </c:pt>
                <c:pt idx="189">
                  <c:v>1.8900000000000015</c:v>
                </c:pt>
                <c:pt idx="190">
                  <c:v>1.9000000000000015</c:v>
                </c:pt>
                <c:pt idx="191">
                  <c:v>1.9100000000000015</c:v>
                </c:pt>
                <c:pt idx="192">
                  <c:v>1.9200000000000015</c:v>
                </c:pt>
                <c:pt idx="193">
                  <c:v>1.9300000000000015</c:v>
                </c:pt>
                <c:pt idx="194">
                  <c:v>1.9400000000000015</c:v>
                </c:pt>
                <c:pt idx="195">
                  <c:v>1.9500000000000015</c:v>
                </c:pt>
                <c:pt idx="196">
                  <c:v>1.9600000000000015</c:v>
                </c:pt>
                <c:pt idx="197">
                  <c:v>1.9700000000000015</c:v>
                </c:pt>
                <c:pt idx="198">
                  <c:v>1.9800000000000015</c:v>
                </c:pt>
                <c:pt idx="199">
                  <c:v>1.9900000000000015</c:v>
                </c:pt>
                <c:pt idx="200">
                  <c:v>2.0000000000000013</c:v>
                </c:pt>
                <c:pt idx="201">
                  <c:v>2.1000000000000014</c:v>
                </c:pt>
                <c:pt idx="202">
                  <c:v>2.2000000000000015</c:v>
                </c:pt>
                <c:pt idx="203">
                  <c:v>2.3000000000000016</c:v>
                </c:pt>
                <c:pt idx="204">
                  <c:v>2.4000000000000017</c:v>
                </c:pt>
                <c:pt idx="205">
                  <c:v>2.5000000000000018</c:v>
                </c:pt>
                <c:pt idx="206">
                  <c:v>2.6000000000000019</c:v>
                </c:pt>
                <c:pt idx="207">
                  <c:v>2.700000000000002</c:v>
                </c:pt>
                <c:pt idx="208">
                  <c:v>2.800000000000002</c:v>
                </c:pt>
                <c:pt idx="209">
                  <c:v>2.9000000000000021</c:v>
                </c:pt>
                <c:pt idx="210">
                  <c:v>3.0000000000000022</c:v>
                </c:pt>
                <c:pt idx="211">
                  <c:v>3.1000000000000023</c:v>
                </c:pt>
                <c:pt idx="212">
                  <c:v>3.2000000000000024</c:v>
                </c:pt>
                <c:pt idx="213">
                  <c:v>3.3000000000000025</c:v>
                </c:pt>
                <c:pt idx="214">
                  <c:v>3.4000000000000026</c:v>
                </c:pt>
                <c:pt idx="215">
                  <c:v>3.5000000000000027</c:v>
                </c:pt>
                <c:pt idx="216">
                  <c:v>3.6000000000000028</c:v>
                </c:pt>
                <c:pt idx="217">
                  <c:v>3.7000000000000028</c:v>
                </c:pt>
                <c:pt idx="218">
                  <c:v>3.8000000000000029</c:v>
                </c:pt>
                <c:pt idx="219">
                  <c:v>3.900000000000003</c:v>
                </c:pt>
                <c:pt idx="220">
                  <c:v>4.0000000000000027</c:v>
                </c:pt>
                <c:pt idx="221">
                  <c:v>4.1000000000000023</c:v>
                </c:pt>
                <c:pt idx="222">
                  <c:v>4.200000000000002</c:v>
                </c:pt>
                <c:pt idx="223">
                  <c:v>4.3000000000000016</c:v>
                </c:pt>
                <c:pt idx="224">
                  <c:v>4.4000000000000012</c:v>
                </c:pt>
                <c:pt idx="225">
                  <c:v>4.5000000000000009</c:v>
                </c:pt>
                <c:pt idx="226">
                  <c:v>4.6000000000000005</c:v>
                </c:pt>
                <c:pt idx="227">
                  <c:v>4.7</c:v>
                </c:pt>
                <c:pt idx="228">
                  <c:v>4.8</c:v>
                </c:pt>
                <c:pt idx="229">
                  <c:v>4.8999999999999995</c:v>
                </c:pt>
                <c:pt idx="230">
                  <c:v>4.9999999999999991</c:v>
                </c:pt>
                <c:pt idx="231">
                  <c:v>5.0999999999999988</c:v>
                </c:pt>
                <c:pt idx="232">
                  <c:v>5.1999999999999984</c:v>
                </c:pt>
                <c:pt idx="233">
                  <c:v>5.299999999999998</c:v>
                </c:pt>
                <c:pt idx="234">
                  <c:v>5.3999999999999977</c:v>
                </c:pt>
                <c:pt idx="235">
                  <c:v>5.4999999999999973</c:v>
                </c:pt>
                <c:pt idx="236">
                  <c:v>5.599999999999997</c:v>
                </c:pt>
                <c:pt idx="237">
                  <c:v>5.6999999999999966</c:v>
                </c:pt>
                <c:pt idx="238">
                  <c:v>5.7999999999999963</c:v>
                </c:pt>
                <c:pt idx="239">
                  <c:v>5.8999999999999959</c:v>
                </c:pt>
                <c:pt idx="240">
                  <c:v>5.9999999999999956</c:v>
                </c:pt>
                <c:pt idx="241">
                  <c:v>6.0999999999999952</c:v>
                </c:pt>
                <c:pt idx="242">
                  <c:v>6.1999999999999948</c:v>
                </c:pt>
                <c:pt idx="243">
                  <c:v>6.2999999999999945</c:v>
                </c:pt>
                <c:pt idx="244">
                  <c:v>6.3999999999999941</c:v>
                </c:pt>
                <c:pt idx="245">
                  <c:v>6.4999999999999938</c:v>
                </c:pt>
                <c:pt idx="246">
                  <c:v>6.5999999999999934</c:v>
                </c:pt>
                <c:pt idx="247">
                  <c:v>6.6999999999999931</c:v>
                </c:pt>
                <c:pt idx="248">
                  <c:v>6.7999999999999927</c:v>
                </c:pt>
                <c:pt idx="249">
                  <c:v>6.8999999999999924</c:v>
                </c:pt>
                <c:pt idx="250">
                  <c:v>6.999999999999992</c:v>
                </c:pt>
                <c:pt idx="251">
                  <c:v>7.0999999999999917</c:v>
                </c:pt>
                <c:pt idx="252">
                  <c:v>7.1999999999999913</c:v>
                </c:pt>
                <c:pt idx="253">
                  <c:v>7.2999999999999909</c:v>
                </c:pt>
                <c:pt idx="254">
                  <c:v>7.3999999999999906</c:v>
                </c:pt>
                <c:pt idx="255">
                  <c:v>7.4999999999999902</c:v>
                </c:pt>
                <c:pt idx="256">
                  <c:v>7.5999999999999899</c:v>
                </c:pt>
                <c:pt idx="257">
                  <c:v>7.6999999999999895</c:v>
                </c:pt>
                <c:pt idx="258">
                  <c:v>7.7999999999999892</c:v>
                </c:pt>
                <c:pt idx="259">
                  <c:v>7.8999999999999888</c:v>
                </c:pt>
                <c:pt idx="260">
                  <c:v>7.9999999999999885</c:v>
                </c:pt>
                <c:pt idx="261">
                  <c:v>8.099999999999989</c:v>
                </c:pt>
                <c:pt idx="262">
                  <c:v>8.1999999999999886</c:v>
                </c:pt>
                <c:pt idx="263">
                  <c:v>8.2999999999999883</c:v>
                </c:pt>
                <c:pt idx="264">
                  <c:v>8.3999999999999879</c:v>
                </c:pt>
                <c:pt idx="265">
                  <c:v>8.4999999999999876</c:v>
                </c:pt>
                <c:pt idx="266">
                  <c:v>8.5999999999999872</c:v>
                </c:pt>
                <c:pt idx="267">
                  <c:v>8.6999999999999869</c:v>
                </c:pt>
                <c:pt idx="268">
                  <c:v>8.7999999999999865</c:v>
                </c:pt>
                <c:pt idx="269">
                  <c:v>8.8999999999999861</c:v>
                </c:pt>
                <c:pt idx="270">
                  <c:v>8.9999999999999858</c:v>
                </c:pt>
                <c:pt idx="271">
                  <c:v>9.0999999999999854</c:v>
                </c:pt>
                <c:pt idx="272">
                  <c:v>9.1999999999999851</c:v>
                </c:pt>
                <c:pt idx="273">
                  <c:v>9.2999999999999847</c:v>
                </c:pt>
                <c:pt idx="274">
                  <c:v>9.3999999999999844</c:v>
                </c:pt>
                <c:pt idx="275">
                  <c:v>9.499999999999984</c:v>
                </c:pt>
                <c:pt idx="276">
                  <c:v>9.5999999999999837</c:v>
                </c:pt>
                <c:pt idx="277">
                  <c:v>9.6999999999999833</c:v>
                </c:pt>
                <c:pt idx="278">
                  <c:v>9.7999999999999829</c:v>
                </c:pt>
                <c:pt idx="279">
                  <c:v>9.8999999999999826</c:v>
                </c:pt>
                <c:pt idx="280">
                  <c:v>9.9999999999999822</c:v>
                </c:pt>
                <c:pt idx="281">
                  <c:v>10.099999999999982</c:v>
                </c:pt>
                <c:pt idx="282">
                  <c:v>10.199999999999982</c:v>
                </c:pt>
                <c:pt idx="283">
                  <c:v>10.299999999999981</c:v>
                </c:pt>
                <c:pt idx="284">
                  <c:v>10.399999999999981</c:v>
                </c:pt>
                <c:pt idx="285">
                  <c:v>10.49999999999998</c:v>
                </c:pt>
                <c:pt idx="286">
                  <c:v>10.59999999999998</c:v>
                </c:pt>
                <c:pt idx="287">
                  <c:v>10.69999999999998</c:v>
                </c:pt>
                <c:pt idx="288">
                  <c:v>10.799999999999979</c:v>
                </c:pt>
                <c:pt idx="289">
                  <c:v>10.899999999999979</c:v>
                </c:pt>
                <c:pt idx="290">
                  <c:v>10.999999999999979</c:v>
                </c:pt>
                <c:pt idx="291">
                  <c:v>11.099999999999978</c:v>
                </c:pt>
                <c:pt idx="292">
                  <c:v>11.199999999999978</c:v>
                </c:pt>
                <c:pt idx="293">
                  <c:v>11.299999999999978</c:v>
                </c:pt>
                <c:pt idx="294">
                  <c:v>11.399999999999977</c:v>
                </c:pt>
                <c:pt idx="295">
                  <c:v>11.499999999999977</c:v>
                </c:pt>
                <c:pt idx="296">
                  <c:v>11.599999999999977</c:v>
                </c:pt>
                <c:pt idx="297">
                  <c:v>11.699999999999976</c:v>
                </c:pt>
                <c:pt idx="298">
                  <c:v>11.799999999999976</c:v>
                </c:pt>
                <c:pt idx="299">
                  <c:v>11.899999999999975</c:v>
                </c:pt>
                <c:pt idx="300">
                  <c:v>11.999999999999975</c:v>
                </c:pt>
                <c:pt idx="301">
                  <c:v>12.099999999999975</c:v>
                </c:pt>
                <c:pt idx="302">
                  <c:v>12.199999999999974</c:v>
                </c:pt>
                <c:pt idx="303">
                  <c:v>12.299999999999974</c:v>
                </c:pt>
                <c:pt idx="304">
                  <c:v>12.399999999999974</c:v>
                </c:pt>
                <c:pt idx="305">
                  <c:v>12.499999999999973</c:v>
                </c:pt>
                <c:pt idx="306">
                  <c:v>12.599999999999973</c:v>
                </c:pt>
                <c:pt idx="307">
                  <c:v>12.699999999999973</c:v>
                </c:pt>
                <c:pt idx="308">
                  <c:v>12.799999999999972</c:v>
                </c:pt>
                <c:pt idx="309">
                  <c:v>12.899999999999972</c:v>
                </c:pt>
                <c:pt idx="310">
                  <c:v>12.999999999999972</c:v>
                </c:pt>
                <c:pt idx="311">
                  <c:v>13.099999999999971</c:v>
                </c:pt>
                <c:pt idx="312">
                  <c:v>13.199999999999971</c:v>
                </c:pt>
                <c:pt idx="313">
                  <c:v>13.299999999999971</c:v>
                </c:pt>
                <c:pt idx="314">
                  <c:v>13.39999999999997</c:v>
                </c:pt>
                <c:pt idx="315">
                  <c:v>13.49999999999997</c:v>
                </c:pt>
                <c:pt idx="316">
                  <c:v>13.599999999999969</c:v>
                </c:pt>
                <c:pt idx="317">
                  <c:v>13.699999999999969</c:v>
                </c:pt>
                <c:pt idx="318">
                  <c:v>13.799999999999969</c:v>
                </c:pt>
                <c:pt idx="319">
                  <c:v>13.899999999999968</c:v>
                </c:pt>
                <c:pt idx="320">
                  <c:v>13.999999999999968</c:v>
                </c:pt>
                <c:pt idx="321">
                  <c:v>14.099999999999968</c:v>
                </c:pt>
                <c:pt idx="322">
                  <c:v>14.199999999999967</c:v>
                </c:pt>
                <c:pt idx="323">
                  <c:v>14.299999999999967</c:v>
                </c:pt>
                <c:pt idx="324">
                  <c:v>14.399999999999967</c:v>
                </c:pt>
                <c:pt idx="325">
                  <c:v>14.499999999999966</c:v>
                </c:pt>
                <c:pt idx="326">
                  <c:v>14.599999999999966</c:v>
                </c:pt>
                <c:pt idx="327">
                  <c:v>14.699999999999966</c:v>
                </c:pt>
                <c:pt idx="328">
                  <c:v>14.799999999999965</c:v>
                </c:pt>
                <c:pt idx="329">
                  <c:v>14.899999999999965</c:v>
                </c:pt>
                <c:pt idx="330">
                  <c:v>14.999999999999964</c:v>
                </c:pt>
                <c:pt idx="331">
                  <c:v>15.099999999999964</c:v>
                </c:pt>
                <c:pt idx="332">
                  <c:v>15.199999999999964</c:v>
                </c:pt>
                <c:pt idx="333">
                  <c:v>15.299999999999963</c:v>
                </c:pt>
                <c:pt idx="334">
                  <c:v>15.399999999999963</c:v>
                </c:pt>
                <c:pt idx="335">
                  <c:v>15.499999999999963</c:v>
                </c:pt>
                <c:pt idx="336">
                  <c:v>15.599999999999962</c:v>
                </c:pt>
                <c:pt idx="337">
                  <c:v>15.699999999999962</c:v>
                </c:pt>
                <c:pt idx="338">
                  <c:v>15.799999999999962</c:v>
                </c:pt>
                <c:pt idx="339">
                  <c:v>15.899999999999961</c:v>
                </c:pt>
                <c:pt idx="340">
                  <c:v>15.999999999999961</c:v>
                </c:pt>
                <c:pt idx="341">
                  <c:v>16.099999999999962</c:v>
                </c:pt>
                <c:pt idx="342">
                  <c:v>16.199999999999964</c:v>
                </c:pt>
                <c:pt idx="343">
                  <c:v>16.299999999999965</c:v>
                </c:pt>
                <c:pt idx="344">
                  <c:v>16.399999999999967</c:v>
                </c:pt>
                <c:pt idx="345">
                  <c:v>16.499999999999968</c:v>
                </c:pt>
                <c:pt idx="346">
                  <c:v>16.599999999999969</c:v>
                </c:pt>
                <c:pt idx="347">
                  <c:v>16.699999999999971</c:v>
                </c:pt>
                <c:pt idx="348">
                  <c:v>16.799999999999972</c:v>
                </c:pt>
                <c:pt idx="349">
                  <c:v>16.899999999999974</c:v>
                </c:pt>
                <c:pt idx="350">
                  <c:v>16.999999999999975</c:v>
                </c:pt>
                <c:pt idx="351">
                  <c:v>17.099999999999977</c:v>
                </c:pt>
                <c:pt idx="352">
                  <c:v>17.199999999999978</c:v>
                </c:pt>
                <c:pt idx="353">
                  <c:v>17.299999999999979</c:v>
                </c:pt>
                <c:pt idx="354">
                  <c:v>17.399999999999981</c:v>
                </c:pt>
                <c:pt idx="355">
                  <c:v>17.499999999999982</c:v>
                </c:pt>
                <c:pt idx="356">
                  <c:v>17.599999999999984</c:v>
                </c:pt>
                <c:pt idx="357">
                  <c:v>17.699999999999985</c:v>
                </c:pt>
                <c:pt idx="358">
                  <c:v>17.799999999999986</c:v>
                </c:pt>
                <c:pt idx="359">
                  <c:v>17.899999999999988</c:v>
                </c:pt>
                <c:pt idx="360">
                  <c:v>17.999999999999989</c:v>
                </c:pt>
                <c:pt idx="361">
                  <c:v>18.099999999999991</c:v>
                </c:pt>
                <c:pt idx="362">
                  <c:v>18.199999999999992</c:v>
                </c:pt>
                <c:pt idx="363">
                  <c:v>18.299999999999994</c:v>
                </c:pt>
                <c:pt idx="364">
                  <c:v>18.399999999999995</c:v>
                </c:pt>
                <c:pt idx="365">
                  <c:v>18.499999999999996</c:v>
                </c:pt>
                <c:pt idx="366">
                  <c:v>18.599999999999998</c:v>
                </c:pt>
                <c:pt idx="367">
                  <c:v>18.7</c:v>
                </c:pt>
                <c:pt idx="368">
                  <c:v>18.8</c:v>
                </c:pt>
                <c:pt idx="369">
                  <c:v>18.900000000000002</c:v>
                </c:pt>
                <c:pt idx="370">
                  <c:v>19.000000000000004</c:v>
                </c:pt>
                <c:pt idx="371">
                  <c:v>19.100000000000005</c:v>
                </c:pt>
                <c:pt idx="372">
                  <c:v>19.200000000000006</c:v>
                </c:pt>
                <c:pt idx="373">
                  <c:v>19.300000000000008</c:v>
                </c:pt>
                <c:pt idx="374">
                  <c:v>19.400000000000009</c:v>
                </c:pt>
                <c:pt idx="375">
                  <c:v>19.500000000000011</c:v>
                </c:pt>
                <c:pt idx="376">
                  <c:v>19.600000000000012</c:v>
                </c:pt>
                <c:pt idx="377">
                  <c:v>19.700000000000014</c:v>
                </c:pt>
                <c:pt idx="378">
                  <c:v>19.800000000000015</c:v>
                </c:pt>
                <c:pt idx="379">
                  <c:v>19.900000000000016</c:v>
                </c:pt>
                <c:pt idx="380">
                  <c:v>20.000000000000018</c:v>
                </c:pt>
                <c:pt idx="381">
                  <c:v>20.100000000000019</c:v>
                </c:pt>
                <c:pt idx="382">
                  <c:v>20.200000000000021</c:v>
                </c:pt>
                <c:pt idx="383">
                  <c:v>20.300000000000022</c:v>
                </c:pt>
                <c:pt idx="384">
                  <c:v>20.400000000000023</c:v>
                </c:pt>
                <c:pt idx="385">
                  <c:v>20.500000000000025</c:v>
                </c:pt>
                <c:pt idx="386">
                  <c:v>20.600000000000026</c:v>
                </c:pt>
                <c:pt idx="387">
                  <c:v>20.700000000000028</c:v>
                </c:pt>
                <c:pt idx="388">
                  <c:v>20.800000000000029</c:v>
                </c:pt>
                <c:pt idx="389">
                  <c:v>20.900000000000031</c:v>
                </c:pt>
                <c:pt idx="390">
                  <c:v>21.000000000000032</c:v>
                </c:pt>
                <c:pt idx="391">
                  <c:v>21.100000000000033</c:v>
                </c:pt>
                <c:pt idx="392">
                  <c:v>21.200000000000035</c:v>
                </c:pt>
                <c:pt idx="393">
                  <c:v>21.300000000000036</c:v>
                </c:pt>
                <c:pt idx="394">
                  <c:v>21.400000000000038</c:v>
                </c:pt>
                <c:pt idx="395">
                  <c:v>21.500000000000039</c:v>
                </c:pt>
                <c:pt idx="396">
                  <c:v>21.600000000000041</c:v>
                </c:pt>
                <c:pt idx="397">
                  <c:v>21.700000000000042</c:v>
                </c:pt>
                <c:pt idx="398">
                  <c:v>21.800000000000043</c:v>
                </c:pt>
                <c:pt idx="399">
                  <c:v>21.900000000000045</c:v>
                </c:pt>
                <c:pt idx="400">
                  <c:v>22.000000000000046</c:v>
                </c:pt>
                <c:pt idx="401">
                  <c:v>22.100000000000048</c:v>
                </c:pt>
                <c:pt idx="402">
                  <c:v>22.200000000000049</c:v>
                </c:pt>
                <c:pt idx="403">
                  <c:v>22.30000000000005</c:v>
                </c:pt>
                <c:pt idx="404">
                  <c:v>22.400000000000052</c:v>
                </c:pt>
                <c:pt idx="405">
                  <c:v>22.500000000000053</c:v>
                </c:pt>
                <c:pt idx="406">
                  <c:v>22.600000000000055</c:v>
                </c:pt>
                <c:pt idx="407">
                  <c:v>22.700000000000056</c:v>
                </c:pt>
                <c:pt idx="408">
                  <c:v>22.800000000000058</c:v>
                </c:pt>
                <c:pt idx="409">
                  <c:v>22.900000000000059</c:v>
                </c:pt>
                <c:pt idx="410">
                  <c:v>23.00000000000006</c:v>
                </c:pt>
                <c:pt idx="411">
                  <c:v>23.100000000000062</c:v>
                </c:pt>
                <c:pt idx="412">
                  <c:v>23.200000000000063</c:v>
                </c:pt>
                <c:pt idx="413">
                  <c:v>23.300000000000065</c:v>
                </c:pt>
                <c:pt idx="414">
                  <c:v>23.400000000000066</c:v>
                </c:pt>
                <c:pt idx="415">
                  <c:v>23.500000000000068</c:v>
                </c:pt>
                <c:pt idx="416">
                  <c:v>23.600000000000069</c:v>
                </c:pt>
                <c:pt idx="417">
                  <c:v>23.70000000000007</c:v>
                </c:pt>
                <c:pt idx="418">
                  <c:v>23.800000000000072</c:v>
                </c:pt>
                <c:pt idx="419">
                  <c:v>23.900000000000073</c:v>
                </c:pt>
                <c:pt idx="420">
                  <c:v>24.000000000000075</c:v>
                </c:pt>
                <c:pt idx="421">
                  <c:v>24.100000000000076</c:v>
                </c:pt>
                <c:pt idx="422">
                  <c:v>24.200000000000077</c:v>
                </c:pt>
                <c:pt idx="423">
                  <c:v>24.300000000000079</c:v>
                </c:pt>
                <c:pt idx="424">
                  <c:v>24.40000000000008</c:v>
                </c:pt>
                <c:pt idx="425">
                  <c:v>24.500000000000082</c:v>
                </c:pt>
                <c:pt idx="426">
                  <c:v>24.600000000000083</c:v>
                </c:pt>
                <c:pt idx="427">
                  <c:v>24.700000000000085</c:v>
                </c:pt>
                <c:pt idx="428">
                  <c:v>24.800000000000086</c:v>
                </c:pt>
                <c:pt idx="429">
                  <c:v>24.900000000000087</c:v>
                </c:pt>
                <c:pt idx="430">
                  <c:v>25.000000000000089</c:v>
                </c:pt>
                <c:pt idx="431">
                  <c:v>25.10000000000009</c:v>
                </c:pt>
                <c:pt idx="432">
                  <c:v>25.200000000000092</c:v>
                </c:pt>
                <c:pt idx="433">
                  <c:v>25.300000000000093</c:v>
                </c:pt>
                <c:pt idx="434">
                  <c:v>25.400000000000095</c:v>
                </c:pt>
                <c:pt idx="435">
                  <c:v>25.500000000000096</c:v>
                </c:pt>
                <c:pt idx="436">
                  <c:v>25.600000000000097</c:v>
                </c:pt>
                <c:pt idx="437">
                  <c:v>25.700000000000099</c:v>
                </c:pt>
                <c:pt idx="438">
                  <c:v>25.8000000000001</c:v>
                </c:pt>
                <c:pt idx="439">
                  <c:v>25.900000000000102</c:v>
                </c:pt>
                <c:pt idx="440">
                  <c:v>26.000000000000103</c:v>
                </c:pt>
                <c:pt idx="441">
                  <c:v>26.100000000000104</c:v>
                </c:pt>
                <c:pt idx="442">
                  <c:v>26.200000000000106</c:v>
                </c:pt>
                <c:pt idx="443">
                  <c:v>26.300000000000107</c:v>
                </c:pt>
                <c:pt idx="444">
                  <c:v>26.400000000000109</c:v>
                </c:pt>
                <c:pt idx="445">
                  <c:v>26.50000000000011</c:v>
                </c:pt>
                <c:pt idx="446">
                  <c:v>26.600000000000112</c:v>
                </c:pt>
                <c:pt idx="447">
                  <c:v>26.700000000000113</c:v>
                </c:pt>
                <c:pt idx="448">
                  <c:v>26.800000000000114</c:v>
                </c:pt>
                <c:pt idx="449">
                  <c:v>26.900000000000116</c:v>
                </c:pt>
                <c:pt idx="450">
                  <c:v>27.000000000000117</c:v>
                </c:pt>
                <c:pt idx="451">
                  <c:v>27.100000000000119</c:v>
                </c:pt>
                <c:pt idx="452">
                  <c:v>27.20000000000012</c:v>
                </c:pt>
                <c:pt idx="453">
                  <c:v>27.300000000000122</c:v>
                </c:pt>
                <c:pt idx="454">
                  <c:v>27.400000000000123</c:v>
                </c:pt>
                <c:pt idx="455">
                  <c:v>27.500000000000124</c:v>
                </c:pt>
                <c:pt idx="456">
                  <c:v>27.600000000000126</c:v>
                </c:pt>
                <c:pt idx="457">
                  <c:v>27.700000000000127</c:v>
                </c:pt>
                <c:pt idx="458">
                  <c:v>27.800000000000129</c:v>
                </c:pt>
                <c:pt idx="459">
                  <c:v>27.90000000000013</c:v>
                </c:pt>
                <c:pt idx="460">
                  <c:v>28.000000000000131</c:v>
                </c:pt>
                <c:pt idx="461">
                  <c:v>28.100000000000133</c:v>
                </c:pt>
                <c:pt idx="462">
                  <c:v>28.200000000000134</c:v>
                </c:pt>
                <c:pt idx="463">
                  <c:v>28.300000000000136</c:v>
                </c:pt>
                <c:pt idx="464">
                  <c:v>28.400000000000137</c:v>
                </c:pt>
                <c:pt idx="465">
                  <c:v>28.500000000000139</c:v>
                </c:pt>
                <c:pt idx="466">
                  <c:v>28.60000000000014</c:v>
                </c:pt>
                <c:pt idx="467">
                  <c:v>28.700000000000141</c:v>
                </c:pt>
                <c:pt idx="468">
                  <c:v>28.800000000000143</c:v>
                </c:pt>
                <c:pt idx="469">
                  <c:v>28.900000000000144</c:v>
                </c:pt>
                <c:pt idx="470">
                  <c:v>29.000000000000146</c:v>
                </c:pt>
                <c:pt idx="471">
                  <c:v>29.100000000000147</c:v>
                </c:pt>
                <c:pt idx="472">
                  <c:v>29.200000000000149</c:v>
                </c:pt>
                <c:pt idx="473">
                  <c:v>29.30000000000015</c:v>
                </c:pt>
                <c:pt idx="474">
                  <c:v>29.400000000000151</c:v>
                </c:pt>
                <c:pt idx="475">
                  <c:v>29.500000000000153</c:v>
                </c:pt>
                <c:pt idx="476">
                  <c:v>29.600000000000154</c:v>
                </c:pt>
                <c:pt idx="477">
                  <c:v>29.700000000000156</c:v>
                </c:pt>
                <c:pt idx="478">
                  <c:v>29.800000000000157</c:v>
                </c:pt>
                <c:pt idx="479">
                  <c:v>29.900000000000158</c:v>
                </c:pt>
                <c:pt idx="480">
                  <c:v>30.00000000000016</c:v>
                </c:pt>
                <c:pt idx="481">
                  <c:v>30.100000000000161</c:v>
                </c:pt>
                <c:pt idx="482">
                  <c:v>30.200000000000163</c:v>
                </c:pt>
                <c:pt idx="483">
                  <c:v>30.300000000000164</c:v>
                </c:pt>
                <c:pt idx="484">
                  <c:v>30.400000000000166</c:v>
                </c:pt>
                <c:pt idx="485">
                  <c:v>30.500000000000167</c:v>
                </c:pt>
                <c:pt idx="486">
                  <c:v>30.600000000000168</c:v>
                </c:pt>
                <c:pt idx="487">
                  <c:v>30.70000000000017</c:v>
                </c:pt>
                <c:pt idx="488">
                  <c:v>30.800000000000171</c:v>
                </c:pt>
                <c:pt idx="489">
                  <c:v>30.900000000000173</c:v>
                </c:pt>
                <c:pt idx="490">
                  <c:v>31.000000000000174</c:v>
                </c:pt>
                <c:pt idx="491">
                  <c:v>31.100000000000176</c:v>
                </c:pt>
                <c:pt idx="492">
                  <c:v>31.200000000000177</c:v>
                </c:pt>
                <c:pt idx="493">
                  <c:v>31.300000000000178</c:v>
                </c:pt>
                <c:pt idx="494">
                  <c:v>31.40000000000018</c:v>
                </c:pt>
                <c:pt idx="495">
                  <c:v>31.500000000000181</c:v>
                </c:pt>
                <c:pt idx="496">
                  <c:v>31.600000000000183</c:v>
                </c:pt>
                <c:pt idx="497">
                  <c:v>31.700000000000184</c:v>
                </c:pt>
                <c:pt idx="498">
                  <c:v>31.800000000000185</c:v>
                </c:pt>
                <c:pt idx="499">
                  <c:v>31.900000000000187</c:v>
                </c:pt>
                <c:pt idx="500">
                  <c:v>32.000000000000185</c:v>
                </c:pt>
                <c:pt idx="501">
                  <c:v>32.100000000000186</c:v>
                </c:pt>
                <c:pt idx="502">
                  <c:v>32.200000000000188</c:v>
                </c:pt>
                <c:pt idx="503">
                  <c:v>32.300000000000189</c:v>
                </c:pt>
                <c:pt idx="504">
                  <c:v>32.40000000000019</c:v>
                </c:pt>
                <c:pt idx="505">
                  <c:v>32.500000000000192</c:v>
                </c:pt>
                <c:pt idx="506">
                  <c:v>32.600000000000193</c:v>
                </c:pt>
                <c:pt idx="507">
                  <c:v>32.700000000000195</c:v>
                </c:pt>
                <c:pt idx="508">
                  <c:v>32.800000000000196</c:v>
                </c:pt>
                <c:pt idx="509">
                  <c:v>32.900000000000198</c:v>
                </c:pt>
                <c:pt idx="510">
                  <c:v>33.000000000000199</c:v>
                </c:pt>
                <c:pt idx="511">
                  <c:v>33.1000000000002</c:v>
                </c:pt>
                <c:pt idx="512">
                  <c:v>33.200000000000202</c:v>
                </c:pt>
                <c:pt idx="513">
                  <c:v>33.300000000000203</c:v>
                </c:pt>
                <c:pt idx="514">
                  <c:v>33.400000000000205</c:v>
                </c:pt>
                <c:pt idx="515">
                  <c:v>33.500000000000206</c:v>
                </c:pt>
                <c:pt idx="516">
                  <c:v>33.600000000000207</c:v>
                </c:pt>
                <c:pt idx="517">
                  <c:v>33.700000000000209</c:v>
                </c:pt>
                <c:pt idx="518">
                  <c:v>33.80000000000021</c:v>
                </c:pt>
                <c:pt idx="519">
                  <c:v>33.900000000000212</c:v>
                </c:pt>
                <c:pt idx="520">
                  <c:v>34.000000000000213</c:v>
                </c:pt>
                <c:pt idx="521">
                  <c:v>34.100000000000215</c:v>
                </c:pt>
                <c:pt idx="522">
                  <c:v>34.200000000000216</c:v>
                </c:pt>
                <c:pt idx="523">
                  <c:v>34.300000000000217</c:v>
                </c:pt>
                <c:pt idx="524">
                  <c:v>34.400000000000219</c:v>
                </c:pt>
                <c:pt idx="525">
                  <c:v>34.50000000000022</c:v>
                </c:pt>
                <c:pt idx="526">
                  <c:v>34.600000000000222</c:v>
                </c:pt>
                <c:pt idx="527">
                  <c:v>34.700000000000223</c:v>
                </c:pt>
                <c:pt idx="528">
                  <c:v>34.800000000000225</c:v>
                </c:pt>
                <c:pt idx="529">
                  <c:v>34.900000000000226</c:v>
                </c:pt>
                <c:pt idx="530">
                  <c:v>35.000000000000227</c:v>
                </c:pt>
                <c:pt idx="531">
                  <c:v>35.100000000000229</c:v>
                </c:pt>
                <c:pt idx="532">
                  <c:v>35.20000000000023</c:v>
                </c:pt>
                <c:pt idx="533">
                  <c:v>35.300000000000232</c:v>
                </c:pt>
                <c:pt idx="534">
                  <c:v>35.400000000000233</c:v>
                </c:pt>
                <c:pt idx="535">
                  <c:v>35.500000000000234</c:v>
                </c:pt>
                <c:pt idx="536">
                  <c:v>35.600000000000236</c:v>
                </c:pt>
                <c:pt idx="537">
                  <c:v>35.700000000000237</c:v>
                </c:pt>
                <c:pt idx="538">
                  <c:v>35.800000000000239</c:v>
                </c:pt>
                <c:pt idx="539">
                  <c:v>35.90000000000024</c:v>
                </c:pt>
                <c:pt idx="540">
                  <c:v>36.000000000000242</c:v>
                </c:pt>
                <c:pt idx="541">
                  <c:v>36.100000000000243</c:v>
                </c:pt>
                <c:pt idx="542">
                  <c:v>36.200000000000244</c:v>
                </c:pt>
                <c:pt idx="543">
                  <c:v>36.300000000000246</c:v>
                </c:pt>
                <c:pt idx="544">
                  <c:v>36.400000000000247</c:v>
                </c:pt>
                <c:pt idx="545">
                  <c:v>36.500000000000249</c:v>
                </c:pt>
                <c:pt idx="546">
                  <c:v>36.60000000000025</c:v>
                </c:pt>
                <c:pt idx="547">
                  <c:v>36.700000000000252</c:v>
                </c:pt>
                <c:pt idx="548">
                  <c:v>36.700100000000255</c:v>
                </c:pt>
                <c:pt idx="549">
                  <c:v>36.700200000000258</c:v>
                </c:pt>
                <c:pt idx="550">
                  <c:v>36.700300000000261</c:v>
                </c:pt>
                <c:pt idx="551">
                  <c:v>36.700400000000265</c:v>
                </c:pt>
                <c:pt idx="552">
                  <c:v>36.700500000000268</c:v>
                </c:pt>
                <c:pt idx="553">
                  <c:v>36.700600000000271</c:v>
                </c:pt>
                <c:pt idx="554">
                  <c:v>36.700700000000275</c:v>
                </c:pt>
                <c:pt idx="555">
                  <c:v>36.700800000000278</c:v>
                </c:pt>
                <c:pt idx="556">
                  <c:v>36.700900000000281</c:v>
                </c:pt>
                <c:pt idx="557">
                  <c:v>36.701000000000285</c:v>
                </c:pt>
                <c:pt idx="558">
                  <c:v>36.701100000000288</c:v>
                </c:pt>
                <c:pt idx="559">
                  <c:v>36.701200000000291</c:v>
                </c:pt>
                <c:pt idx="560">
                  <c:v>36.701300000000295</c:v>
                </c:pt>
                <c:pt idx="561">
                  <c:v>36.701400000000298</c:v>
                </c:pt>
                <c:pt idx="562">
                  <c:v>36.701500000000301</c:v>
                </c:pt>
                <c:pt idx="563">
                  <c:v>36.701600000000305</c:v>
                </c:pt>
                <c:pt idx="564">
                  <c:v>36.701700000000308</c:v>
                </c:pt>
                <c:pt idx="565">
                  <c:v>36.701800000000311</c:v>
                </c:pt>
                <c:pt idx="566">
                  <c:v>36.701900000000315</c:v>
                </c:pt>
                <c:pt idx="567">
                  <c:v>36.702000000000318</c:v>
                </c:pt>
                <c:pt idx="568">
                  <c:v>36.702100000000321</c:v>
                </c:pt>
                <c:pt idx="569">
                  <c:v>36.702200000000325</c:v>
                </c:pt>
                <c:pt idx="570">
                  <c:v>36.702300000000328</c:v>
                </c:pt>
                <c:pt idx="571">
                  <c:v>36.702400000000331</c:v>
                </c:pt>
                <c:pt idx="572">
                  <c:v>36.702500000000335</c:v>
                </c:pt>
                <c:pt idx="573">
                  <c:v>36.702600000000338</c:v>
                </c:pt>
                <c:pt idx="574">
                  <c:v>36.702700000000341</c:v>
                </c:pt>
                <c:pt idx="575">
                  <c:v>36.702800000000344</c:v>
                </c:pt>
                <c:pt idx="576">
                  <c:v>36.702900000000348</c:v>
                </c:pt>
                <c:pt idx="577">
                  <c:v>36.703000000000351</c:v>
                </c:pt>
                <c:pt idx="578">
                  <c:v>36.703100000000354</c:v>
                </c:pt>
                <c:pt idx="579">
                  <c:v>36.703200000000358</c:v>
                </c:pt>
                <c:pt idx="580">
                  <c:v>36.703300000000361</c:v>
                </c:pt>
                <c:pt idx="581">
                  <c:v>36.703400000000364</c:v>
                </c:pt>
                <c:pt idx="582">
                  <c:v>36.703500000000368</c:v>
                </c:pt>
                <c:pt idx="583">
                  <c:v>36.703600000000371</c:v>
                </c:pt>
                <c:pt idx="584">
                  <c:v>36.703700000000374</c:v>
                </c:pt>
                <c:pt idx="585">
                  <c:v>36.703800000000378</c:v>
                </c:pt>
                <c:pt idx="586">
                  <c:v>36.703900000000381</c:v>
                </c:pt>
                <c:pt idx="587">
                  <c:v>36.704000000000384</c:v>
                </c:pt>
                <c:pt idx="588">
                  <c:v>36.704100000000388</c:v>
                </c:pt>
                <c:pt idx="589">
                  <c:v>36.704200000000391</c:v>
                </c:pt>
                <c:pt idx="590">
                  <c:v>36.704300000000394</c:v>
                </c:pt>
                <c:pt idx="591">
                  <c:v>36.704400000000398</c:v>
                </c:pt>
                <c:pt idx="592">
                  <c:v>36.704500000000401</c:v>
                </c:pt>
                <c:pt idx="593">
                  <c:v>36.704600000000404</c:v>
                </c:pt>
                <c:pt idx="594">
                  <c:v>36.704700000000408</c:v>
                </c:pt>
                <c:pt idx="595">
                  <c:v>36.704800000000411</c:v>
                </c:pt>
                <c:pt idx="596">
                  <c:v>36.704900000000414</c:v>
                </c:pt>
                <c:pt idx="597">
                  <c:v>36.705000000000418</c:v>
                </c:pt>
                <c:pt idx="598">
                  <c:v>36.705100000000421</c:v>
                </c:pt>
                <c:pt idx="599">
                  <c:v>36.705200000000424</c:v>
                </c:pt>
                <c:pt idx="600">
                  <c:v>36.705300000000427</c:v>
                </c:pt>
                <c:pt idx="601">
                  <c:v>36.705400000000431</c:v>
                </c:pt>
                <c:pt idx="602">
                  <c:v>36.705500000000434</c:v>
                </c:pt>
                <c:pt idx="603">
                  <c:v>36.705600000000437</c:v>
                </c:pt>
                <c:pt idx="604">
                  <c:v>36.705700000000441</c:v>
                </c:pt>
                <c:pt idx="605">
                  <c:v>36.705800000000444</c:v>
                </c:pt>
                <c:pt idx="606">
                  <c:v>36.705900000000447</c:v>
                </c:pt>
                <c:pt idx="607">
                  <c:v>36.706000000000451</c:v>
                </c:pt>
                <c:pt idx="608">
                  <c:v>36.706100000000454</c:v>
                </c:pt>
                <c:pt idx="609">
                  <c:v>36.706200000000457</c:v>
                </c:pt>
                <c:pt idx="610">
                  <c:v>36.706300000000461</c:v>
                </c:pt>
                <c:pt idx="611">
                  <c:v>36.706400000000464</c:v>
                </c:pt>
                <c:pt idx="612">
                  <c:v>36.706500000000467</c:v>
                </c:pt>
                <c:pt idx="613">
                  <c:v>36.706600000000471</c:v>
                </c:pt>
                <c:pt idx="614">
                  <c:v>36.706700000000474</c:v>
                </c:pt>
                <c:pt idx="615">
                  <c:v>36.706800000000477</c:v>
                </c:pt>
                <c:pt idx="616">
                  <c:v>36.706900000000481</c:v>
                </c:pt>
                <c:pt idx="617">
                  <c:v>36.707000000000484</c:v>
                </c:pt>
                <c:pt idx="618">
                  <c:v>36.707100000000487</c:v>
                </c:pt>
                <c:pt idx="619">
                  <c:v>36.707200000000491</c:v>
                </c:pt>
                <c:pt idx="620">
                  <c:v>36.707300000000494</c:v>
                </c:pt>
                <c:pt idx="621">
                  <c:v>36.707400000000497</c:v>
                </c:pt>
                <c:pt idx="622">
                  <c:v>36.707500000000501</c:v>
                </c:pt>
                <c:pt idx="623">
                  <c:v>36.707600000000504</c:v>
                </c:pt>
                <c:pt idx="624">
                  <c:v>36.707700000000507</c:v>
                </c:pt>
                <c:pt idx="625">
                  <c:v>36.70780000000051</c:v>
                </c:pt>
                <c:pt idx="626">
                  <c:v>36.707900000000514</c:v>
                </c:pt>
                <c:pt idx="627">
                  <c:v>36.708000000000517</c:v>
                </c:pt>
                <c:pt idx="628">
                  <c:v>36.70810000000052</c:v>
                </c:pt>
                <c:pt idx="629">
                  <c:v>36.708200000000524</c:v>
                </c:pt>
                <c:pt idx="630">
                  <c:v>36.708300000000527</c:v>
                </c:pt>
                <c:pt idx="631">
                  <c:v>36.70840000000053</c:v>
                </c:pt>
                <c:pt idx="632">
                  <c:v>36.708500000000534</c:v>
                </c:pt>
                <c:pt idx="633">
                  <c:v>36.708600000000537</c:v>
                </c:pt>
                <c:pt idx="634">
                  <c:v>36.70870000000054</c:v>
                </c:pt>
                <c:pt idx="635">
                  <c:v>36.708800000000544</c:v>
                </c:pt>
                <c:pt idx="636">
                  <c:v>36.708900000000547</c:v>
                </c:pt>
                <c:pt idx="637">
                  <c:v>36.70900000000055</c:v>
                </c:pt>
                <c:pt idx="638">
                  <c:v>36.709100000000554</c:v>
                </c:pt>
                <c:pt idx="639">
                  <c:v>36.709200000000557</c:v>
                </c:pt>
                <c:pt idx="640">
                  <c:v>36.70930000000056</c:v>
                </c:pt>
                <c:pt idx="641">
                  <c:v>36.709400000000564</c:v>
                </c:pt>
                <c:pt idx="642">
                  <c:v>36.709500000000567</c:v>
                </c:pt>
                <c:pt idx="643">
                  <c:v>36.70960000000057</c:v>
                </c:pt>
                <c:pt idx="644">
                  <c:v>36.709700000000574</c:v>
                </c:pt>
                <c:pt idx="645">
                  <c:v>36.709800000000577</c:v>
                </c:pt>
                <c:pt idx="646">
                  <c:v>36.70990000000058</c:v>
                </c:pt>
                <c:pt idx="647">
                  <c:v>36.710000000000583</c:v>
                </c:pt>
                <c:pt idx="648">
                  <c:v>36.710100000000587</c:v>
                </c:pt>
                <c:pt idx="649">
                  <c:v>36.71020000000059</c:v>
                </c:pt>
                <c:pt idx="650">
                  <c:v>36.710300000000593</c:v>
                </c:pt>
                <c:pt idx="651">
                  <c:v>36.710400000000597</c:v>
                </c:pt>
                <c:pt idx="652">
                  <c:v>36.7105000000006</c:v>
                </c:pt>
                <c:pt idx="653">
                  <c:v>36.710600000000603</c:v>
                </c:pt>
                <c:pt idx="654">
                  <c:v>36.710700000000607</c:v>
                </c:pt>
                <c:pt idx="655">
                  <c:v>36.71080000000061</c:v>
                </c:pt>
                <c:pt idx="656">
                  <c:v>36.710900000000613</c:v>
                </c:pt>
                <c:pt idx="657">
                  <c:v>36.711000000000617</c:v>
                </c:pt>
                <c:pt idx="658">
                  <c:v>36.71110000000062</c:v>
                </c:pt>
                <c:pt idx="659">
                  <c:v>36.711200000000623</c:v>
                </c:pt>
                <c:pt idx="660">
                  <c:v>36.711300000000627</c:v>
                </c:pt>
                <c:pt idx="661">
                  <c:v>36.71140000000063</c:v>
                </c:pt>
                <c:pt idx="662">
                  <c:v>36.711500000000633</c:v>
                </c:pt>
                <c:pt idx="663">
                  <c:v>36.711600000000637</c:v>
                </c:pt>
                <c:pt idx="664">
                  <c:v>36.71170000000064</c:v>
                </c:pt>
                <c:pt idx="665">
                  <c:v>36.711800000000643</c:v>
                </c:pt>
                <c:pt idx="666">
                  <c:v>36.711900000000647</c:v>
                </c:pt>
                <c:pt idx="667">
                  <c:v>36.71200000000065</c:v>
                </c:pt>
                <c:pt idx="668">
                  <c:v>36.712100000000653</c:v>
                </c:pt>
                <c:pt idx="669">
                  <c:v>36.712200000000657</c:v>
                </c:pt>
                <c:pt idx="670">
                  <c:v>36.71230000000066</c:v>
                </c:pt>
                <c:pt idx="671">
                  <c:v>36.712400000000663</c:v>
                </c:pt>
                <c:pt idx="672">
                  <c:v>36.712500000000666</c:v>
                </c:pt>
                <c:pt idx="673">
                  <c:v>36.71260000000067</c:v>
                </c:pt>
                <c:pt idx="674">
                  <c:v>36.712700000000673</c:v>
                </c:pt>
                <c:pt idx="675">
                  <c:v>36.712800000000676</c:v>
                </c:pt>
                <c:pt idx="676">
                  <c:v>36.71290000000068</c:v>
                </c:pt>
                <c:pt idx="677">
                  <c:v>36.713000000000683</c:v>
                </c:pt>
                <c:pt idx="678">
                  <c:v>36.713100000000686</c:v>
                </c:pt>
                <c:pt idx="679">
                  <c:v>36.71320000000069</c:v>
                </c:pt>
                <c:pt idx="680">
                  <c:v>36.713300000000693</c:v>
                </c:pt>
                <c:pt idx="681">
                  <c:v>36.713400000000696</c:v>
                </c:pt>
                <c:pt idx="682">
                  <c:v>36.7135000000007</c:v>
                </c:pt>
                <c:pt idx="683">
                  <c:v>36.713600000000703</c:v>
                </c:pt>
                <c:pt idx="684">
                  <c:v>36.713700000000706</c:v>
                </c:pt>
                <c:pt idx="685">
                  <c:v>36.71380000000071</c:v>
                </c:pt>
                <c:pt idx="686">
                  <c:v>36.713900000000713</c:v>
                </c:pt>
                <c:pt idx="687">
                  <c:v>36.714000000000716</c:v>
                </c:pt>
                <c:pt idx="688">
                  <c:v>36.71410000000072</c:v>
                </c:pt>
                <c:pt idx="689">
                  <c:v>36.714200000000723</c:v>
                </c:pt>
                <c:pt idx="690">
                  <c:v>36.714300000000726</c:v>
                </c:pt>
                <c:pt idx="691">
                  <c:v>36.71440000000073</c:v>
                </c:pt>
                <c:pt idx="692">
                  <c:v>36.714500000000733</c:v>
                </c:pt>
                <c:pt idx="693">
                  <c:v>36.714600000000736</c:v>
                </c:pt>
                <c:pt idx="694">
                  <c:v>36.71470000000074</c:v>
                </c:pt>
                <c:pt idx="695">
                  <c:v>36.714800000000743</c:v>
                </c:pt>
                <c:pt idx="696">
                  <c:v>36.714900000000746</c:v>
                </c:pt>
                <c:pt idx="697">
                  <c:v>36.715000000000749</c:v>
                </c:pt>
                <c:pt idx="698">
                  <c:v>36.715100000000753</c:v>
                </c:pt>
                <c:pt idx="699">
                  <c:v>36.715200000000756</c:v>
                </c:pt>
                <c:pt idx="700">
                  <c:v>36.715300000000759</c:v>
                </c:pt>
                <c:pt idx="701">
                  <c:v>36.715400000000763</c:v>
                </c:pt>
                <c:pt idx="702">
                  <c:v>36.715500000000766</c:v>
                </c:pt>
                <c:pt idx="703">
                  <c:v>36.715600000000769</c:v>
                </c:pt>
                <c:pt idx="704">
                  <c:v>36.715700000000773</c:v>
                </c:pt>
                <c:pt idx="705">
                  <c:v>36.715800000000776</c:v>
                </c:pt>
                <c:pt idx="706">
                  <c:v>36.715900000000779</c:v>
                </c:pt>
                <c:pt idx="707">
                  <c:v>36.716000000000783</c:v>
                </c:pt>
                <c:pt idx="708">
                  <c:v>36.716100000000786</c:v>
                </c:pt>
                <c:pt idx="709">
                  <c:v>36.716200000000789</c:v>
                </c:pt>
                <c:pt idx="710">
                  <c:v>36.716300000000793</c:v>
                </c:pt>
                <c:pt idx="711">
                  <c:v>36.716400000000796</c:v>
                </c:pt>
                <c:pt idx="712">
                  <c:v>36.716500000000799</c:v>
                </c:pt>
                <c:pt idx="713">
                  <c:v>36.716600000000803</c:v>
                </c:pt>
                <c:pt idx="714">
                  <c:v>36.716700000000806</c:v>
                </c:pt>
                <c:pt idx="715">
                  <c:v>36.716800000000809</c:v>
                </c:pt>
                <c:pt idx="716">
                  <c:v>36.716900000000813</c:v>
                </c:pt>
                <c:pt idx="717">
                  <c:v>36.717000000000816</c:v>
                </c:pt>
                <c:pt idx="718">
                  <c:v>36.717100000000819</c:v>
                </c:pt>
                <c:pt idx="719">
                  <c:v>36.717200000000823</c:v>
                </c:pt>
                <c:pt idx="720">
                  <c:v>36.717300000000826</c:v>
                </c:pt>
                <c:pt idx="721">
                  <c:v>36.717400000000829</c:v>
                </c:pt>
                <c:pt idx="722">
                  <c:v>36.717500000000832</c:v>
                </c:pt>
                <c:pt idx="723">
                  <c:v>36.717600000000836</c:v>
                </c:pt>
                <c:pt idx="724">
                  <c:v>36.717700000000839</c:v>
                </c:pt>
                <c:pt idx="725">
                  <c:v>36.717800000000842</c:v>
                </c:pt>
                <c:pt idx="726">
                  <c:v>36.717900000000846</c:v>
                </c:pt>
                <c:pt idx="727">
                  <c:v>36.718000000000849</c:v>
                </c:pt>
                <c:pt idx="728">
                  <c:v>36.718100000000852</c:v>
                </c:pt>
                <c:pt idx="729">
                  <c:v>36.718200000000856</c:v>
                </c:pt>
                <c:pt idx="730">
                  <c:v>36.718300000000859</c:v>
                </c:pt>
                <c:pt idx="731">
                  <c:v>36.718400000000862</c:v>
                </c:pt>
                <c:pt idx="732">
                  <c:v>36.718500000000866</c:v>
                </c:pt>
                <c:pt idx="733">
                  <c:v>36.718600000000869</c:v>
                </c:pt>
                <c:pt idx="734">
                  <c:v>36.718700000000872</c:v>
                </c:pt>
                <c:pt idx="735">
                  <c:v>36.718800000000876</c:v>
                </c:pt>
                <c:pt idx="736">
                  <c:v>36.718900000000879</c:v>
                </c:pt>
                <c:pt idx="737">
                  <c:v>36.719000000000882</c:v>
                </c:pt>
                <c:pt idx="738">
                  <c:v>36.719100000000886</c:v>
                </c:pt>
                <c:pt idx="739">
                  <c:v>36.719200000000889</c:v>
                </c:pt>
                <c:pt idx="740">
                  <c:v>36.719300000000892</c:v>
                </c:pt>
                <c:pt idx="741">
                  <c:v>36.719400000000896</c:v>
                </c:pt>
                <c:pt idx="742">
                  <c:v>36.719500000000899</c:v>
                </c:pt>
                <c:pt idx="743">
                  <c:v>36.719600000000902</c:v>
                </c:pt>
                <c:pt idx="744">
                  <c:v>36.719700000000906</c:v>
                </c:pt>
                <c:pt idx="745">
                  <c:v>36.719800000000909</c:v>
                </c:pt>
                <c:pt idx="746">
                  <c:v>36.719900000000912</c:v>
                </c:pt>
                <c:pt idx="747">
                  <c:v>36.720000000000915</c:v>
                </c:pt>
                <c:pt idx="748">
                  <c:v>36.720100000000919</c:v>
                </c:pt>
                <c:pt idx="749">
                  <c:v>36.720200000000922</c:v>
                </c:pt>
                <c:pt idx="750">
                  <c:v>36.720300000000925</c:v>
                </c:pt>
                <c:pt idx="751">
                  <c:v>36.720400000000929</c:v>
                </c:pt>
                <c:pt idx="752">
                  <c:v>36.720500000000932</c:v>
                </c:pt>
                <c:pt idx="753">
                  <c:v>36.720600000000935</c:v>
                </c:pt>
                <c:pt idx="754">
                  <c:v>36.720700000000939</c:v>
                </c:pt>
                <c:pt idx="755">
                  <c:v>36.720800000000942</c:v>
                </c:pt>
                <c:pt idx="756">
                  <c:v>36.720900000000945</c:v>
                </c:pt>
                <c:pt idx="757">
                  <c:v>36.721000000000949</c:v>
                </c:pt>
                <c:pt idx="758">
                  <c:v>36.721100000000952</c:v>
                </c:pt>
                <c:pt idx="759">
                  <c:v>36.721200000000955</c:v>
                </c:pt>
                <c:pt idx="760">
                  <c:v>36.721300000000959</c:v>
                </c:pt>
                <c:pt idx="761">
                  <c:v>36.721400000000962</c:v>
                </c:pt>
                <c:pt idx="762">
                  <c:v>36.721500000000965</c:v>
                </c:pt>
                <c:pt idx="763">
                  <c:v>36.721600000000969</c:v>
                </c:pt>
                <c:pt idx="764">
                  <c:v>36.721700000000972</c:v>
                </c:pt>
                <c:pt idx="765">
                  <c:v>36.721800000000975</c:v>
                </c:pt>
                <c:pt idx="766">
                  <c:v>36.721900000000979</c:v>
                </c:pt>
                <c:pt idx="767">
                  <c:v>36.722000000000982</c:v>
                </c:pt>
                <c:pt idx="768">
                  <c:v>36.722100000000985</c:v>
                </c:pt>
                <c:pt idx="769">
                  <c:v>36.722200000000988</c:v>
                </c:pt>
                <c:pt idx="770">
                  <c:v>36.722300000000992</c:v>
                </c:pt>
                <c:pt idx="771">
                  <c:v>36.722400000000995</c:v>
                </c:pt>
                <c:pt idx="772">
                  <c:v>36.722500000000998</c:v>
                </c:pt>
                <c:pt idx="773">
                  <c:v>36.722600000001002</c:v>
                </c:pt>
                <c:pt idx="774">
                  <c:v>36.722700000001005</c:v>
                </c:pt>
                <c:pt idx="775">
                  <c:v>36.722800000001008</c:v>
                </c:pt>
                <c:pt idx="776">
                  <c:v>36.722900000001012</c:v>
                </c:pt>
                <c:pt idx="777">
                  <c:v>36.723000000001015</c:v>
                </c:pt>
                <c:pt idx="778">
                  <c:v>36.723100000001018</c:v>
                </c:pt>
                <c:pt idx="779">
                  <c:v>36.723200000001022</c:v>
                </c:pt>
                <c:pt idx="780">
                  <c:v>36.723300000001025</c:v>
                </c:pt>
                <c:pt idx="781">
                  <c:v>36.723400000001028</c:v>
                </c:pt>
                <c:pt idx="782">
                  <c:v>36.723500000001032</c:v>
                </c:pt>
                <c:pt idx="783">
                  <c:v>36.723600000001035</c:v>
                </c:pt>
                <c:pt idx="784">
                  <c:v>36.723700000001038</c:v>
                </c:pt>
                <c:pt idx="785">
                  <c:v>36.723800000001042</c:v>
                </c:pt>
                <c:pt idx="786">
                  <c:v>36.723900000001045</c:v>
                </c:pt>
                <c:pt idx="787">
                  <c:v>36.724000000001048</c:v>
                </c:pt>
                <c:pt idx="788">
                  <c:v>36.724100000001052</c:v>
                </c:pt>
                <c:pt idx="789">
                  <c:v>36.724200000001055</c:v>
                </c:pt>
                <c:pt idx="790">
                  <c:v>36.724300000001058</c:v>
                </c:pt>
                <c:pt idx="791">
                  <c:v>36.724400000001062</c:v>
                </c:pt>
                <c:pt idx="792">
                  <c:v>36.724500000001065</c:v>
                </c:pt>
                <c:pt idx="793">
                  <c:v>36.724600000001068</c:v>
                </c:pt>
                <c:pt idx="794">
                  <c:v>36.724700000001071</c:v>
                </c:pt>
                <c:pt idx="795">
                  <c:v>36.724800000001075</c:v>
                </c:pt>
                <c:pt idx="796">
                  <c:v>36.724900000001078</c:v>
                </c:pt>
                <c:pt idx="797">
                  <c:v>36.725000000001081</c:v>
                </c:pt>
                <c:pt idx="798">
                  <c:v>36.725100000001085</c:v>
                </c:pt>
                <c:pt idx="799">
                  <c:v>36.725200000001088</c:v>
                </c:pt>
                <c:pt idx="800">
                  <c:v>36.725300000001091</c:v>
                </c:pt>
                <c:pt idx="801">
                  <c:v>36.725400000001095</c:v>
                </c:pt>
                <c:pt idx="802">
                  <c:v>36.725500000001098</c:v>
                </c:pt>
                <c:pt idx="803">
                  <c:v>36.725600000001101</c:v>
                </c:pt>
                <c:pt idx="804">
                  <c:v>36.725700000001105</c:v>
                </c:pt>
                <c:pt idx="805">
                  <c:v>36.725800000001108</c:v>
                </c:pt>
                <c:pt idx="806">
                  <c:v>36.725900000001111</c:v>
                </c:pt>
                <c:pt idx="807">
                  <c:v>36.726000000001115</c:v>
                </c:pt>
                <c:pt idx="808">
                  <c:v>36.726100000001118</c:v>
                </c:pt>
                <c:pt idx="809">
                  <c:v>36.726200000001121</c:v>
                </c:pt>
                <c:pt idx="810">
                  <c:v>36.726300000001125</c:v>
                </c:pt>
                <c:pt idx="811">
                  <c:v>36.726400000001128</c:v>
                </c:pt>
                <c:pt idx="812">
                  <c:v>36.726500000001131</c:v>
                </c:pt>
                <c:pt idx="813">
                  <c:v>36.726600000001135</c:v>
                </c:pt>
                <c:pt idx="814">
                  <c:v>36.726700000001138</c:v>
                </c:pt>
                <c:pt idx="815">
                  <c:v>36.726800000001141</c:v>
                </c:pt>
                <c:pt idx="816">
                  <c:v>36.726900000001145</c:v>
                </c:pt>
                <c:pt idx="817">
                  <c:v>36.727000000001148</c:v>
                </c:pt>
                <c:pt idx="818">
                  <c:v>36.727100000001151</c:v>
                </c:pt>
                <c:pt idx="819">
                  <c:v>36.727200000001154</c:v>
                </c:pt>
                <c:pt idx="820">
                  <c:v>36.727300000001158</c:v>
                </c:pt>
                <c:pt idx="821">
                  <c:v>36.727400000001161</c:v>
                </c:pt>
                <c:pt idx="822">
                  <c:v>36.727500000001164</c:v>
                </c:pt>
                <c:pt idx="823">
                  <c:v>36.727600000001168</c:v>
                </c:pt>
                <c:pt idx="824">
                  <c:v>36.727700000001171</c:v>
                </c:pt>
                <c:pt idx="825">
                  <c:v>36.727800000001174</c:v>
                </c:pt>
                <c:pt idx="826">
                  <c:v>36.727900000001178</c:v>
                </c:pt>
                <c:pt idx="827">
                  <c:v>36.728000000001181</c:v>
                </c:pt>
                <c:pt idx="828">
                  <c:v>36.728100000001184</c:v>
                </c:pt>
                <c:pt idx="829">
                  <c:v>36.728200000001188</c:v>
                </c:pt>
                <c:pt idx="830">
                  <c:v>36.728300000001191</c:v>
                </c:pt>
                <c:pt idx="831">
                  <c:v>36.728400000001194</c:v>
                </c:pt>
                <c:pt idx="832">
                  <c:v>36.728500000001198</c:v>
                </c:pt>
                <c:pt idx="833">
                  <c:v>36.728600000001201</c:v>
                </c:pt>
                <c:pt idx="834">
                  <c:v>36.728700000001204</c:v>
                </c:pt>
                <c:pt idx="835">
                  <c:v>36.728800000001208</c:v>
                </c:pt>
                <c:pt idx="836">
                  <c:v>36.728900000001211</c:v>
                </c:pt>
                <c:pt idx="837">
                  <c:v>36.729000000001214</c:v>
                </c:pt>
                <c:pt idx="838">
                  <c:v>36.729100000001218</c:v>
                </c:pt>
                <c:pt idx="839">
                  <c:v>36.729200000001221</c:v>
                </c:pt>
                <c:pt idx="840">
                  <c:v>36.729300000001224</c:v>
                </c:pt>
                <c:pt idx="841">
                  <c:v>36.729400000001228</c:v>
                </c:pt>
                <c:pt idx="842">
                  <c:v>36.729500000001231</c:v>
                </c:pt>
                <c:pt idx="843">
                  <c:v>36.729600000001234</c:v>
                </c:pt>
                <c:pt idx="844">
                  <c:v>36.729700000001237</c:v>
                </c:pt>
                <c:pt idx="845">
                  <c:v>36.729800000001241</c:v>
                </c:pt>
                <c:pt idx="846">
                  <c:v>36.729900000001244</c:v>
                </c:pt>
                <c:pt idx="847">
                  <c:v>36.730000000001247</c:v>
                </c:pt>
                <c:pt idx="848">
                  <c:v>36.730100000001251</c:v>
                </c:pt>
                <c:pt idx="849">
                  <c:v>36.730200000001254</c:v>
                </c:pt>
                <c:pt idx="850">
                  <c:v>36.730300000001257</c:v>
                </c:pt>
                <c:pt idx="851">
                  <c:v>36.730400000001261</c:v>
                </c:pt>
                <c:pt idx="852">
                  <c:v>36.730500000001264</c:v>
                </c:pt>
                <c:pt idx="853">
                  <c:v>36.730600000001267</c:v>
                </c:pt>
                <c:pt idx="854">
                  <c:v>36.730700000001271</c:v>
                </c:pt>
                <c:pt idx="855">
                  <c:v>36.730800000001274</c:v>
                </c:pt>
                <c:pt idx="856">
                  <c:v>36.730900000001277</c:v>
                </c:pt>
                <c:pt idx="857">
                  <c:v>36.731000000001281</c:v>
                </c:pt>
                <c:pt idx="858">
                  <c:v>36.731100000001284</c:v>
                </c:pt>
                <c:pt idx="859">
                  <c:v>36.731200000001287</c:v>
                </c:pt>
                <c:pt idx="860">
                  <c:v>36.731300000001291</c:v>
                </c:pt>
                <c:pt idx="861">
                  <c:v>36.731400000001294</c:v>
                </c:pt>
                <c:pt idx="862">
                  <c:v>36.731500000001297</c:v>
                </c:pt>
                <c:pt idx="863">
                  <c:v>36.731600000001301</c:v>
                </c:pt>
                <c:pt idx="864">
                  <c:v>36.731700000001304</c:v>
                </c:pt>
                <c:pt idx="865">
                  <c:v>36.731800000001307</c:v>
                </c:pt>
                <c:pt idx="866">
                  <c:v>36.731900000001311</c:v>
                </c:pt>
                <c:pt idx="867">
                  <c:v>36.732000000001314</c:v>
                </c:pt>
                <c:pt idx="868">
                  <c:v>36.732100000001317</c:v>
                </c:pt>
                <c:pt idx="869">
                  <c:v>36.73220000000132</c:v>
                </c:pt>
                <c:pt idx="870">
                  <c:v>36.732300000001324</c:v>
                </c:pt>
                <c:pt idx="871">
                  <c:v>36.732400000001327</c:v>
                </c:pt>
                <c:pt idx="872">
                  <c:v>36.73250000000133</c:v>
                </c:pt>
                <c:pt idx="873">
                  <c:v>36.732600000001334</c:v>
                </c:pt>
                <c:pt idx="874">
                  <c:v>36.732700000001337</c:v>
                </c:pt>
                <c:pt idx="875">
                  <c:v>36.73280000000134</c:v>
                </c:pt>
                <c:pt idx="876">
                  <c:v>36.732900000001344</c:v>
                </c:pt>
                <c:pt idx="877">
                  <c:v>36.733000000001347</c:v>
                </c:pt>
                <c:pt idx="878">
                  <c:v>36.73310000000135</c:v>
                </c:pt>
                <c:pt idx="879">
                  <c:v>36.733200000001354</c:v>
                </c:pt>
                <c:pt idx="880">
                  <c:v>36.733300000001357</c:v>
                </c:pt>
                <c:pt idx="881">
                  <c:v>36.73340000000136</c:v>
                </c:pt>
                <c:pt idx="882">
                  <c:v>36.733500000001364</c:v>
                </c:pt>
                <c:pt idx="883">
                  <c:v>36.733600000001367</c:v>
                </c:pt>
                <c:pt idx="884">
                  <c:v>36.73370000000137</c:v>
                </c:pt>
                <c:pt idx="885">
                  <c:v>36.733800000001374</c:v>
                </c:pt>
                <c:pt idx="886">
                  <c:v>36.733900000001377</c:v>
                </c:pt>
                <c:pt idx="887">
                  <c:v>36.73400000000138</c:v>
                </c:pt>
                <c:pt idx="888">
                  <c:v>36.734100000001384</c:v>
                </c:pt>
                <c:pt idx="889">
                  <c:v>36.734200000001387</c:v>
                </c:pt>
                <c:pt idx="890">
                  <c:v>36.73430000000139</c:v>
                </c:pt>
                <c:pt idx="891">
                  <c:v>36.734400000001393</c:v>
                </c:pt>
                <c:pt idx="892">
                  <c:v>36.734500000001397</c:v>
                </c:pt>
                <c:pt idx="893">
                  <c:v>36.7346000000014</c:v>
                </c:pt>
                <c:pt idx="894">
                  <c:v>36.734700000001403</c:v>
                </c:pt>
                <c:pt idx="895">
                  <c:v>36.734800000001407</c:v>
                </c:pt>
                <c:pt idx="896">
                  <c:v>36.73490000000141</c:v>
                </c:pt>
                <c:pt idx="897">
                  <c:v>36.735000000001413</c:v>
                </c:pt>
                <c:pt idx="898">
                  <c:v>36.735100000001417</c:v>
                </c:pt>
                <c:pt idx="899">
                  <c:v>36.73520000000142</c:v>
                </c:pt>
                <c:pt idx="900">
                  <c:v>36.735300000001423</c:v>
                </c:pt>
                <c:pt idx="901">
                  <c:v>36.735400000001427</c:v>
                </c:pt>
                <c:pt idx="902">
                  <c:v>36.73550000000143</c:v>
                </c:pt>
                <c:pt idx="903">
                  <c:v>36.735600000001433</c:v>
                </c:pt>
                <c:pt idx="904">
                  <c:v>36.735700000001437</c:v>
                </c:pt>
                <c:pt idx="905">
                  <c:v>36.73580000000144</c:v>
                </c:pt>
                <c:pt idx="906">
                  <c:v>36.735900000001443</c:v>
                </c:pt>
                <c:pt idx="907">
                  <c:v>36.736000000001447</c:v>
                </c:pt>
                <c:pt idx="908">
                  <c:v>36.73610000000145</c:v>
                </c:pt>
                <c:pt idx="909">
                  <c:v>36.736200000001453</c:v>
                </c:pt>
                <c:pt idx="910">
                  <c:v>36.736300000001457</c:v>
                </c:pt>
                <c:pt idx="911">
                  <c:v>36.73640000000146</c:v>
                </c:pt>
                <c:pt idx="912">
                  <c:v>36.736500000001463</c:v>
                </c:pt>
                <c:pt idx="913">
                  <c:v>36.736600000001467</c:v>
                </c:pt>
                <c:pt idx="914">
                  <c:v>36.73670000000147</c:v>
                </c:pt>
                <c:pt idx="915">
                  <c:v>36.736800000001473</c:v>
                </c:pt>
                <c:pt idx="916">
                  <c:v>36.736900000001476</c:v>
                </c:pt>
                <c:pt idx="917">
                  <c:v>36.73700000000148</c:v>
                </c:pt>
                <c:pt idx="918">
                  <c:v>36.737100000001483</c:v>
                </c:pt>
                <c:pt idx="919">
                  <c:v>36.737200000001486</c:v>
                </c:pt>
                <c:pt idx="920">
                  <c:v>36.73730000000149</c:v>
                </c:pt>
                <c:pt idx="921">
                  <c:v>36.737400000001493</c:v>
                </c:pt>
                <c:pt idx="922">
                  <c:v>36.737500000001496</c:v>
                </c:pt>
                <c:pt idx="923">
                  <c:v>36.7376000000015</c:v>
                </c:pt>
                <c:pt idx="924">
                  <c:v>36.737700000001503</c:v>
                </c:pt>
                <c:pt idx="925">
                  <c:v>36.737800000001506</c:v>
                </c:pt>
                <c:pt idx="926">
                  <c:v>36.73790000000151</c:v>
                </c:pt>
                <c:pt idx="927">
                  <c:v>36.738000000001513</c:v>
                </c:pt>
                <c:pt idx="928">
                  <c:v>36.738100000001516</c:v>
                </c:pt>
                <c:pt idx="929">
                  <c:v>36.73820000000152</c:v>
                </c:pt>
                <c:pt idx="930">
                  <c:v>36.738300000001523</c:v>
                </c:pt>
                <c:pt idx="931">
                  <c:v>36.738400000001526</c:v>
                </c:pt>
                <c:pt idx="932">
                  <c:v>36.73850000000153</c:v>
                </c:pt>
                <c:pt idx="933">
                  <c:v>36.738600000001533</c:v>
                </c:pt>
                <c:pt idx="934">
                  <c:v>36.738700000001536</c:v>
                </c:pt>
                <c:pt idx="935">
                  <c:v>36.73880000000154</c:v>
                </c:pt>
                <c:pt idx="936">
                  <c:v>36.738900000001543</c:v>
                </c:pt>
                <c:pt idx="937">
                  <c:v>36.739000000001546</c:v>
                </c:pt>
                <c:pt idx="938">
                  <c:v>36.73910000000155</c:v>
                </c:pt>
                <c:pt idx="939">
                  <c:v>36.739200000001553</c:v>
                </c:pt>
                <c:pt idx="940">
                  <c:v>36.739300000001556</c:v>
                </c:pt>
                <c:pt idx="941">
                  <c:v>36.739400000001559</c:v>
                </c:pt>
                <c:pt idx="942">
                  <c:v>36.739500000001563</c:v>
                </c:pt>
                <c:pt idx="943">
                  <c:v>36.739600000001566</c:v>
                </c:pt>
                <c:pt idx="944">
                  <c:v>36.739700000001569</c:v>
                </c:pt>
                <c:pt idx="945">
                  <c:v>36.739800000001573</c:v>
                </c:pt>
                <c:pt idx="946">
                  <c:v>36.739900000001576</c:v>
                </c:pt>
                <c:pt idx="947">
                  <c:v>36.740000000001579</c:v>
                </c:pt>
                <c:pt idx="948">
                  <c:v>36.740100000001583</c:v>
                </c:pt>
                <c:pt idx="949">
                  <c:v>36.740200000001586</c:v>
                </c:pt>
                <c:pt idx="950">
                  <c:v>36.740300000001589</c:v>
                </c:pt>
                <c:pt idx="951">
                  <c:v>36.740400000001593</c:v>
                </c:pt>
                <c:pt idx="952">
                  <c:v>36.740500000001596</c:v>
                </c:pt>
                <c:pt idx="953">
                  <c:v>36.740600000001599</c:v>
                </c:pt>
                <c:pt idx="954">
                  <c:v>36.740700000001603</c:v>
                </c:pt>
                <c:pt idx="955">
                  <c:v>36.740800000001606</c:v>
                </c:pt>
                <c:pt idx="956">
                  <c:v>36.740900000001609</c:v>
                </c:pt>
                <c:pt idx="957">
                  <c:v>36.741000000001613</c:v>
                </c:pt>
                <c:pt idx="958">
                  <c:v>36.741100000001616</c:v>
                </c:pt>
                <c:pt idx="959">
                  <c:v>36.741200000001619</c:v>
                </c:pt>
                <c:pt idx="960">
                  <c:v>36.741300000001623</c:v>
                </c:pt>
                <c:pt idx="961">
                  <c:v>36.741400000001626</c:v>
                </c:pt>
                <c:pt idx="962">
                  <c:v>36.741500000001629</c:v>
                </c:pt>
                <c:pt idx="963">
                  <c:v>36.741600000001633</c:v>
                </c:pt>
                <c:pt idx="964">
                  <c:v>36.741700000001636</c:v>
                </c:pt>
                <c:pt idx="965">
                  <c:v>36.741800000001639</c:v>
                </c:pt>
                <c:pt idx="966">
                  <c:v>36.741900000001642</c:v>
                </c:pt>
                <c:pt idx="967">
                  <c:v>36.742000000001646</c:v>
                </c:pt>
                <c:pt idx="968">
                  <c:v>36.742100000001649</c:v>
                </c:pt>
                <c:pt idx="969">
                  <c:v>36.742200000001652</c:v>
                </c:pt>
                <c:pt idx="970">
                  <c:v>36.742300000001656</c:v>
                </c:pt>
                <c:pt idx="971">
                  <c:v>36.742400000001659</c:v>
                </c:pt>
                <c:pt idx="972">
                  <c:v>36.742500000001662</c:v>
                </c:pt>
                <c:pt idx="973">
                  <c:v>36.742600000001666</c:v>
                </c:pt>
                <c:pt idx="974">
                  <c:v>36.742700000001669</c:v>
                </c:pt>
                <c:pt idx="975">
                  <c:v>36.742800000001672</c:v>
                </c:pt>
                <c:pt idx="976">
                  <c:v>36.742900000001676</c:v>
                </c:pt>
                <c:pt idx="977">
                  <c:v>36.743000000001679</c:v>
                </c:pt>
                <c:pt idx="978">
                  <c:v>36.743100000001682</c:v>
                </c:pt>
                <c:pt idx="979">
                  <c:v>36.743200000001686</c:v>
                </c:pt>
                <c:pt idx="980">
                  <c:v>36.743300000001689</c:v>
                </c:pt>
                <c:pt idx="981">
                  <c:v>36.743400000001692</c:v>
                </c:pt>
                <c:pt idx="982">
                  <c:v>36.743500000001696</c:v>
                </c:pt>
                <c:pt idx="983">
                  <c:v>36.743600000001699</c:v>
                </c:pt>
                <c:pt idx="984">
                  <c:v>36.743700000001702</c:v>
                </c:pt>
                <c:pt idx="985">
                  <c:v>36.743800000001706</c:v>
                </c:pt>
                <c:pt idx="986">
                  <c:v>36.743900000001709</c:v>
                </c:pt>
                <c:pt idx="987">
                  <c:v>36.744000000001712</c:v>
                </c:pt>
                <c:pt idx="988">
                  <c:v>36.744100000001716</c:v>
                </c:pt>
                <c:pt idx="989">
                  <c:v>36.744200000001719</c:v>
                </c:pt>
                <c:pt idx="990">
                  <c:v>36.744300000001722</c:v>
                </c:pt>
                <c:pt idx="991">
                  <c:v>36.744400000001725</c:v>
                </c:pt>
                <c:pt idx="992">
                  <c:v>36.744500000001729</c:v>
                </c:pt>
                <c:pt idx="993">
                  <c:v>36.744600000001732</c:v>
                </c:pt>
                <c:pt idx="994">
                  <c:v>36.744700000001735</c:v>
                </c:pt>
                <c:pt idx="995">
                  <c:v>36.744800000001739</c:v>
                </c:pt>
                <c:pt idx="996">
                  <c:v>36.744900000001742</c:v>
                </c:pt>
                <c:pt idx="997">
                  <c:v>36.745000000001745</c:v>
                </c:pt>
                <c:pt idx="998">
                  <c:v>36.745100000001749</c:v>
                </c:pt>
                <c:pt idx="999">
                  <c:v>36.745200000001752</c:v>
                </c:pt>
                <c:pt idx="1000">
                  <c:v>36.745300000001755</c:v>
                </c:pt>
              </c:numCache>
            </c:numRef>
          </c:xVal>
          <c:yVal>
            <c:numRef>
              <c:f>Calculs!$K$4:$K$1004</c:f>
              <c:numCache>
                <c:formatCode>0.00</c:formatCode>
                <c:ptCount val="1001"/>
                <c:pt idx="0">
                  <c:v>0</c:v>
                </c:pt>
                <c:pt idx="1">
                  <c:v>1.014835289857519E-3</c:v>
                </c:pt>
                <c:pt idx="2">
                  <c:v>8.2092717621669274E-3</c:v>
                </c:pt>
                <c:pt idx="3">
                  <c:v>2.826280262367881E-2</c:v>
                </c:pt>
                <c:pt idx="4">
                  <c:v>6.3441336380832408E-2</c:v>
                </c:pt>
                <c:pt idx="5">
                  <c:v>0.11321685656357894</c:v>
                </c:pt>
                <c:pt idx="6">
                  <c:v>0.17722168839409749</c:v>
                </c:pt>
                <c:pt idx="7">
                  <c:v>0.25541074679293435</c:v>
                </c:pt>
                <c:pt idx="8">
                  <c:v>0.34790053114657993</c:v>
                </c:pt>
                <c:pt idx="9">
                  <c:v>0.4548076293392046</c:v>
                </c:pt>
                <c:pt idx="10">
                  <c:v>0.5762487157900873</c:v>
                </c:pt>
                <c:pt idx="11">
                  <c:v>0.71232375635665535</c:v>
                </c:pt>
                <c:pt idx="12">
                  <c:v>0.86309916219158467</c:v>
                </c:pt>
                <c:pt idx="13">
                  <c:v>1.0286245053401553</c:v>
                </c:pt>
                <c:pt idx="14">
                  <c:v>1.208949285564338</c:v>
                </c:pt>
                <c:pt idx="15">
                  <c:v>1.4041229287194446</c:v>
                </c:pt>
                <c:pt idx="16">
                  <c:v>1.6141947851243379</c:v>
                </c:pt>
                <c:pt idx="17">
                  <c:v>1.8392141279253065</c:v>
                </c:pt>
                <c:pt idx="18">
                  <c:v>2.0792301514537108</c:v>
                </c:pt>
                <c:pt idx="19">
                  <c:v>2.3342919695775111</c:v>
                </c:pt>
                <c:pt idx="20">
                  <c:v>2.6044486140467877</c:v>
                </c:pt>
                <c:pt idx="21">
                  <c:v>2.8897422865207414</c:v>
                </c:pt>
                <c:pt idx="22">
                  <c:v>3.1902015903762195</c:v>
                </c:pt>
                <c:pt idx="23">
                  <c:v>3.5058482460334504</c:v>
                </c:pt>
                <c:pt idx="24">
                  <c:v>3.836703826804376</c:v>
                </c:pt>
                <c:pt idx="25">
                  <c:v>4.1827897578456144</c:v>
                </c:pt>
                <c:pt idx="26">
                  <c:v>4.5441125127268629</c:v>
                </c:pt>
                <c:pt idx="27">
                  <c:v>4.9206777754406357</c:v>
                </c:pt>
                <c:pt idx="28">
                  <c:v>5.3125052505906112</c:v>
                </c:pt>
                <c:pt idx="29">
                  <c:v>5.7196145188719516</c:v>
                </c:pt>
                <c:pt idx="30">
                  <c:v>6.1420250454300582</c:v>
                </c:pt>
                <c:pt idx="31">
                  <c:v>6.5797561762952155</c:v>
                </c:pt>
                <c:pt idx="32">
                  <c:v>7.0328271350771372</c:v>
                </c:pt>
                <c:pt idx="33">
                  <c:v>7.5012570198865358</c:v>
                </c:pt>
                <c:pt idx="34">
                  <c:v>7.9850648004560352</c:v>
                </c:pt>
                <c:pt idx="35">
                  <c:v>8.4842693154369879</c:v>
                </c:pt>
                <c:pt idx="36">
                  <c:v>8.998889269852226</c:v>
                </c:pt>
                <c:pt idx="37">
                  <c:v>9.5289432326876877</c:v>
                </c:pt>
                <c:pt idx="38">
                  <c:v>10.074449634608213</c:v>
                </c:pt>
                <c:pt idx="39">
                  <c:v>10.63542676578486</c:v>
                </c:pt>
                <c:pt idx="40">
                  <c:v>11.211892773822738</c:v>
                </c:pt>
                <c:pt idx="41">
                  <c:v>11.803860402368862</c:v>
                </c:pt>
                <c:pt idx="42">
                  <c:v>12.411331715763811</c:v>
                </c:pt>
                <c:pt idx="43">
                  <c:v>13.034303336940619</c:v>
                </c:pt>
                <c:pt idx="44">
                  <c:v>13.672771699736666</c:v>
                </c:pt>
                <c:pt idx="45">
                  <c:v>14.326733047819415</c:v>
                </c:pt>
                <c:pt idx="46">
                  <c:v>14.996183433682525</c:v>
                </c:pt>
                <c:pt idx="47">
                  <c:v>15.681118717707127</c:v>
                </c:pt>
                <c:pt idx="48">
                  <c:v>16.381534567283673</c:v>
                </c:pt>
                <c:pt idx="49">
                  <c:v>17.097426455990202</c:v>
                </c:pt>
                <c:pt idx="50">
                  <c:v>17.828789662823397</c:v>
                </c:pt>
                <c:pt idx="51">
                  <c:v>18.575619271479084</c:v>
                </c:pt>
                <c:pt idx="52">
                  <c:v>19.337910169679283</c:v>
                </c:pt>
                <c:pt idx="53">
                  <c:v>20.115657048543085</c:v>
                </c:pt>
                <c:pt idx="54">
                  <c:v>20.908854401999015</c:v>
                </c:pt>
                <c:pt idx="55">
                  <c:v>21.717496526236687</c:v>
                </c:pt>
                <c:pt idx="56">
                  <c:v>22.541577519195783</c:v>
                </c:pt>
                <c:pt idx="57">
                  <c:v>23.381091280090605</c:v>
                </c:pt>
                <c:pt idx="58">
                  <c:v>24.236031508968555</c:v>
                </c:pt>
                <c:pt idx="59">
                  <c:v>25.106391706301096</c:v>
                </c:pt>
                <c:pt idx="60">
                  <c:v>25.992165172605819</c:v>
                </c:pt>
                <c:pt idx="61">
                  <c:v>26.893345008098414</c:v>
                </c:pt>
                <c:pt idx="62">
                  <c:v>27.809924112373409</c:v>
                </c:pt>
                <c:pt idx="63">
                  <c:v>28.741895184112654</c:v>
                </c:pt>
                <c:pt idx="64">
                  <c:v>29.689250720820588</c:v>
                </c:pt>
                <c:pt idx="65">
                  <c:v>30.651983018585437</c:v>
                </c:pt>
                <c:pt idx="66">
                  <c:v>31.630084171865516</c:v>
                </c:pt>
                <c:pt idx="67">
                  <c:v>32.62354607329992</c:v>
                </c:pt>
                <c:pt idx="68">
                  <c:v>33.632360413542884</c:v>
                </c:pt>
                <c:pt idx="69">
                  <c:v>34.656518681121227</c:v>
                </c:pt>
                <c:pt idx="70">
                  <c:v>35.69601216231424</c:v>
                </c:pt>
                <c:pt idx="71">
                  <c:v>36.75083194105548</c:v>
                </c:pt>
                <c:pt idx="72">
                  <c:v>37.82096889885603</c:v>
                </c:pt>
                <c:pt idx="73">
                  <c:v>38.906413714748616</c:v>
                </c:pt>
                <c:pt idx="74">
                  <c:v>40.00715686525227</c:v>
                </c:pt>
                <c:pt idx="75">
                  <c:v>41.12318862435707</c:v>
                </c:pt>
                <c:pt idx="76">
                  <c:v>42.254499063528542</c:v>
                </c:pt>
                <c:pt idx="77">
                  <c:v>43.401078051731403</c:v>
                </c:pt>
                <c:pt idx="78">
                  <c:v>44.562915255472312</c:v>
                </c:pt>
                <c:pt idx="79">
                  <c:v>45.740000138861248</c:v>
                </c:pt>
                <c:pt idx="80">
                  <c:v>46.932321963691273</c:v>
                </c:pt>
                <c:pt idx="81">
                  <c:v>48.139864422620498</c:v>
                </c:pt>
                <c:pt idx="82">
                  <c:v>49.362600260516437</c:v>
                </c:pt>
                <c:pt idx="83">
                  <c:v>50.600496626797494</c:v>
                </c:pt>
                <c:pt idx="84">
                  <c:v>51.853520440092936</c:v>
                </c:pt>
                <c:pt idx="85">
                  <c:v>53.121638389303747</c:v>
                </c:pt>
                <c:pt idx="86">
                  <c:v>54.40481693468324</c:v>
                </c:pt>
                <c:pt idx="87">
                  <c:v>55.703022308937122</c:v>
                </c:pt>
                <c:pt idx="88">
                  <c:v>57.016220518342564</c:v>
                </c:pt>
                <c:pt idx="89">
                  <c:v>58.344377343885952</c:v>
                </c:pt>
                <c:pt idx="90">
                  <c:v>59.687458342418907</c:v>
                </c:pt>
                <c:pt idx="91">
                  <c:v>61.045426473207243</c:v>
                </c:pt>
                <c:pt idx="92">
                  <c:v>62.41823971967262</c:v>
                </c:pt>
                <c:pt idx="93">
                  <c:v>63.805853459542291</c:v>
                </c:pt>
                <c:pt idx="94">
                  <c:v>65.208222840061339</c:v>
                </c:pt>
                <c:pt idx="95">
                  <c:v>66.625302779676446</c:v>
                </c:pt>
                <c:pt idx="96">
                  <c:v>68.05704796973626</c:v>
                </c:pt>
                <c:pt idx="97">
                  <c:v>69.503412876207904</c:v>
                </c:pt>
                <c:pt idx="98">
                  <c:v>70.964351741409232</c:v>
                </c:pt>
                <c:pt idx="99">
                  <c:v>72.439818585756555</c:v>
                </c:pt>
                <c:pt idx="100">
                  <c:v>73.929767209527313</c:v>
                </c:pt>
                <c:pt idx="101">
                  <c:v>75.434150814277572</c:v>
                </c:pt>
                <c:pt idx="102">
                  <c:v>76.952921623574568</c:v>
                </c:pt>
                <c:pt idx="103">
                  <c:v>78.486031264390817</c:v>
                </c:pt>
                <c:pt idx="104">
                  <c:v>80.033431149247576</c:v>
                </c:pt>
                <c:pt idx="105">
                  <c:v>81.595072478120144</c:v>
                </c:pt>
                <c:pt idx="106">
                  <c:v>83.170906240356075</c:v>
                </c:pt>
                <c:pt idx="107">
                  <c:v>84.760883216605734</c:v>
                </c:pt>
                <c:pt idx="108">
                  <c:v>86.364953980764994</c:v>
                </c:pt>
                <c:pt idx="109">
                  <c:v>87.983068901929698</c:v>
                </c:pt>
                <c:pt idx="110">
                  <c:v>89.615178146361458</c:v>
                </c:pt>
                <c:pt idx="111">
                  <c:v>91.261236064969438</c:v>
                </c:pt>
                <c:pt idx="112">
                  <c:v>92.921205588025856</c:v>
                </c:pt>
                <c:pt idx="113">
                  <c:v>94.595053848995107</c:v>
                </c:pt>
                <c:pt idx="114">
                  <c:v>96.282747800752887</c:v>
                </c:pt>
                <c:pt idx="115">
                  <c:v>97.984254216810271</c:v>
                </c:pt>
                <c:pt idx="116">
                  <c:v>99.699539692548342</c:v>
                </c:pt>
                <c:pt idx="117">
                  <c:v>101.42857064646307</c:v>
                </c:pt>
                <c:pt idx="118">
                  <c:v>103.17131332142036</c:v>
                </c:pt>
                <c:pt idx="119">
                  <c:v>104.92773378592094</c:v>
                </c:pt>
                <c:pt idx="120">
                  <c:v>106.69779793537506</c:v>
                </c:pt>
                <c:pt idx="121">
                  <c:v>108.4814642092374</c:v>
                </c:pt>
                <c:pt idx="122">
                  <c:v>110.27867629734055</c:v>
                </c:pt>
                <c:pt idx="123">
                  <c:v>112.08937041547584</c:v>
                </c:pt>
                <c:pt idx="124">
                  <c:v>113.91348259247557</c:v>
                </c:pt>
                <c:pt idx="125">
                  <c:v>115.75094867289528</c:v>
                </c:pt>
                <c:pt idx="126">
                  <c:v>117.60170431970077</c:v>
                </c:pt>
                <c:pt idx="127">
                  <c:v>119.46568501695968</c:v>
                </c:pt>
                <c:pt idx="128">
                  <c:v>121.34282607253705</c:v>
                </c:pt>
                <c:pt idx="129">
                  <c:v>123.2330626207945</c:v>
                </c:pt>
                <c:pt idx="130">
                  <c:v>125.1363296252927</c:v>
                </c:pt>
                <c:pt idx="131">
                  <c:v>127.05255997182877</c:v>
                </c:pt>
                <c:pt idx="132">
                  <c:v>128.98168255907402</c:v>
                </c:pt>
                <c:pt idx="133">
                  <c:v>130.92362420915705</c:v>
                </c:pt>
                <c:pt idx="134">
                  <c:v>132.87831158084617</c:v>
                </c:pt>
                <c:pt idx="135">
                  <c:v>134.84567117265215</c:v>
                </c:pt>
                <c:pt idx="136">
                  <c:v>136.82562932593001</c:v>
                </c:pt>
                <c:pt idx="137">
                  <c:v>138.81811222797924</c:v>
                </c:pt>
                <c:pt idx="138">
                  <c:v>140.82304591514207</c:v>
                </c:pt>
                <c:pt idx="139">
                  <c:v>142.84035627589932</c:v>
                </c:pt>
                <c:pt idx="140">
                  <c:v>144.86996905396333</c:v>
                </c:pt>
                <c:pt idx="141">
                  <c:v>146.91178698708333</c:v>
                </c:pt>
                <c:pt idx="142">
                  <c:v>148.96566692288272</c:v>
                </c:pt>
                <c:pt idx="143">
                  <c:v>151.03144267539574</c:v>
                </c:pt>
                <c:pt idx="144">
                  <c:v>153.10894790750638</c:v>
                </c:pt>
                <c:pt idx="145">
                  <c:v>155.19801613987988</c:v>
                </c:pt>
                <c:pt idx="146">
                  <c:v>157.2984807598383</c:v>
                </c:pt>
                <c:pt idx="147">
                  <c:v>159.41017503017829</c:v>
                </c:pt>
                <c:pt idx="148">
                  <c:v>161.5329320979302</c:v>
                </c:pt>
                <c:pt idx="149">
                  <c:v>163.66658500305633</c:v>
                </c:pt>
                <c:pt idx="150">
                  <c:v>165.81096668708767</c:v>
                </c:pt>
                <c:pt idx="151">
                  <c:v>167.96591000169732</c:v>
                </c:pt>
                <c:pt idx="152">
                  <c:v>170.13124771720939</c:v>
                </c:pt>
                <c:pt idx="153">
                  <c:v>172.30681253104228</c:v>
                </c:pt>
                <c:pt idx="154">
                  <c:v>174.49243707608477</c:v>
                </c:pt>
                <c:pt idx="155">
                  <c:v>176.68795392900398</c:v>
                </c:pt>
                <c:pt idx="156">
                  <c:v>178.89308714213681</c:v>
                </c:pt>
                <c:pt idx="157">
                  <c:v>181.10734374515161</c:v>
                </c:pt>
                <c:pt idx="158">
                  <c:v>183.33012231697492</c:v>
                </c:pt>
                <c:pt idx="159">
                  <c:v>185.56082161710287</c:v>
                </c:pt>
                <c:pt idx="160">
                  <c:v>187.79884065168349</c:v>
                </c:pt>
                <c:pt idx="161">
                  <c:v>190.04344076972521</c:v>
                </c:pt>
                <c:pt idx="162">
                  <c:v>192.29360783695529</c:v>
                </c:pt>
                <c:pt idx="163">
                  <c:v>194.54820373809588</c:v>
                </c:pt>
                <c:pt idx="164">
                  <c:v>196.80611785876218</c:v>
                </c:pt>
                <c:pt idx="165">
                  <c:v>199.06638591248998</c:v>
                </c:pt>
                <c:pt idx="166">
                  <c:v>201.32830857749934</c:v>
                </c:pt>
                <c:pt idx="167">
                  <c:v>203.59121916885027</c:v>
                </c:pt>
                <c:pt idx="168">
                  <c:v>205.85432411080905</c:v>
                </c:pt>
                <c:pt idx="169">
                  <c:v>208.11659647290509</c:v>
                </c:pt>
                <c:pt idx="170">
                  <c:v>210.37674232348601</c:v>
                </c:pt>
                <c:pt idx="171">
                  <c:v>212.63385665462681</c:v>
                </c:pt>
                <c:pt idx="172">
                  <c:v>214.88771531735478</c:v>
                </c:pt>
                <c:pt idx="173">
                  <c:v>217.13832534242837</c:v>
                </c:pt>
                <c:pt idx="174">
                  <c:v>219.38569373336375</c:v>
                </c:pt>
                <c:pt idx="175">
                  <c:v>221.62982746657516</c:v>
                </c:pt>
                <c:pt idx="176">
                  <c:v>223.8707334915145</c:v>
                </c:pt>
                <c:pt idx="177">
                  <c:v>226.10841873080986</c:v>
                </c:pt>
                <c:pt idx="178">
                  <c:v>228.34289008040329</c:v>
                </c:pt>
                <c:pt idx="179">
                  <c:v>230.57415440968754</c:v>
                </c:pt>
                <c:pt idx="180">
                  <c:v>232.80221856164206</c:v>
                </c:pt>
                <c:pt idx="181">
                  <c:v>235.02708935296801</c:v>
                </c:pt>
                <c:pt idx="182">
                  <c:v>237.24877357422241</c:v>
                </c:pt>
                <c:pt idx="183">
                  <c:v>239.46727798995155</c:v>
                </c:pt>
                <c:pt idx="184">
                  <c:v>241.68260933882334</c:v>
                </c:pt>
                <c:pt idx="185">
                  <c:v>243.89477433375896</c:v>
                </c:pt>
                <c:pt idx="186">
                  <c:v>246.10377966206366</c:v>
                </c:pt>
                <c:pt idx="187">
                  <c:v>248.30963198555665</c:v>
                </c:pt>
                <c:pt idx="188">
                  <c:v>250.51233794070015</c:v>
                </c:pt>
                <c:pt idx="189">
                  <c:v>252.7119041387277</c:v>
                </c:pt>
                <c:pt idx="190">
                  <c:v>254.90833716577166</c:v>
                </c:pt>
                <c:pt idx="191">
                  <c:v>257.10164358298971</c:v>
                </c:pt>
                <c:pt idx="192">
                  <c:v>259.29182992669087</c:v>
                </c:pt>
                <c:pt idx="193">
                  <c:v>261.47890270846034</c:v>
                </c:pt>
                <c:pt idx="194">
                  <c:v>263.66286841528387</c:v>
                </c:pt>
                <c:pt idx="195">
                  <c:v>265.8437335096711</c:v>
                </c:pt>
                <c:pt idx="196">
                  <c:v>268.02150442977836</c:v>
                </c:pt>
                <c:pt idx="197">
                  <c:v>270.19618758953044</c:v>
                </c:pt>
                <c:pt idx="198">
                  <c:v>272.3677893787418</c:v>
                </c:pt>
                <c:pt idx="199">
                  <c:v>274.5363161632369</c:v>
                </c:pt>
                <c:pt idx="200">
                  <c:v>276.7017742849697</c:v>
                </c:pt>
                <c:pt idx="201">
                  <c:v>298.18806844452359</c:v>
                </c:pt>
                <c:pt idx="202">
                  <c:v>319.37155913113872</c:v>
                </c:pt>
                <c:pt idx="203">
                  <c:v>340.25836315811733</c:v>
                </c:pt>
                <c:pt idx="204">
                  <c:v>360.85437383944549</c:v>
                </c:pt>
                <c:pt idx="205">
                  <c:v>381.1652717252208</c:v>
                </c:pt>
                <c:pt idx="206">
                  <c:v>401.19653469204792</c:v>
                </c:pt>
                <c:pt idx="207">
                  <c:v>420.95344743459793</c:v>
                </c:pt>
                <c:pt idx="208">
                  <c:v>440.44111040069697</c:v>
                </c:pt>
                <c:pt idx="209">
                  <c:v>459.66444820883692</c:v>
                </c:pt>
                <c:pt idx="210">
                  <c:v>478.62821758385189</c:v>
                </c:pt>
                <c:pt idx="211">
                  <c:v>497.33701484364508</c:v>
                </c:pt>
                <c:pt idx="212">
                  <c:v>515.79528296724777</c:v>
                </c:pt>
                <c:pt idx="213">
                  <c:v>534.00731827212758</c:v>
                </c:pt>
                <c:pt idx="214">
                  <c:v>551.97727672650228</c:v>
                </c:pt>
                <c:pt idx="215">
                  <c:v>569.70917992045008</c:v>
                </c:pt>
                <c:pt idx="216">
                  <c:v>587.2069207178065</c:v>
                </c:pt>
                <c:pt idx="217">
                  <c:v>604.47426860919734</c:v>
                </c:pt>
                <c:pt idx="218">
                  <c:v>621.51487478504953</c:v>
                </c:pt>
                <c:pt idx="219">
                  <c:v>638.33227694604579</c:v>
                </c:pt>
                <c:pt idx="220">
                  <c:v>654.92990386722522</c:v>
                </c:pt>
                <c:pt idx="221">
                  <c:v>671.31107973076951</c:v>
                </c:pt>
                <c:pt idx="222">
                  <c:v>687.47902824145251</c:v>
                </c:pt>
                <c:pt idx="223">
                  <c:v>703.43687653774646</c:v>
                </c:pt>
                <c:pt idx="224">
                  <c:v>719.1876589106804</c:v>
                </c:pt>
                <c:pt idx="225">
                  <c:v>734.73432034171162</c:v>
                </c:pt>
                <c:pt idx="226">
                  <c:v>750.07971987010762</c:v>
                </c:pt>
                <c:pt idx="227">
                  <c:v>765.22663379962705</c:v>
                </c:pt>
                <c:pt idx="228">
                  <c:v>780.17775875363714</c:v>
                </c:pt>
                <c:pt idx="229">
                  <c:v>794.93571458719885</c:v>
                </c:pt>
                <c:pt idx="230">
                  <c:v>809.50304716409653</c:v>
                </c:pt>
                <c:pt idx="231">
                  <c:v>823.8822310062684</c:v>
                </c:pt>
                <c:pt idx="232">
                  <c:v>838.07567182261812</c:v>
                </c:pt>
                <c:pt idx="233">
                  <c:v>852.08570892374257</c:v>
                </c:pt>
                <c:pt idx="234">
                  <c:v>865.9146175286993</c:v>
                </c:pt>
                <c:pt idx="235">
                  <c:v>879.5646109695557</c:v>
                </c:pt>
                <c:pt idx="236">
                  <c:v>893.03784279910587</c:v>
                </c:pt>
                <c:pt idx="237">
                  <c:v>906.3364088068106</c:v>
                </c:pt>
                <c:pt idx="238">
                  <c:v>919.46234894771032</c:v>
                </c:pt>
                <c:pt idx="239">
                  <c:v>932.41764918877345</c:v>
                </c:pt>
                <c:pt idx="240">
                  <c:v>945.20424327687579</c:v>
                </c:pt>
                <c:pt idx="241">
                  <c:v>957.82401443236006</c:v>
                </c:pt>
                <c:pt idx="242">
                  <c:v>970.27879697189155</c:v>
                </c:pt>
                <c:pt idx="243">
                  <c:v>982.57037786410933</c:v>
                </c:pt>
                <c:pt idx="244">
                  <c:v>994.70049822137241</c:v>
                </c:pt>
                <c:pt idx="245">
                  <c:v>1006.6708547307095</c:v>
                </c:pt>
                <c:pt idx="246">
                  <c:v>1018.483101026906</c:v>
                </c:pt>
                <c:pt idx="247">
                  <c:v>1030.1388490104957</c:v>
                </c:pt>
                <c:pt idx="248">
                  <c:v>1041.6396701132724</c:v>
                </c:pt>
                <c:pt idx="249">
                  <c:v>1052.987096513787</c:v>
                </c:pt>
                <c:pt idx="250">
                  <c:v>1064.1826223051685</c:v>
                </c:pt>
                <c:pt idx="251">
                  <c:v>1075.2277046174697</c:v>
                </c:pt>
                <c:pt idx="252">
                  <c:v>1086.1237646966292</c:v>
                </c:pt>
                <c:pt idx="253">
                  <c:v>1096.8721889420215</c:v>
                </c:pt>
                <c:pt idx="254">
                  <c:v>1107.4743299044674</c:v>
                </c:pt>
                <c:pt idx="255">
                  <c:v>1117.9315072464747</c:v>
                </c:pt>
                <c:pt idx="256">
                  <c:v>1128.2450086663891</c:v>
                </c:pt>
                <c:pt idx="257">
                  <c:v>1138.4160907880448</c:v>
                </c:pt>
                <c:pt idx="258">
                  <c:v>1148.4459800174252</c:v>
                </c:pt>
                <c:pt idx="259">
                  <c:v>1158.3358733677655</c:v>
                </c:pt>
                <c:pt idx="260">
                  <c:v>1168.0869392544566</c:v>
                </c:pt>
                <c:pt idx="261">
                  <c:v>1177.7003182610395</c:v>
                </c:pt>
                <c:pt idx="262">
                  <c:v>1187.1771238775182</c:v>
                </c:pt>
                <c:pt idx="263">
                  <c:v>1196.5184432121555</c:v>
                </c:pt>
                <c:pt idx="264">
                  <c:v>1205.7253376778583</c:v>
                </c:pt>
                <c:pt idx="265">
                  <c:v>1214.7988436542075</c:v>
                </c:pt>
                <c:pt idx="266">
                  <c:v>1223.7399731261344</c:v>
                </c:pt>
                <c:pt idx="267">
                  <c:v>1232.5497143001958</c:v>
                </c:pt>
                <c:pt idx="268">
                  <c:v>1241.2290321993603</c:v>
                </c:pt>
                <c:pt idx="269">
                  <c:v>1249.7788692371664</c:v>
                </c:pt>
                <c:pt idx="270">
                  <c:v>1258.2001457720798</c:v>
                </c:pt>
                <c:pt idx="271">
                  <c:v>1266.4937606428352</c:v>
                </c:pt>
                <c:pt idx="272">
                  <c:v>1274.6605916855115</c:v>
                </c:pt>
                <c:pt idx="273">
                  <c:v>1282.701496233057</c:v>
                </c:pt>
                <c:pt idx="274">
                  <c:v>1290.6173115979454</c:v>
                </c:pt>
                <c:pt idx="275">
                  <c:v>1298.4088555386154</c:v>
                </c:pt>
                <c:pt idx="276">
                  <c:v>1306.0769267103153</c:v>
                </c:pt>
                <c:pt idx="277">
                  <c:v>1313.622305100949</c:v>
                </c:pt>
                <c:pt idx="278">
                  <c:v>1321.0457524524904</c:v>
                </c:pt>
                <c:pt idx="279">
                  <c:v>1328.348012668511</c:v>
                </c:pt>
                <c:pt idx="280">
                  <c:v>1335.5298122083414</c:v>
                </c:pt>
                <c:pt idx="281">
                  <c:v>1342.5918604683645</c:v>
                </c:pt>
                <c:pt idx="282">
                  <c:v>1349.5348501509188</c:v>
                </c:pt>
                <c:pt idx="283">
                  <c:v>1356.3594576212674</c:v>
                </c:pt>
                <c:pt idx="284">
                  <c:v>1363.066343253075</c:v>
                </c:pt>
                <c:pt idx="285">
                  <c:v>1369.6561517628111</c:v>
                </c:pt>
                <c:pt idx="286">
                  <c:v>1376.129512533485</c:v>
                </c:pt>
                <c:pt idx="287">
                  <c:v>1382.4870399281037</c:v>
                </c:pt>
                <c:pt idx="288">
                  <c:v>1388.7293335932236</c:v>
                </c:pt>
                <c:pt idx="289">
                  <c:v>1394.8569787529584</c:v>
                </c:pt>
                <c:pt idx="290">
                  <c:v>1400.8705464937912</c:v>
                </c:pt>
                <c:pt idx="291">
                  <c:v>1406.7705940405247</c:v>
                </c:pt>
                <c:pt idx="292">
                  <c:v>1412.5576650236951</c:v>
                </c:pt>
                <c:pt idx="293">
                  <c:v>1418.2322897387626</c:v>
                </c:pt>
                <c:pt idx="294">
                  <c:v>1423.7949853973826</c:v>
                </c:pt>
                <c:pt idx="295">
                  <c:v>1429.2462563710544</c:v>
                </c:pt>
                <c:pt idx="296">
                  <c:v>1434.5865944274333</c:v>
                </c:pt>
                <c:pt idx="297">
                  <c:v>1439.816478959588</c:v>
                </c:pt>
                <c:pt idx="298">
                  <c:v>1444.9363772084766</c:v>
                </c:pt>
                <c:pt idx="299">
                  <c:v>1449.9467444789107</c:v>
                </c:pt>
                <c:pt idx="300">
                  <c:v>1454.8480243492709</c:v>
                </c:pt>
                <c:pt idx="301">
                  <c:v>1459.6406488752384</c:v>
                </c:pt>
                <c:pt idx="302">
                  <c:v>1464.3250387877956</c:v>
                </c:pt>
                <c:pt idx="303">
                  <c:v>1468.9016036857581</c:v>
                </c:pt>
                <c:pt idx="304">
                  <c:v>1473.3707422230914</c:v>
                </c:pt>
                <c:pt idx="305">
                  <c:v>1477.7328422912717</c:v>
                </c:pt>
                <c:pt idx="306">
                  <c:v>1481.988281196951</c:v>
                </c:pt>
                <c:pt idx="307">
                  <c:v>1486.1374258351873</c:v>
                </c:pt>
                <c:pt idx="308">
                  <c:v>1490.1806328585112</c:v>
                </c:pt>
                <c:pt idx="309">
                  <c:v>1494.1182488421023</c:v>
                </c:pt>
                <c:pt idx="310">
                  <c:v>1497.9506104453583</c:v>
                </c:pt>
                <c:pt idx="311">
                  <c:v>1501.6780445701515</c:v>
                </c:pt>
                <c:pt idx="312">
                  <c:v>1505.3008685160778</c:v>
                </c:pt>
                <c:pt idx="313">
                  <c:v>1508.8193901330187</c:v>
                </c:pt>
                <c:pt idx="314">
                  <c:v>1512.2339079713545</c:v>
                </c:pt>
                <c:pt idx="315">
                  <c:v>1515.5447114301844</c:v>
                </c:pt>
                <c:pt idx="316">
                  <c:v>1518.7520809039358</c:v>
                </c:pt>
                <c:pt idx="317">
                  <c:v>1521.856287927767</c:v>
                </c:pt>
                <c:pt idx="318">
                  <c:v>1524.8575953221971</c:v>
                </c:pt>
                <c:pt idx="319">
                  <c:v>1527.7562573374339</c:v>
                </c:pt>
                <c:pt idx="320">
                  <c:v>1530.5525197978991</c:v>
                </c:pt>
                <c:pt idx="321">
                  <c:v>1533.2466202474986</c:v>
                </c:pt>
                <c:pt idx="322">
                  <c:v>1535.8387880962241</c:v>
                </c:pt>
                <c:pt idx="323">
                  <c:v>1538.3292447687206</c:v>
                </c:pt>
                <c:pt idx="324">
                  <c:v>1540.7182038555113</c:v>
                </c:pt>
                <c:pt idx="325">
                  <c:v>1543.0058712676168</c:v>
                </c:pt>
                <c:pt idx="326">
                  <c:v>1545.1924453953729</c:v>
                </c:pt>
                <c:pt idx="327">
                  <c:v>1547.278117272303</c:v>
                </c:pt>
                <c:pt idx="328">
                  <c:v>1549.2630707449644</c:v>
                </c:pt>
                <c:pt idx="329">
                  <c:v>1551.1474826497463</c:v>
                </c:pt>
                <c:pt idx="330">
                  <c:v>1552.931522997648</c:v>
                </c:pt>
                <c:pt idx="331">
                  <c:v>1554.6153551681195</c:v>
                </c:pt>
                <c:pt idx="332">
                  <c:v>1556.1991361130772</c:v>
                </c:pt>
                <c:pt idx="333">
                  <c:v>1557.6830165722383</c:v>
                </c:pt>
                <c:pt idx="334">
                  <c:v>1559.0671413009147</c:v>
                </c:pt>
                <c:pt idx="335">
                  <c:v>1560.3516493113871</c:v>
                </c:pt>
                <c:pt idx="336">
                  <c:v>1561.5366741289292</c:v>
                </c:pt>
                <c:pt idx="337">
                  <c:v>1562.6223440634592</c:v>
                </c:pt>
                <c:pt idx="338">
                  <c:v>1563.6087824976619</c:v>
                </c:pt>
                <c:pt idx="339">
                  <c:v>1564.4961081922449</c:v>
                </c:pt>
                <c:pt idx="340">
                  <c:v>1565.2844356087567</c:v>
                </c:pt>
                <c:pt idx="341">
                  <c:v>1565.9738752501087</c:v>
                </c:pt>
                <c:pt idx="342">
                  <c:v>1566.564534018609</c:v>
                </c:pt>
                <c:pt idx="343">
                  <c:v>1567.0565155909271</c:v>
                </c:pt>
                <c:pt idx="344">
                  <c:v>1567.4499208089997</c:v>
                </c:pt>
                <c:pt idx="345">
                  <c:v>1567.7448480854459</c:v>
                </c:pt>
                <c:pt idx="346">
                  <c:v>1567.9413938216237</c:v>
                </c:pt>
                <c:pt idx="347">
                  <c:v>1568.0396528360352</c:v>
                </c:pt>
                <c:pt idx="348">
                  <c:v>1568.0397188004185</c:v>
                </c:pt>
                <c:pt idx="349">
                  <c:v>1567.9416846805457</c:v>
                </c:pt>
                <c:pt idx="350">
                  <c:v>1567.745643178519</c:v>
                </c:pt>
                <c:pt idx="351">
                  <c:v>1567.4516871732339</c:v>
                </c:pt>
                <c:pt idx="352">
                  <c:v>1567.0599101556518</c:v>
                </c:pt>
                <c:pt idx="353">
                  <c:v>1566.5704066556229</c:v>
                </c:pt>
                <c:pt idx="354">
                  <c:v>1565.9832726571901</c:v>
                </c:pt>
                <c:pt idx="355">
                  <c:v>1565.2986059995912</c:v>
                </c:pt>
                <c:pt idx="356">
                  <c:v>1564.516506761541</c:v>
                </c:pt>
                <c:pt idx="357">
                  <c:v>1563.6370776267743</c:v>
                </c:pt>
                <c:pt idx="358">
                  <c:v>1562.6604242292788</c:v>
                </c:pt>
                <c:pt idx="359">
                  <c:v>1561.5866554770812</c:v>
                </c:pt>
                <c:pt idx="360">
                  <c:v>1560.4158838538804</c:v>
                </c:pt>
                <c:pt idx="361">
                  <c:v>1559.1482256982199</c:v>
                </c:pt>
                <c:pt idx="362">
                  <c:v>1557.7838014602439</c:v>
                </c:pt>
                <c:pt idx="363">
                  <c:v>1556.3227359363855</c:v>
                </c:pt>
                <c:pt idx="364">
                  <c:v>1554.765158482588</c:v>
                </c:pt>
                <c:pt idx="365">
                  <c:v>1553.1112032068581</c:v>
                </c:pt>
                <c:pt idx="366">
                  <c:v>1551.3610091420937</c:v>
                </c:pt>
                <c:pt idx="367">
                  <c:v>1549.5147204002344</c:v>
                </c:pt>
                <c:pt idx="368">
                  <c:v>1547.5724863088403</c:v>
                </c:pt>
                <c:pt idx="369">
                  <c:v>1545.5344615312347</c:v>
                </c:pt>
                <c:pt idx="370">
                  <c:v>1543.400806171345</c:v>
                </c:pt>
                <c:pt idx="371">
                  <c:v>1541.1716858643522</c:v>
                </c:pt>
                <c:pt idx="372">
                  <c:v>1538.8472718542246</c:v>
                </c:pt>
                <c:pt idx="373">
                  <c:v>1536.4277410591581</c:v>
                </c:pt>
                <c:pt idx="374">
                  <c:v>1533.9132761258907</c:v>
                </c:pt>
                <c:pt idx="375">
                  <c:v>1531.3040654737931</c:v>
                </c:pt>
                <c:pt idx="376">
                  <c:v>1528.6003033295765</c:v>
                </c:pt>
                <c:pt idx="377">
                  <c:v>1525.8021897533922</c:v>
                </c:pt>
                <c:pt idx="378">
                  <c:v>1522.9099306570367</c:v>
                </c:pt>
                <c:pt idx="379">
                  <c:v>1519.9237378149126</c:v>
                </c:pt>
                <c:pt idx="380">
                  <c:v>1516.8438288683433</c:v>
                </c:pt>
                <c:pt idx="381">
                  <c:v>1513.6704273237817</c:v>
                </c:pt>
                <c:pt idx="382">
                  <c:v>1510.4037625454052</c:v>
                </c:pt>
                <c:pt idx="383">
                  <c:v>1507.0440697425456</c:v>
                </c:pt>
                <c:pt idx="384">
                  <c:v>1503.5915899523554</c:v>
                </c:pt>
                <c:pt idx="385">
                  <c:v>1500.0465700180819</c:v>
                </c:pt>
                <c:pt idx="386">
                  <c:v>1496.4092625632766</c:v>
                </c:pt>
                <c:pt idx="387">
                  <c:v>1492.6799259622451</c:v>
                </c:pt>
                <c:pt idx="388">
                  <c:v>1488.858824307008</c:v>
                </c:pt>
                <c:pt idx="389">
                  <c:v>1484.9462273710221</c:v>
                </c:pt>
                <c:pt idx="390">
                  <c:v>1480.9424105698856</c:v>
                </c:pt>
                <c:pt idx="391">
                  <c:v>1476.8476549192344</c:v>
                </c:pt>
                <c:pt idx="392">
                  <c:v>1472.6622469900126</c:v>
                </c:pt>
                <c:pt idx="393">
                  <c:v>1468.3864788612923</c:v>
                </c:pt>
                <c:pt idx="394">
                  <c:v>1464.0206480707939</c:v>
                </c:pt>
                <c:pt idx="395">
                  <c:v>1459.5650575632533</c:v>
                </c:pt>
                <c:pt idx="396">
                  <c:v>1455.0200156367659</c:v>
                </c:pt>
                <c:pt idx="397">
                  <c:v>1450.3858358872299</c:v>
                </c:pt>
                <c:pt idx="398">
                  <c:v>1445.6628371509978</c:v>
                </c:pt>
                <c:pt idx="399">
                  <c:v>1440.8513434458437</c:v>
                </c:pt>
                <c:pt idx="400">
                  <c:v>1435.9516839103405</c:v>
                </c:pt>
                <c:pt idx="401">
                  <c:v>1430.9641927417374</c:v>
                </c:pt>
                <c:pt idx="402">
                  <c:v>1425.889209132421</c:v>
                </c:pt>
                <c:pt idx="403">
                  <c:v>1420.7270772050406</c:v>
                </c:pt>
                <c:pt idx="404">
                  <c:v>1415.47814594637</c:v>
                </c:pt>
                <c:pt idx="405">
                  <c:v>1410.1427691399765</c:v>
                </c:pt>
                <c:pt idx="406">
                  <c:v>1404.7213052977627</c:v>
                </c:pt>
                <c:pt idx="407">
                  <c:v>1399.2141175904446</c:v>
                </c:pt>
                <c:pt idx="408">
                  <c:v>1393.6215737770256</c:v>
                </c:pt>
                <c:pt idx="409">
                  <c:v>1387.9440461333218</c:v>
                </c:pt>
                <c:pt idx="410">
                  <c:v>1382.1819113795955</c:v>
                </c:pt>
                <c:pt idx="411">
                  <c:v>1376.3355506073474</c:v>
                </c:pt>
                <c:pt idx="412">
                  <c:v>1370.4053492053183</c:v>
                </c:pt>
                <c:pt idx="413">
                  <c:v>1364.391696784749</c:v>
                </c:pt>
                <c:pt idx="414">
                  <c:v>1358.2949871039432</c:v>
                </c:pt>
                <c:pt idx="415">
                  <c:v>1352.1156179921818</c:v>
                </c:pt>
                <c:pt idx="416">
                  <c:v>1345.8539912730298</c:v>
                </c:pt>
                <c:pt idx="417">
                  <c:v>1339.5105126870783</c:v>
                </c:pt>
                <c:pt idx="418">
                  <c:v>1333.0855918141649</c:v>
                </c:pt>
                <c:pt idx="419">
                  <c:v>1326.57964199511</c:v>
                </c:pt>
                <c:pt idx="420">
                  <c:v>1319.9930802530107</c:v>
                </c:pt>
                <c:pt idx="421">
                  <c:v>1313.3263272141278</c:v>
                </c:pt>
                <c:pt idx="422">
                  <c:v>1306.5798070284059</c:v>
                </c:pt>
                <c:pt idx="423">
                  <c:v>1299.7539472896617</c:v>
                </c:pt>
                <c:pt idx="424">
                  <c:v>1292.8491789554757</c:v>
                </c:pt>
                <c:pt idx="425">
                  <c:v>1285.8659362668229</c:v>
                </c:pt>
                <c:pt idx="426">
                  <c:v>1278.8046566674777</c:v>
                </c:pt>
                <c:pt idx="427">
                  <c:v>1271.6657807232241</c:v>
                </c:pt>
                <c:pt idx="428">
                  <c:v>1264.4497520409066</c:v>
                </c:pt>
                <c:pt idx="429">
                  <c:v>1257.1570171873525</c:v>
                </c:pt>
                <c:pt idx="430">
                  <c:v>1249.7880256081983</c:v>
                </c:pt>
                <c:pt idx="431">
                  <c:v>1242.3432295466498</c:v>
                </c:pt>
                <c:pt idx="432">
                  <c:v>1234.8230839622083</c:v>
                </c:pt>
                <c:pt idx="433">
                  <c:v>1227.228046449392</c:v>
                </c:pt>
                <c:pt idx="434">
                  <c:v>1219.5585771564806</c:v>
                </c:pt>
                <c:pt idx="435">
                  <c:v>1211.8151387043151</c:v>
                </c:pt>
                <c:pt idx="436">
                  <c:v>1203.9981961051783</c:v>
                </c:pt>
                <c:pt idx="437">
                  <c:v>1196.1082166817848</c:v>
                </c:pt>
                <c:pt idx="438">
                  <c:v>1188.1456699864086</c:v>
                </c:pt>
                <c:pt idx="439">
                  <c:v>1180.1110277201735</c:v>
                </c:pt>
                <c:pt idx="440">
                  <c:v>1172.0047636525339</c:v>
                </c:pt>
                <c:pt idx="441">
                  <c:v>1163.8273535409717</c:v>
                </c:pt>
                <c:pt idx="442">
                  <c:v>1155.5792750509329</c:v>
                </c:pt>
                <c:pt idx="443">
                  <c:v>1147.2610076760318</c:v>
                </c:pt>
                <c:pt idx="444">
                  <c:v>1138.873032658543</c:v>
                </c:pt>
                <c:pt idx="445">
                  <c:v>1130.4158329102092</c:v>
                </c:pt>
                <c:pt idx="446">
                  <c:v>1121.8898929333848</c:v>
                </c:pt>
                <c:pt idx="447">
                  <c:v>1113.2956987425393</c:v>
                </c:pt>
                <c:pt idx="448">
                  <c:v>1104.6337377861441</c:v>
                </c:pt>
                <c:pt idx="449">
                  <c:v>1095.9044988689609</c:v>
                </c:pt>
                <c:pt idx="450">
                  <c:v>1087.1084720747569</c:v>
                </c:pt>
                <c:pt idx="451">
                  <c:v>1078.2461486894654</c:v>
                </c:pt>
                <c:pt idx="452">
                  <c:v>1069.3180211248118</c:v>
                </c:pt>
                <c:pt idx="453">
                  <c:v>1060.3245828424265</c:v>
                </c:pt>
                <c:pt idx="454">
                  <c:v>1051.266328278462</c:v>
                </c:pt>
                <c:pt idx="455">
                  <c:v>1042.1437527687342</c:v>
                </c:pt>
                <c:pt idx="456">
                  <c:v>1032.957352474406</c:v>
                </c:pt>
                <c:pt idx="457">
                  <c:v>1023.7076243082297</c:v>
                </c:pt>
                <c:pt idx="458">
                  <c:v>1014.3950658613678</c:v>
                </c:pt>
                <c:pt idx="459">
                  <c:v>1005.0201753308068</c:v>
                </c:pt>
                <c:pt idx="460">
                  <c:v>995.58345144738064</c:v>
                </c:pt>
                <c:pt idx="461">
                  <c:v>986.0853934044211</c:v>
                </c:pt>
                <c:pt idx="462">
                  <c:v>976.52650078704767</c:v>
                </c:pt>
                <c:pt idx="463">
                  <c:v>966.90727350211409</c:v>
                </c:pt>
                <c:pt idx="464">
                  <c:v>957.2282117088248</c:v>
                </c:pt>
                <c:pt idx="465">
                  <c:v>947.48981575003415</c:v>
                </c:pt>
                <c:pt idx="466">
                  <c:v>937.69258608424354</c:v>
                </c:pt>
                <c:pt idx="467">
                  <c:v>927.83702321830742</c:v>
                </c:pt>
                <c:pt idx="468">
                  <c:v>917.92362764086158</c:v>
                </c:pt>
                <c:pt idx="469">
                  <c:v>907.9528997564845</c:v>
                </c:pt>
                <c:pt idx="470">
                  <c:v>897.92533982060422</c:v>
                </c:pt>
                <c:pt idx="471">
                  <c:v>887.84144787516038</c:v>
                </c:pt>
                <c:pt idx="472">
                  <c:v>877.70172368503222</c:v>
                </c:pt>
                <c:pt idx="473">
                  <c:v>867.50666667524229</c:v>
                </c:pt>
                <c:pt idx="474">
                  <c:v>857.25677586894551</c:v>
                </c:pt>
                <c:pt idx="475">
                  <c:v>846.95254982621179</c:v>
                </c:pt>
                <c:pt idx="476">
                  <c:v>836.59448658361146</c:v>
                </c:pt>
                <c:pt idx="477">
                  <c:v>826.18308359461025</c:v>
                </c:pt>
                <c:pt idx="478">
                  <c:v>815.71883767078236</c:v>
                </c:pt>
                <c:pt idx="479">
                  <c:v>805.20224492384864</c:v>
                </c:pt>
                <c:pt idx="480">
                  <c:v>794.6338007085451</c:v>
                </c:pt>
                <c:pt idx="481">
                  <c:v>784.01399956632963</c:v>
                </c:pt>
                <c:pt idx="482">
                  <c:v>773.34333516993149</c:v>
                </c:pt>
                <c:pt idx="483">
                  <c:v>762.62230026874863</c:v>
                </c:pt>
                <c:pt idx="484">
                  <c:v>751.85138663509883</c:v>
                </c:pt>
                <c:pt idx="485">
                  <c:v>741.0310850113276</c:v>
                </c:pt>
                <c:pt idx="486">
                  <c:v>730.16188505777745</c:v>
                </c:pt>
                <c:pt idx="487">
                  <c:v>719.24427530162257</c:v>
                </c:pt>
                <c:pt idx="488">
                  <c:v>708.27874308657067</c:v>
                </c:pt>
                <c:pt idx="489">
                  <c:v>697.26577452343622</c:v>
                </c:pt>
                <c:pt idx="490">
                  <c:v>686.20585444158587</c:v>
                </c:pt>
                <c:pt idx="491">
                  <c:v>675.09946634125959</c:v>
                </c:pt>
                <c:pt idx="492">
                  <c:v>663.94709234676748</c:v>
                </c:pt>
                <c:pt idx="493">
                  <c:v>652.74921316056452</c:v>
                </c:pt>
                <c:pt idx="494">
                  <c:v>641.50630801820341</c:v>
                </c:pt>
                <c:pt idx="495">
                  <c:v>630.21885464416641</c:v>
                </c:pt>
                <c:pt idx="496">
                  <c:v>618.88732920857524</c:v>
                </c:pt>
                <c:pt idx="497">
                  <c:v>607.51220628478018</c:v>
                </c:pt>
                <c:pt idx="498">
                  <c:v>596.09395880782654</c:v>
                </c:pt>
                <c:pt idx="499">
                  <c:v>584.63305803379797</c:v>
                </c:pt>
                <c:pt idx="500">
                  <c:v>573.12997350003502</c:v>
                </c:pt>
                <c:pt idx="501">
                  <c:v>561.58517298622758</c:v>
                </c:pt>
                <c:pt idx="502">
                  <c:v>549.99912247637928</c:v>
                </c:pt>
                <c:pt idx="503">
                  <c:v>538.37228612164131</c:v>
                </c:pt>
                <c:pt idx="504">
                  <c:v>526.70512620401269</c:v>
                </c:pt>
                <c:pt idx="505">
                  <c:v>514.99810310090527</c:v>
                </c:pt>
                <c:pt idx="506">
                  <c:v>503.25167525056901</c:v>
                </c:pt>
                <c:pt idx="507">
                  <c:v>491.46629911837505</c:v>
                </c:pt>
                <c:pt idx="508">
                  <c:v>479.64242916395199</c:v>
                </c:pt>
                <c:pt idx="509">
                  <c:v>467.78051780917218</c:v>
                </c:pt>
                <c:pt idx="510">
                  <c:v>455.88101540698301</c:v>
                </c:pt>
                <c:pt idx="511">
                  <c:v>443.9443702110795</c:v>
                </c:pt>
                <c:pt idx="512">
                  <c:v>431.97102834641248</c:v>
                </c:pt>
                <c:pt idx="513">
                  <c:v>419.9614337805283</c:v>
                </c:pt>
                <c:pt idx="514">
                  <c:v>407.91602829573418</c:v>
                </c:pt>
                <c:pt idx="515">
                  <c:v>395.83525146208387</c:v>
                </c:pt>
                <c:pt idx="516">
                  <c:v>383.71954061117839</c:v>
                </c:pt>
                <c:pt idx="517">
                  <c:v>371.56933081077528</c:v>
                </c:pt>
                <c:pt idx="518">
                  <c:v>359.38505484020078</c:v>
                </c:pt>
                <c:pt idx="519">
                  <c:v>347.16714316655856</c:v>
                </c:pt>
                <c:pt idx="520">
                  <c:v>334.91602392172854</c:v>
                </c:pt>
                <c:pt idx="521">
                  <c:v>322.63212288014881</c:v>
                </c:pt>
                <c:pt idx="522">
                  <c:v>310.31586343737473</c:v>
                </c:pt>
                <c:pt idx="523">
                  <c:v>297.96766658940697</c:v>
                </c:pt>
                <c:pt idx="524">
                  <c:v>285.58795091278262</c:v>
                </c:pt>
                <c:pt idx="525">
                  <c:v>273.1771325454211</c:v>
                </c:pt>
                <c:pt idx="526">
                  <c:v>260.73562516821806</c:v>
                </c:pt>
                <c:pt idx="527">
                  <c:v>248.26383998737938</c:v>
                </c:pt>
                <c:pt idx="528">
                  <c:v>235.7621857174876</c:v>
                </c:pt>
                <c:pt idx="529">
                  <c:v>223.23106856529313</c:v>
                </c:pt>
                <c:pt idx="530">
                  <c:v>210.67089221422214</c:v>
                </c:pt>
                <c:pt idx="531">
                  <c:v>198.08205780959295</c:v>
                </c:pt>
                <c:pt idx="532">
                  <c:v>185.46496394453311</c:v>
                </c:pt>
                <c:pt idx="533">
                  <c:v>172.82000664658847</c:v>
                </c:pt>
                <c:pt idx="534">
                  <c:v>160.14757936501633</c:v>
                </c:pt>
                <c:pt idx="535">
                  <c:v>147.44807295875384</c:v>
                </c:pt>
                <c:pt idx="536">
                  <c:v>134.72187568505322</c:v>
                </c:pt>
                <c:pt idx="537">
                  <c:v>121.96937318877546</c:v>
                </c:pt>
                <c:pt idx="538">
                  <c:v>109.19094849233339</c:v>
                </c:pt>
                <c:pt idx="539">
                  <c:v>96.386981986275714</c:v>
                </c:pt>
                <c:pt idx="540">
                  <c:v>83.55785142050307</c:v>
                </c:pt>
                <c:pt idx="541">
                  <c:v>70.703931896107321</c:v>
                </c:pt>
                <c:pt idx="542">
                  <c:v>57.825595857825071</c:v>
                </c:pt>
                <c:pt idx="543">
                  <c:v>44.923213087096606</c:v>
                </c:pt>
                <c:pt idx="544">
                  <c:v>31.997150695721189</c:v>
                </c:pt>
                <c:pt idx="545">
                  <c:v>19.047773120099716</c:v>
                </c:pt>
                <c:pt idx="546">
                  <c:v>6.0754421160557044</c:v>
                </c:pt>
                <c:pt idx="547">
                  <c:v>-6.9194832457744635</c:v>
                </c:pt>
                <c:pt idx="548">
                  <c:v>-6.9324893899136759</c:v>
                </c:pt>
                <c:pt idx="549">
                  <c:v>-6.9454955561131708</c:v>
                </c:pt>
                <c:pt idx="550">
                  <c:v>-6.9585017443725965</c:v>
                </c:pt>
                <c:pt idx="551">
                  <c:v>-6.9715079546916021</c:v>
                </c:pt>
                <c:pt idx="552">
                  <c:v>-6.9845141870698351</c:v>
                </c:pt>
                <c:pt idx="553">
                  <c:v>-6.9975204415069445</c:v>
                </c:pt>
                <c:pt idx="554">
                  <c:v>-7.0105267180025779</c:v>
                </c:pt>
                <c:pt idx="555">
                  <c:v>-7.0235330165563843</c:v>
                </c:pt>
                <c:pt idx="556">
                  <c:v>-7.0365393371680121</c:v>
                </c:pt>
                <c:pt idx="557">
                  <c:v>-7.0495456798371094</c:v>
                </c:pt>
                <c:pt idx="558">
                  <c:v>-7.0625520445633247</c:v>
                </c:pt>
                <c:pt idx="559">
                  <c:v>-7.0755584313463071</c:v>
                </c:pt>
                <c:pt idx="560">
                  <c:v>-7.088564840185704</c:v>
                </c:pt>
                <c:pt idx="561">
                  <c:v>-7.1015712710811636</c:v>
                </c:pt>
                <c:pt idx="562">
                  <c:v>-7.1145777240323351</c:v>
                </c:pt>
                <c:pt idx="563">
                  <c:v>-7.1275841990388669</c:v>
                </c:pt>
                <c:pt idx="564">
                  <c:v>-7.1405906961004071</c:v>
                </c:pt>
                <c:pt idx="565">
                  <c:v>-7.1535972152166041</c:v>
                </c:pt>
                <c:pt idx="566">
                  <c:v>-7.1666037563871061</c:v>
                </c:pt>
                <c:pt idx="567">
                  <c:v>-7.1796103196115624</c:v>
                </c:pt>
                <c:pt idx="568">
                  <c:v>-7.1926169048896202</c:v>
                </c:pt>
                <c:pt idx="569">
                  <c:v>-7.2056235122209289</c:v>
                </c:pt>
                <c:pt idx="570">
                  <c:v>-7.2186301416051366</c:v>
                </c:pt>
                <c:pt idx="571">
                  <c:v>-7.2316367930418908</c:v>
                </c:pt>
                <c:pt idx="572">
                  <c:v>-7.2446434665308415</c:v>
                </c:pt>
                <c:pt idx="573">
                  <c:v>-7.257650162071636</c:v>
                </c:pt>
                <c:pt idx="574">
                  <c:v>-7.2706568796639228</c:v>
                </c:pt>
                <c:pt idx="575">
                  <c:v>-7.283663619307351</c:v>
                </c:pt>
                <c:pt idx="576">
                  <c:v>-7.2966703810015687</c:v>
                </c:pt>
                <c:pt idx="577">
                  <c:v>-7.3096771647462244</c:v>
                </c:pt>
                <c:pt idx="578">
                  <c:v>-7.3226839705409663</c:v>
                </c:pt>
                <c:pt idx="579">
                  <c:v>-7.3356907983854427</c:v>
                </c:pt>
                <c:pt idx="580">
                  <c:v>-7.3486976482793027</c:v>
                </c:pt>
                <c:pt idx="581">
                  <c:v>-7.3617045202221947</c:v>
                </c:pt>
                <c:pt idx="582">
                  <c:v>-7.3747114142137669</c:v>
                </c:pt>
                <c:pt idx="583">
                  <c:v>-7.3877183302536675</c:v>
                </c:pt>
                <c:pt idx="584">
                  <c:v>-7.400725268341545</c:v>
                </c:pt>
                <c:pt idx="585">
                  <c:v>-7.4137322284770484</c:v>
                </c:pt>
                <c:pt idx="586">
                  <c:v>-7.4267392106598251</c:v>
                </c:pt>
                <c:pt idx="587">
                  <c:v>-7.4397462148895244</c:v>
                </c:pt>
                <c:pt idx="588">
                  <c:v>-7.4527532411657944</c:v>
                </c:pt>
                <c:pt idx="589">
                  <c:v>-7.4657602894882844</c:v>
                </c:pt>
                <c:pt idx="590">
                  <c:v>-7.4787673598566418</c:v>
                </c:pt>
                <c:pt idx="591">
                  <c:v>-7.4917744522705156</c:v>
                </c:pt>
                <c:pt idx="592">
                  <c:v>-7.5047815667295543</c:v>
                </c:pt>
                <c:pt idx="593">
                  <c:v>-7.5177887032334061</c:v>
                </c:pt>
                <c:pt idx="594">
                  <c:v>-7.5307958617817201</c:v>
                </c:pt>
                <c:pt idx="595">
                  <c:v>-7.5438030423741447</c:v>
                </c:pt>
                <c:pt idx="596">
                  <c:v>-7.5568102450103272</c:v>
                </c:pt>
                <c:pt idx="597">
                  <c:v>-7.5698174696899176</c:v>
                </c:pt>
                <c:pt idx="598">
                  <c:v>-7.5828247164125635</c:v>
                </c:pt>
                <c:pt idx="599">
                  <c:v>-7.5958319851779139</c:v>
                </c:pt>
                <c:pt idx="600">
                  <c:v>-7.6088392759856172</c:v>
                </c:pt>
                <c:pt idx="601">
                  <c:v>-7.6218465888353215</c:v>
                </c:pt>
                <c:pt idx="602">
                  <c:v>-7.6348539237266753</c:v>
                </c:pt>
                <c:pt idx="603">
                  <c:v>-7.6478612806593276</c:v>
                </c:pt>
                <c:pt idx="604">
                  <c:v>-7.6608686596329267</c:v>
                </c:pt>
                <c:pt idx="605">
                  <c:v>-7.673876060647121</c:v>
                </c:pt>
                <c:pt idx="606">
                  <c:v>-7.6868834837015587</c:v>
                </c:pt>
                <c:pt idx="607">
                  <c:v>-7.699890928795889</c:v>
                </c:pt>
                <c:pt idx="608">
                  <c:v>-7.7128983959297601</c:v>
                </c:pt>
                <c:pt idx="609">
                  <c:v>-7.7259058851028204</c:v>
                </c:pt>
                <c:pt idx="610">
                  <c:v>-7.738913396314719</c:v>
                </c:pt>
                <c:pt idx="611">
                  <c:v>-7.7519209295651041</c:v>
                </c:pt>
                <c:pt idx="612">
                  <c:v>-7.7649284848536242</c:v>
                </c:pt>
                <c:pt idx="613">
                  <c:v>-7.7779360621799274</c:v>
                </c:pt>
                <c:pt idx="614">
                  <c:v>-7.7909436615436629</c:v>
                </c:pt>
                <c:pt idx="615">
                  <c:v>-7.803951282944479</c:v>
                </c:pt>
                <c:pt idx="616">
                  <c:v>-7.8169589263820241</c:v>
                </c:pt>
                <c:pt idx="617">
                  <c:v>-7.8299665918559462</c:v>
                </c:pt>
                <c:pt idx="618">
                  <c:v>-7.8429742793658948</c:v>
                </c:pt>
                <c:pt idx="619">
                  <c:v>-7.8559819889115179</c:v>
                </c:pt>
                <c:pt idx="620">
                  <c:v>-7.8689897204924648</c:v>
                </c:pt>
                <c:pt idx="621">
                  <c:v>-7.8819974741083838</c:v>
                </c:pt>
                <c:pt idx="622">
                  <c:v>-7.8950052497589231</c:v>
                </c:pt>
                <c:pt idx="623">
                  <c:v>-7.9080130474437311</c:v>
                </c:pt>
                <c:pt idx="624">
                  <c:v>-7.9210208671624569</c:v>
                </c:pt>
                <c:pt idx="625">
                  <c:v>-7.9340287089147488</c:v>
                </c:pt>
                <c:pt idx="626">
                  <c:v>-7.947036572700255</c:v>
                </c:pt>
                <c:pt idx="627">
                  <c:v>-7.9600444585186247</c:v>
                </c:pt>
                <c:pt idx="628">
                  <c:v>-7.9730523663695063</c:v>
                </c:pt>
                <c:pt idx="629">
                  <c:v>-7.986060296252548</c:v>
                </c:pt>
                <c:pt idx="630">
                  <c:v>-7.9990682481673989</c:v>
                </c:pt>
                <c:pt idx="631">
                  <c:v>-8.0120762221137074</c:v>
                </c:pt>
                <c:pt idx="632">
                  <c:v>-8.0250842180911217</c:v>
                </c:pt>
                <c:pt idx="633">
                  <c:v>-8.0380922360992901</c:v>
                </c:pt>
                <c:pt idx="634">
                  <c:v>-8.0511002761378627</c:v>
                </c:pt>
                <c:pt idx="635">
                  <c:v>-8.0641083382064878</c:v>
                </c:pt>
                <c:pt idx="636">
                  <c:v>-8.0771164223048117</c:v>
                </c:pt>
                <c:pt idx="637">
                  <c:v>-8.0901245284324865</c:v>
                </c:pt>
                <c:pt idx="638">
                  <c:v>-8.1031326565891586</c:v>
                </c:pt>
                <c:pt idx="639">
                  <c:v>-8.1161408067744762</c:v>
                </c:pt>
                <c:pt idx="640">
                  <c:v>-8.1291489789880895</c:v>
                </c:pt>
                <c:pt idx="641">
                  <c:v>-8.1421571732296467</c:v>
                </c:pt>
                <c:pt idx="642">
                  <c:v>-8.1551653894987961</c:v>
                </c:pt>
                <c:pt idx="643">
                  <c:v>-8.168173627795186</c:v>
                </c:pt>
                <c:pt idx="644">
                  <c:v>-8.1811818881184646</c:v>
                </c:pt>
                <c:pt idx="645">
                  <c:v>-8.194190170468282</c:v>
                </c:pt>
                <c:pt idx="646">
                  <c:v>-8.2071984748442848</c:v>
                </c:pt>
                <c:pt idx="647">
                  <c:v>-8.2202068012461229</c:v>
                </c:pt>
                <c:pt idx="648">
                  <c:v>-8.2332151496734447</c:v>
                </c:pt>
                <c:pt idx="649">
                  <c:v>-8.2462235201259002</c:v>
                </c:pt>
                <c:pt idx="650">
                  <c:v>-8.2592319126031359</c:v>
                </c:pt>
                <c:pt idx="651">
                  <c:v>-8.2722403271048019</c:v>
                </c:pt>
                <c:pt idx="652">
                  <c:v>-8.2852487636305465</c:v>
                </c:pt>
                <c:pt idx="653">
                  <c:v>-8.2982572221800179</c:v>
                </c:pt>
                <c:pt idx="654">
                  <c:v>-8.3112657027528645</c:v>
                </c:pt>
                <c:pt idx="655">
                  <c:v>-8.3242742053487362</c:v>
                </c:pt>
                <c:pt idx="656">
                  <c:v>-8.3372827299672814</c:v>
                </c:pt>
                <c:pt idx="657">
                  <c:v>-8.3502912766081465</c:v>
                </c:pt>
                <c:pt idx="658">
                  <c:v>-8.3632998452709835</c:v>
                </c:pt>
                <c:pt idx="659">
                  <c:v>-8.3763084359554387</c:v>
                </c:pt>
                <c:pt idx="660">
                  <c:v>-8.3893170486611623</c:v>
                </c:pt>
                <c:pt idx="661">
                  <c:v>-8.4023256833878008</c:v>
                </c:pt>
                <c:pt idx="662">
                  <c:v>-8.4153343401350043</c:v>
                </c:pt>
                <c:pt idx="663">
                  <c:v>-8.4283430189024227</c:v>
                </c:pt>
                <c:pt idx="664">
                  <c:v>-8.4413517196897025</c:v>
                </c:pt>
                <c:pt idx="665">
                  <c:v>-8.454360442496494</c:v>
                </c:pt>
                <c:pt idx="666">
                  <c:v>-8.4673691873224453</c:v>
                </c:pt>
                <c:pt idx="667">
                  <c:v>-8.4803779541672046</c:v>
                </c:pt>
                <c:pt idx="668">
                  <c:v>-8.4933867430304204</c:v>
                </c:pt>
                <c:pt idx="669">
                  <c:v>-8.5063955539117426</c:v>
                </c:pt>
                <c:pt idx="670">
                  <c:v>-8.5194043868108178</c:v>
                </c:pt>
                <c:pt idx="671">
                  <c:v>-8.532413241727296</c:v>
                </c:pt>
                <c:pt idx="672">
                  <c:v>-8.5454221186608272</c:v>
                </c:pt>
                <c:pt idx="673">
                  <c:v>-8.5584310176110581</c:v>
                </c:pt>
                <c:pt idx="674">
                  <c:v>-8.5714399385776385</c:v>
                </c:pt>
                <c:pt idx="675">
                  <c:v>-8.5844488815602169</c:v>
                </c:pt>
                <c:pt idx="676">
                  <c:v>-8.5974578465584415</c:v>
                </c:pt>
                <c:pt idx="677">
                  <c:v>-8.6104668335719605</c:v>
                </c:pt>
                <c:pt idx="678">
                  <c:v>-8.6234758426004241</c:v>
                </c:pt>
                <c:pt idx="679">
                  <c:v>-8.6364848736434805</c:v>
                </c:pt>
                <c:pt idx="680">
                  <c:v>-8.649493926700778</c:v>
                </c:pt>
                <c:pt idx="681">
                  <c:v>-8.6625030017719666</c:v>
                </c:pt>
                <c:pt idx="682">
                  <c:v>-8.6755120988566929</c:v>
                </c:pt>
                <c:pt idx="683">
                  <c:v>-8.688521217954607</c:v>
                </c:pt>
                <c:pt idx="684">
                  <c:v>-8.701530359065357</c:v>
                </c:pt>
                <c:pt idx="685">
                  <c:v>-8.7145395221885931</c:v>
                </c:pt>
                <c:pt idx="686">
                  <c:v>-8.7275487073239617</c:v>
                </c:pt>
                <c:pt idx="687">
                  <c:v>-8.740557914471113</c:v>
                </c:pt>
                <c:pt idx="688">
                  <c:v>-8.7535671436296951</c:v>
                </c:pt>
                <c:pt idx="689">
                  <c:v>-8.7665763947993582</c:v>
                </c:pt>
                <c:pt idx="690">
                  <c:v>-8.7795856679797488</c:v>
                </c:pt>
                <c:pt idx="691">
                  <c:v>-8.7925949631705169</c:v>
                </c:pt>
                <c:pt idx="692">
                  <c:v>-8.8056042803713126</c:v>
                </c:pt>
                <c:pt idx="693">
                  <c:v>-8.8186136195817824</c:v>
                </c:pt>
                <c:pt idx="694">
                  <c:v>-8.8316229808015763</c:v>
                </c:pt>
                <c:pt idx="695">
                  <c:v>-8.8446323640303426</c:v>
                </c:pt>
                <c:pt idx="696">
                  <c:v>-8.8576417692677296</c:v>
                </c:pt>
                <c:pt idx="697">
                  <c:v>-8.8706511965133856</c:v>
                </c:pt>
                <c:pt idx="698">
                  <c:v>-8.8836606457669607</c:v>
                </c:pt>
                <c:pt idx="699">
                  <c:v>-8.8966701170281031</c:v>
                </c:pt>
                <c:pt idx="700">
                  <c:v>-8.9096796102964628</c:v>
                </c:pt>
                <c:pt idx="701">
                  <c:v>-8.9226891255716865</c:v>
                </c:pt>
                <c:pt idx="702">
                  <c:v>-8.9356986628534241</c:v>
                </c:pt>
                <c:pt idx="703">
                  <c:v>-8.9487082221413239</c:v>
                </c:pt>
                <c:pt idx="704">
                  <c:v>-8.961717803435036</c:v>
                </c:pt>
                <c:pt idx="705">
                  <c:v>-8.9747274067342069</c:v>
                </c:pt>
                <c:pt idx="706">
                  <c:v>-8.9877370320384866</c:v>
                </c:pt>
                <c:pt idx="707">
                  <c:v>-9.0007466793475253</c:v>
                </c:pt>
                <c:pt idx="708">
                  <c:v>-9.0137563486609693</c:v>
                </c:pt>
                <c:pt idx="709">
                  <c:v>-9.0267660399784688</c:v>
                </c:pt>
                <c:pt idx="710">
                  <c:v>-9.0397757532996721</c:v>
                </c:pt>
                <c:pt idx="711">
                  <c:v>-9.0527854886242292</c:v>
                </c:pt>
                <c:pt idx="712">
                  <c:v>-9.0657952459517883</c:v>
                </c:pt>
                <c:pt idx="713">
                  <c:v>-9.0788050252819978</c:v>
                </c:pt>
                <c:pt idx="714">
                  <c:v>-9.091814826614506</c:v>
                </c:pt>
                <c:pt idx="715">
                  <c:v>-9.1048246499489611</c:v>
                </c:pt>
                <c:pt idx="716">
                  <c:v>-9.1178344952850132</c:v>
                </c:pt>
                <c:pt idx="717">
                  <c:v>-9.1308443626223124</c:v>
                </c:pt>
                <c:pt idx="718">
                  <c:v>-9.1438542519605051</c:v>
                </c:pt>
                <c:pt idx="719">
                  <c:v>-9.1568641632992414</c:v>
                </c:pt>
                <c:pt idx="720">
                  <c:v>-9.1698740966381695</c:v>
                </c:pt>
                <c:pt idx="721">
                  <c:v>-9.1828840519769379</c:v>
                </c:pt>
                <c:pt idx="722">
                  <c:v>-9.1958940293151965</c:v>
                </c:pt>
                <c:pt idx="723">
                  <c:v>-9.2089040286525936</c:v>
                </c:pt>
                <c:pt idx="724">
                  <c:v>-9.2219140499887793</c:v>
                </c:pt>
                <c:pt idx="725">
                  <c:v>-9.2349240933234</c:v>
                </c:pt>
                <c:pt idx="726">
                  <c:v>-9.2479341586561059</c:v>
                </c:pt>
                <c:pt idx="727">
                  <c:v>-9.2609442459865452</c:v>
                </c:pt>
                <c:pt idx="728">
                  <c:v>-9.273954355314368</c:v>
                </c:pt>
                <c:pt idx="729">
                  <c:v>-9.2869644866392225</c:v>
                </c:pt>
                <c:pt idx="730">
                  <c:v>-9.299974639960757</c:v>
                </c:pt>
                <c:pt idx="731">
                  <c:v>-9.3129848152786217</c:v>
                </c:pt>
                <c:pt idx="732">
                  <c:v>-9.3259950125924647</c:v>
                </c:pt>
                <c:pt idx="733">
                  <c:v>-9.3390052319019343</c:v>
                </c:pt>
                <c:pt idx="734">
                  <c:v>-9.3520154732066789</c:v>
                </c:pt>
                <c:pt idx="735">
                  <c:v>-9.3650257365063485</c:v>
                </c:pt>
                <c:pt idx="736">
                  <c:v>-9.3780360218005914</c:v>
                </c:pt>
                <c:pt idx="737">
                  <c:v>-9.3910463290890576</c:v>
                </c:pt>
                <c:pt idx="738">
                  <c:v>-9.4040566583713954</c:v>
                </c:pt>
                <c:pt idx="739">
                  <c:v>-9.4170670096472531</c:v>
                </c:pt>
                <c:pt idx="740">
                  <c:v>-9.4300773829162789</c:v>
                </c:pt>
                <c:pt idx="741">
                  <c:v>-9.4430877781781231</c:v>
                </c:pt>
                <c:pt idx="742">
                  <c:v>-9.4560981954324337</c:v>
                </c:pt>
                <c:pt idx="743">
                  <c:v>-9.4691086346788609</c:v>
                </c:pt>
                <c:pt idx="744">
                  <c:v>-9.4821190959170529</c:v>
                </c:pt>
                <c:pt idx="745">
                  <c:v>-9.4951295791466581</c:v>
                </c:pt>
                <c:pt idx="746">
                  <c:v>-9.5081400843673247</c:v>
                </c:pt>
                <c:pt idx="747">
                  <c:v>-9.5211506115787028</c:v>
                </c:pt>
                <c:pt idx="748">
                  <c:v>-9.5341611607804406</c:v>
                </c:pt>
                <c:pt idx="749">
                  <c:v>-9.5471717319721883</c:v>
                </c:pt>
                <c:pt idx="750">
                  <c:v>-9.560182325153594</c:v>
                </c:pt>
                <c:pt idx="751">
                  <c:v>-9.5731929403243061</c:v>
                </c:pt>
                <c:pt idx="752">
                  <c:v>-9.5862035774839747</c:v>
                </c:pt>
                <c:pt idx="753">
                  <c:v>-9.5992142366322479</c:v>
                </c:pt>
                <c:pt idx="754">
                  <c:v>-9.6122249177687742</c:v>
                </c:pt>
                <c:pt idx="755">
                  <c:v>-9.6252356208932035</c:v>
                </c:pt>
                <c:pt idx="756">
                  <c:v>-9.6382463460051842</c:v>
                </c:pt>
                <c:pt idx="757">
                  <c:v>-9.6512570931043644</c:v>
                </c:pt>
                <c:pt idx="758">
                  <c:v>-9.6642678621903944</c:v>
                </c:pt>
                <c:pt idx="759">
                  <c:v>-9.6772786532629222</c:v>
                </c:pt>
                <c:pt idx="760">
                  <c:v>-9.6902894663215982</c:v>
                </c:pt>
                <c:pt idx="761">
                  <c:v>-9.7033003013660686</c:v>
                </c:pt>
                <c:pt idx="762">
                  <c:v>-9.7163111583959854</c:v>
                </c:pt>
                <c:pt idx="763">
                  <c:v>-9.729322037410995</c:v>
                </c:pt>
                <c:pt idx="764">
                  <c:v>-9.7423329384107475</c:v>
                </c:pt>
                <c:pt idx="765">
                  <c:v>-9.7553438613948913</c:v>
                </c:pt>
                <c:pt idx="766">
                  <c:v>-9.7683548063630763</c:v>
                </c:pt>
                <c:pt idx="767">
                  <c:v>-9.7813657733149508</c:v>
                </c:pt>
                <c:pt idx="768">
                  <c:v>-9.794376762250165</c:v>
                </c:pt>
                <c:pt idx="769">
                  <c:v>-9.8073877731683652</c:v>
                </c:pt>
                <c:pt idx="770">
                  <c:v>-9.8203988060692033</c:v>
                </c:pt>
                <c:pt idx="771">
                  <c:v>-9.8334098609523259</c:v>
                </c:pt>
                <c:pt idx="772">
                  <c:v>-9.846420937817383</c:v>
                </c:pt>
                <c:pt idx="773">
                  <c:v>-9.8594320366640247</c:v>
                </c:pt>
                <c:pt idx="774">
                  <c:v>-9.8724431574918974</c:v>
                </c:pt>
                <c:pt idx="775">
                  <c:v>-9.8854543003006512</c:v>
                </c:pt>
                <c:pt idx="776">
                  <c:v>-9.8984654650899362</c:v>
                </c:pt>
                <c:pt idx="777">
                  <c:v>-9.9114766518594006</c:v>
                </c:pt>
                <c:pt idx="778">
                  <c:v>-9.9244878606086928</c:v>
                </c:pt>
                <c:pt idx="779">
                  <c:v>-9.9374990913374628</c:v>
                </c:pt>
                <c:pt idx="780">
                  <c:v>-9.9505103440453588</c:v>
                </c:pt>
                <c:pt idx="781">
                  <c:v>-9.9635216187320292</c:v>
                </c:pt>
                <c:pt idx="782">
                  <c:v>-9.9765329153971241</c:v>
                </c:pt>
                <c:pt idx="783">
                  <c:v>-9.9895442340402916</c:v>
                </c:pt>
                <c:pt idx="784">
                  <c:v>-10.002555574661182</c:v>
                </c:pt>
                <c:pt idx="785">
                  <c:v>-10.015566937259443</c:v>
                </c:pt>
                <c:pt idx="786">
                  <c:v>-10.028578321834724</c:v>
                </c:pt>
                <c:pt idx="787">
                  <c:v>-10.041589728386674</c:v>
                </c:pt>
                <c:pt idx="788">
                  <c:v>-10.054601156914943</c:v>
                </c:pt>
                <c:pt idx="789">
                  <c:v>-10.067612607419179</c:v>
                </c:pt>
                <c:pt idx="790">
                  <c:v>-10.08062407989903</c:v>
                </c:pt>
                <c:pt idx="791">
                  <c:v>-10.093635574354147</c:v>
                </c:pt>
                <c:pt idx="792">
                  <c:v>-10.106647090784179</c:v>
                </c:pt>
                <c:pt idx="793">
                  <c:v>-10.119658629188773</c:v>
                </c:pt>
                <c:pt idx="794">
                  <c:v>-10.13267018956758</c:v>
                </c:pt>
                <c:pt idx="795">
                  <c:v>-10.145681771920248</c:v>
                </c:pt>
                <c:pt idx="796">
                  <c:v>-10.158693376246426</c:v>
                </c:pt>
                <c:pt idx="797">
                  <c:v>-10.171705002545762</c:v>
                </c:pt>
                <c:pt idx="798">
                  <c:v>-10.184716650817908</c:v>
                </c:pt>
                <c:pt idx="799">
                  <c:v>-10.197728321062511</c:v>
                </c:pt>
                <c:pt idx="800">
                  <c:v>-10.210740013279221</c:v>
                </c:pt>
                <c:pt idx="801">
                  <c:v>-10.223751727467686</c:v>
                </c:pt>
                <c:pt idx="802">
                  <c:v>-10.236763463627556</c:v>
                </c:pt>
                <c:pt idx="803">
                  <c:v>-10.249775221758478</c:v>
                </c:pt>
                <c:pt idx="804">
                  <c:v>-10.262787001860103</c:v>
                </c:pt>
                <c:pt idx="805">
                  <c:v>-10.27579880393208</c:v>
                </c:pt>
                <c:pt idx="806">
                  <c:v>-10.288810627974057</c:v>
                </c:pt>
                <c:pt idx="807">
                  <c:v>-10.301822473985684</c:v>
                </c:pt>
                <c:pt idx="808">
                  <c:v>-10.314834341966609</c:v>
                </c:pt>
                <c:pt idx="809">
                  <c:v>-10.327846231916482</c:v>
                </c:pt>
                <c:pt idx="810">
                  <c:v>-10.340858143834952</c:v>
                </c:pt>
                <c:pt idx="811">
                  <c:v>-10.353870077721668</c:v>
                </c:pt>
                <c:pt idx="812">
                  <c:v>-10.366882033576278</c:v>
                </c:pt>
                <c:pt idx="813">
                  <c:v>-10.379894011398433</c:v>
                </c:pt>
                <c:pt idx="814">
                  <c:v>-10.392906011187781</c:v>
                </c:pt>
                <c:pt idx="815">
                  <c:v>-10.405918032943971</c:v>
                </c:pt>
                <c:pt idx="816">
                  <c:v>-10.418930076666653</c:v>
                </c:pt>
                <c:pt idx="817">
                  <c:v>-10.431942142355474</c:v>
                </c:pt>
                <c:pt idx="818">
                  <c:v>-10.444954230010085</c:v>
                </c:pt>
                <c:pt idx="819">
                  <c:v>-10.457966339630135</c:v>
                </c:pt>
                <c:pt idx="820">
                  <c:v>-10.470978471215272</c:v>
                </c:pt>
                <c:pt idx="821">
                  <c:v>-10.483990624765147</c:v>
                </c:pt>
                <c:pt idx="822">
                  <c:v>-10.497002800279407</c:v>
                </c:pt>
                <c:pt idx="823">
                  <c:v>-10.510014997757702</c:v>
                </c:pt>
                <c:pt idx="824">
                  <c:v>-10.523027217199681</c:v>
                </c:pt>
                <c:pt idx="825">
                  <c:v>-10.536039458604993</c:v>
                </c:pt>
                <c:pt idx="826">
                  <c:v>-10.549051721973287</c:v>
                </c:pt>
                <c:pt idx="827">
                  <c:v>-10.562064007304212</c:v>
                </c:pt>
                <c:pt idx="828">
                  <c:v>-10.575076314597418</c:v>
                </c:pt>
                <c:pt idx="829">
                  <c:v>-10.588088643852553</c:v>
                </c:pt>
                <c:pt idx="830">
                  <c:v>-10.601100995069267</c:v>
                </c:pt>
                <c:pt idx="831">
                  <c:v>-10.614113368247208</c:v>
                </c:pt>
                <c:pt idx="832">
                  <c:v>-10.627125763386026</c:v>
                </c:pt>
                <c:pt idx="833">
                  <c:v>-10.640138180485369</c:v>
                </c:pt>
                <c:pt idx="834">
                  <c:v>-10.653150619544888</c:v>
                </c:pt>
                <c:pt idx="835">
                  <c:v>-10.666163080564232</c:v>
                </c:pt>
                <c:pt idx="836">
                  <c:v>-10.679175563543049</c:v>
                </c:pt>
                <c:pt idx="837">
                  <c:v>-10.692188068480988</c:v>
                </c:pt>
                <c:pt idx="838">
                  <c:v>-10.705200595377699</c:v>
                </c:pt>
                <c:pt idx="839">
                  <c:v>-10.718213144232831</c:v>
                </c:pt>
                <c:pt idx="840">
                  <c:v>-10.731225715046032</c:v>
                </c:pt>
                <c:pt idx="841">
                  <c:v>-10.744238307816952</c:v>
                </c:pt>
                <c:pt idx="842">
                  <c:v>-10.757250922545241</c:v>
                </c:pt>
                <c:pt idx="843">
                  <c:v>-10.770263559230546</c:v>
                </c:pt>
                <c:pt idx="844">
                  <c:v>-10.783276217872519</c:v>
                </c:pt>
                <c:pt idx="845">
                  <c:v>-10.796288898470808</c:v>
                </c:pt>
                <c:pt idx="846">
                  <c:v>-10.80930160102506</c:v>
                </c:pt>
                <c:pt idx="847">
                  <c:v>-10.822314325534927</c:v>
                </c:pt>
                <c:pt idx="848">
                  <c:v>-10.835327072000057</c:v>
                </c:pt>
                <c:pt idx="849">
                  <c:v>-10.848339840420099</c:v>
                </c:pt>
                <c:pt idx="850">
                  <c:v>-10.861352630794702</c:v>
                </c:pt>
                <c:pt idx="851">
                  <c:v>-10.874365443123516</c:v>
                </c:pt>
                <c:pt idx="852">
                  <c:v>-10.88737827740619</c:v>
                </c:pt>
                <c:pt idx="853">
                  <c:v>-10.900391133642373</c:v>
                </c:pt>
                <c:pt idx="854">
                  <c:v>-10.913404011831714</c:v>
                </c:pt>
                <c:pt idx="855">
                  <c:v>-10.926416911973863</c:v>
                </c:pt>
                <c:pt idx="856">
                  <c:v>-10.939429834068468</c:v>
                </c:pt>
                <c:pt idx="857">
                  <c:v>-10.952442778115179</c:v>
                </c:pt>
                <c:pt idx="858">
                  <c:v>-10.965455744113644</c:v>
                </c:pt>
                <c:pt idx="859">
                  <c:v>-10.978468732063513</c:v>
                </c:pt>
                <c:pt idx="860">
                  <c:v>-10.991481741964437</c:v>
                </c:pt>
                <c:pt idx="861">
                  <c:v>-11.004494773816061</c:v>
                </c:pt>
                <c:pt idx="862">
                  <c:v>-11.017507827618038</c:v>
                </c:pt>
                <c:pt idx="863">
                  <c:v>-11.030520903370016</c:v>
                </c:pt>
                <c:pt idx="864">
                  <c:v>-11.043534001071643</c:v>
                </c:pt>
                <c:pt idx="865">
                  <c:v>-11.05654712072257</c:v>
                </c:pt>
                <c:pt idx="866">
                  <c:v>-11.069560262322446</c:v>
                </c:pt>
                <c:pt idx="867">
                  <c:v>-11.082573425870919</c:v>
                </c:pt>
                <c:pt idx="868">
                  <c:v>-11.095586611367638</c:v>
                </c:pt>
                <c:pt idx="869">
                  <c:v>-11.108599818812255</c:v>
                </c:pt>
                <c:pt idx="870">
                  <c:v>-11.121613048204416</c:v>
                </c:pt>
                <c:pt idx="871">
                  <c:v>-11.134626299543772</c:v>
                </c:pt>
                <c:pt idx="872">
                  <c:v>-11.147639572829972</c:v>
                </c:pt>
                <c:pt idx="873">
                  <c:v>-11.160652868062664</c:v>
                </c:pt>
                <c:pt idx="874">
                  <c:v>-11.173666185241499</c:v>
                </c:pt>
                <c:pt idx="875">
                  <c:v>-11.186679524366125</c:v>
                </c:pt>
                <c:pt idx="876">
                  <c:v>-11.199692885436193</c:v>
                </c:pt>
                <c:pt idx="877">
                  <c:v>-11.212706268451349</c:v>
                </c:pt>
                <c:pt idx="878">
                  <c:v>-11.225719673411245</c:v>
                </c:pt>
                <c:pt idx="879">
                  <c:v>-11.23873310031553</c:v>
                </c:pt>
                <c:pt idx="880">
                  <c:v>-11.251746549163853</c:v>
                </c:pt>
                <c:pt idx="881">
                  <c:v>-11.264760019955862</c:v>
                </c:pt>
                <c:pt idx="882">
                  <c:v>-11.277773512691207</c:v>
                </c:pt>
                <c:pt idx="883">
                  <c:v>-11.290787027369538</c:v>
                </c:pt>
                <c:pt idx="884">
                  <c:v>-11.303800563990503</c:v>
                </c:pt>
                <c:pt idx="885">
                  <c:v>-11.316814122553753</c:v>
                </c:pt>
                <c:pt idx="886">
                  <c:v>-11.329827703058935</c:v>
                </c:pt>
                <c:pt idx="887">
                  <c:v>-11.342841305505701</c:v>
                </c:pt>
                <c:pt idx="888">
                  <c:v>-11.355854929893699</c:v>
                </c:pt>
                <c:pt idx="889">
                  <c:v>-11.368868576222576</c:v>
                </c:pt>
                <c:pt idx="890">
                  <c:v>-11.381882244491985</c:v>
                </c:pt>
                <c:pt idx="891">
                  <c:v>-11.394895934701573</c:v>
                </c:pt>
                <c:pt idx="892">
                  <c:v>-11.407909646850991</c:v>
                </c:pt>
                <c:pt idx="893">
                  <c:v>-11.420923380939886</c:v>
                </c:pt>
                <c:pt idx="894">
                  <c:v>-11.433937136967909</c:v>
                </c:pt>
                <c:pt idx="895">
                  <c:v>-11.446950914934709</c:v>
                </c:pt>
                <c:pt idx="896">
                  <c:v>-11.459964714839934</c:v>
                </c:pt>
                <c:pt idx="897">
                  <c:v>-11.472978536683234</c:v>
                </c:pt>
                <c:pt idx="898">
                  <c:v>-11.485992380464259</c:v>
                </c:pt>
                <c:pt idx="899">
                  <c:v>-11.499006246182658</c:v>
                </c:pt>
                <c:pt idx="900">
                  <c:v>-11.51202013383808</c:v>
                </c:pt>
                <c:pt idx="901">
                  <c:v>-11.525034043430175</c:v>
                </c:pt>
                <c:pt idx="902">
                  <c:v>-11.538047974958591</c:v>
                </c:pt>
                <c:pt idx="903">
                  <c:v>-11.551061928422978</c:v>
                </c:pt>
                <c:pt idx="904">
                  <c:v>-11.564075903822987</c:v>
                </c:pt>
                <c:pt idx="905">
                  <c:v>-11.577089901158265</c:v>
                </c:pt>
                <c:pt idx="906">
                  <c:v>-11.590103920428461</c:v>
                </c:pt>
                <c:pt idx="907">
                  <c:v>-11.603117961633227</c:v>
                </c:pt>
                <c:pt idx="908">
                  <c:v>-11.61613202477221</c:v>
                </c:pt>
                <c:pt idx="909">
                  <c:v>-11.62914610984506</c:v>
                </c:pt>
                <c:pt idx="910">
                  <c:v>-11.642160216851426</c:v>
                </c:pt>
                <c:pt idx="911">
                  <c:v>-11.655174345790957</c:v>
                </c:pt>
                <c:pt idx="912">
                  <c:v>-11.668188496663305</c:v>
                </c:pt>
                <c:pt idx="913">
                  <c:v>-11.681202669468115</c:v>
                </c:pt>
                <c:pt idx="914">
                  <c:v>-11.694216864205041</c:v>
                </c:pt>
                <c:pt idx="915">
                  <c:v>-11.707231080873729</c:v>
                </c:pt>
                <c:pt idx="916">
                  <c:v>-11.720245319473829</c:v>
                </c:pt>
                <c:pt idx="917">
                  <c:v>-11.733259580004992</c:v>
                </c:pt>
                <c:pt idx="918">
                  <c:v>-11.746273862466865</c:v>
                </c:pt>
                <c:pt idx="919">
                  <c:v>-11.759288166859099</c:v>
                </c:pt>
                <c:pt idx="920">
                  <c:v>-11.772302493181343</c:v>
                </c:pt>
                <c:pt idx="921">
                  <c:v>-11.785316841433245</c:v>
                </c:pt>
                <c:pt idx="922">
                  <c:v>-11.798331211614455</c:v>
                </c:pt>
                <c:pt idx="923">
                  <c:v>-11.811345603724623</c:v>
                </c:pt>
                <c:pt idx="924">
                  <c:v>-11.8243600177634</c:v>
                </c:pt>
                <c:pt idx="925">
                  <c:v>-11.837374453730433</c:v>
                </c:pt>
                <c:pt idx="926">
                  <c:v>-11.850388911625371</c:v>
                </c:pt>
                <c:pt idx="927">
                  <c:v>-11.863403391447866</c:v>
                </c:pt>
                <c:pt idx="928">
                  <c:v>-11.876417893197564</c:v>
                </c:pt>
                <c:pt idx="929">
                  <c:v>-11.889432416874117</c:v>
                </c:pt>
                <c:pt idx="930">
                  <c:v>-11.902446962477173</c:v>
                </c:pt>
                <c:pt idx="931">
                  <c:v>-11.915461530006382</c:v>
                </c:pt>
                <c:pt idx="932">
                  <c:v>-11.928476119461394</c:v>
                </c:pt>
                <c:pt idx="933">
                  <c:v>-11.941490730841856</c:v>
                </c:pt>
                <c:pt idx="934">
                  <c:v>-11.954505364147421</c:v>
                </c:pt>
                <c:pt idx="935">
                  <c:v>-11.967520019377735</c:v>
                </c:pt>
                <c:pt idx="936">
                  <c:v>-11.98053469653245</c:v>
                </c:pt>
                <c:pt idx="937">
                  <c:v>-11.993549395611213</c:v>
                </c:pt>
                <c:pt idx="938">
                  <c:v>-12.006564116613674</c:v>
                </c:pt>
                <c:pt idx="939">
                  <c:v>-12.019578859539484</c:v>
                </c:pt>
                <c:pt idx="940">
                  <c:v>-12.032593624388291</c:v>
                </c:pt>
                <c:pt idx="941">
                  <c:v>-12.045608411159744</c:v>
                </c:pt>
                <c:pt idx="942">
                  <c:v>-12.058623219853494</c:v>
                </c:pt>
                <c:pt idx="943">
                  <c:v>-12.07163805046919</c:v>
                </c:pt>
                <c:pt idx="944">
                  <c:v>-12.08465290300648</c:v>
                </c:pt>
                <c:pt idx="945">
                  <c:v>-12.097667777465016</c:v>
                </c:pt>
                <c:pt idx="946">
                  <c:v>-12.110682673844446</c:v>
                </c:pt>
                <c:pt idx="947">
                  <c:v>-12.123697592144419</c:v>
                </c:pt>
                <c:pt idx="948">
                  <c:v>-12.136712532364584</c:v>
                </c:pt>
                <c:pt idx="949">
                  <c:v>-12.149727494504591</c:v>
                </c:pt>
                <c:pt idx="950">
                  <c:v>-12.162742478564089</c:v>
                </c:pt>
                <c:pt idx="951">
                  <c:v>-12.17575748454273</c:v>
                </c:pt>
                <c:pt idx="952">
                  <c:v>-12.188772512440162</c:v>
                </c:pt>
                <c:pt idx="953">
                  <c:v>-12.201787562256031</c:v>
                </c:pt>
                <c:pt idx="954">
                  <c:v>-12.214802633989992</c:v>
                </c:pt>
                <c:pt idx="955">
                  <c:v>-12.227817727641691</c:v>
                </c:pt>
                <c:pt idx="956">
                  <c:v>-12.240832843210779</c:v>
                </c:pt>
                <c:pt idx="957">
                  <c:v>-12.253847980696904</c:v>
                </c:pt>
                <c:pt idx="958">
                  <c:v>-12.266863140099716</c:v>
                </c:pt>
                <c:pt idx="959">
                  <c:v>-12.279878321418865</c:v>
                </c:pt>
                <c:pt idx="960">
                  <c:v>-12.292893524654</c:v>
                </c:pt>
                <c:pt idx="961">
                  <c:v>-12.30590874980477</c:v>
                </c:pt>
                <c:pt idx="962">
                  <c:v>-12.318923996870826</c:v>
                </c:pt>
                <c:pt idx="963">
                  <c:v>-12.331939265851815</c:v>
                </c:pt>
                <c:pt idx="964">
                  <c:v>-12.344954556747389</c:v>
                </c:pt>
                <c:pt idx="965">
                  <c:v>-12.357969869557197</c:v>
                </c:pt>
                <c:pt idx="966">
                  <c:v>-12.370985204280887</c:v>
                </c:pt>
                <c:pt idx="967">
                  <c:v>-12.384000560918109</c:v>
                </c:pt>
                <c:pt idx="968">
                  <c:v>-12.397015939468513</c:v>
                </c:pt>
                <c:pt idx="969">
                  <c:v>-12.410031339931749</c:v>
                </c:pt>
                <c:pt idx="970">
                  <c:v>-12.423046762307465</c:v>
                </c:pt>
                <c:pt idx="971">
                  <c:v>-12.436062206595311</c:v>
                </c:pt>
                <c:pt idx="972">
                  <c:v>-12.449077672794939</c:v>
                </c:pt>
                <c:pt idx="973">
                  <c:v>-12.462093160905996</c:v>
                </c:pt>
                <c:pt idx="974">
                  <c:v>-12.475108670928131</c:v>
                </c:pt>
                <c:pt idx="975">
                  <c:v>-12.488124202860995</c:v>
                </c:pt>
                <c:pt idx="976">
                  <c:v>-12.501139756704235</c:v>
                </c:pt>
                <c:pt idx="977">
                  <c:v>-12.514155332457504</c:v>
                </c:pt>
                <c:pt idx="978">
                  <c:v>-12.52717093012045</c:v>
                </c:pt>
                <c:pt idx="979">
                  <c:v>-12.540186549692722</c:v>
                </c:pt>
                <c:pt idx="980">
                  <c:v>-12.55320219117397</c:v>
                </c:pt>
                <c:pt idx="981">
                  <c:v>-12.566217854563844</c:v>
                </c:pt>
                <c:pt idx="982">
                  <c:v>-12.579233539861992</c:v>
                </c:pt>
                <c:pt idx="983">
                  <c:v>-12.592249247068064</c:v>
                </c:pt>
                <c:pt idx="984">
                  <c:v>-12.605264976181711</c:v>
                </c:pt>
                <c:pt idx="985">
                  <c:v>-12.618280727202581</c:v>
                </c:pt>
                <c:pt idx="986">
                  <c:v>-12.631296500130324</c:v>
                </c:pt>
                <c:pt idx="987">
                  <c:v>-12.644312294964589</c:v>
                </c:pt>
                <c:pt idx="988">
                  <c:v>-12.657328111705027</c:v>
                </c:pt>
                <c:pt idx="989">
                  <c:v>-12.670343950351286</c:v>
                </c:pt>
                <c:pt idx="990">
                  <c:v>-12.683359810903017</c:v>
                </c:pt>
                <c:pt idx="991">
                  <c:v>-12.696375693359869</c:v>
                </c:pt>
                <c:pt idx="992">
                  <c:v>-12.70939159772149</c:v>
                </c:pt>
                <c:pt idx="993">
                  <c:v>-12.722407523987531</c:v>
                </c:pt>
                <c:pt idx="994">
                  <c:v>-12.735423472157642</c:v>
                </c:pt>
                <c:pt idx="995">
                  <c:v>-12.748439442231472</c:v>
                </c:pt>
                <c:pt idx="996">
                  <c:v>-12.761455434208671</c:v>
                </c:pt>
                <c:pt idx="997">
                  <c:v>-12.774471448088887</c:v>
                </c:pt>
                <c:pt idx="998">
                  <c:v>-12.78748748387177</c:v>
                </c:pt>
                <c:pt idx="999">
                  <c:v>-12.800503541556971</c:v>
                </c:pt>
                <c:pt idx="1000">
                  <c:v>-12.813519621144138</c:v>
                </c:pt>
              </c:numCache>
            </c:numRef>
          </c:yVal>
          <c:smooth val="0"/>
          <c:extLst>
            <c:ext xmlns:c16="http://schemas.microsoft.com/office/drawing/2014/chart" uri="{C3380CC4-5D6E-409C-BE32-E72D297353CC}">
              <c16:uniqueId val="{00000001-B5CC-4BD6-9E0D-EA30945FB569}"/>
            </c:ext>
          </c:extLst>
        </c:ser>
        <c:dLbls>
          <c:showLegendKey val="0"/>
          <c:showVal val="0"/>
          <c:showCatName val="0"/>
          <c:showSerName val="0"/>
          <c:showPercent val="0"/>
          <c:showBubbleSize val="0"/>
        </c:dLbls>
        <c:axId val="149619072"/>
        <c:axId val="149620992"/>
      </c:scatterChart>
      <c:valAx>
        <c:axId val="149619072"/>
        <c:scaling>
          <c:orientation val="minMax"/>
        </c:scaling>
        <c:delete val="0"/>
        <c:axPos val="b"/>
        <c:majorGridlines>
          <c:spPr>
            <a:ln w="3175">
              <a:solidFill>
                <a:srgbClr val="000000"/>
              </a:solidFill>
              <a:prstDash val="sysDash"/>
            </a:ln>
          </c:spPr>
        </c:majorGridlines>
        <c:title>
          <c:tx>
            <c:strRef>
              <c:f>Courbes!$B$146</c:f>
              <c:strCache>
                <c:ptCount val="1"/>
                <c:pt idx="0">
                  <c:v>Temps [s]</c:v>
                </c:pt>
              </c:strCache>
            </c:strRef>
          </c:tx>
          <c:overlay val="0"/>
          <c:txPr>
            <a:bodyPr/>
            <a:lstStyle/>
            <a:p>
              <a:pPr>
                <a:defRPr sz="1000" b="0" i="0" u="none" strike="noStrike" baseline="0">
                  <a:solidFill>
                    <a:srgbClr val="000000"/>
                  </a:solidFill>
                  <a:latin typeface="Arial"/>
                  <a:ea typeface="Arial"/>
                  <a:cs typeface="Arial"/>
                </a:defRPr>
              </a:pPr>
              <a:endParaRPr lang="fr-FR"/>
            </a:p>
          </c:tx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620992"/>
        <c:crosses val="autoZero"/>
        <c:crossBetween val="midCat"/>
      </c:valAx>
      <c:valAx>
        <c:axId val="149620992"/>
        <c:scaling>
          <c:orientation val="minMax"/>
          <c:min val="0"/>
        </c:scaling>
        <c:delete val="0"/>
        <c:axPos val="l"/>
        <c:majorGridlines>
          <c:spPr>
            <a:ln w="3175">
              <a:solidFill>
                <a:srgbClr val="000000"/>
              </a:solidFill>
              <a:prstDash val="sysDash"/>
            </a:ln>
          </c:spPr>
        </c:majorGridlines>
        <c:title>
          <c:tx>
            <c:rich>
              <a:bodyPr/>
              <a:lstStyle/>
              <a:p>
                <a:pPr>
                  <a:defRPr sz="1175" b="1" i="0" u="none" strike="noStrike" baseline="0">
                    <a:solidFill>
                      <a:srgbClr val="000000"/>
                    </a:solidFill>
                    <a:latin typeface="Arial"/>
                    <a:ea typeface="Arial"/>
                    <a:cs typeface="Arial"/>
                  </a:defRPr>
                </a:pPr>
                <a:r>
                  <a:rPr lang="fr-FR"/>
                  <a:t>Positions [m]</a:t>
                </a:r>
              </a:p>
            </c:rich>
          </c:tx>
          <c:layout>
            <c:manualLayout>
              <c:xMode val="edge"/>
              <c:yMode val="edge"/>
              <c:x val="2.0047169811320761E-2"/>
              <c:y val="0.3006547681539808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fr-FR"/>
          </a:p>
        </c:txPr>
        <c:crossAx val="149619072"/>
        <c:crosses val="autoZero"/>
        <c:crossBetween val="midCat"/>
      </c:valAx>
      <c:spPr>
        <a:noFill/>
        <a:ln w="12700">
          <a:solidFill>
            <a:srgbClr val="808080"/>
          </a:solidFill>
          <a:prstDash val="solid"/>
        </a:ln>
      </c:spPr>
    </c:plotArea>
    <c:legend>
      <c:legendPos val="r"/>
      <c:layout>
        <c:manualLayout>
          <c:xMode val="edge"/>
          <c:yMode val="edge"/>
          <c:x val="0.8286169712276531"/>
          <c:y val="0.4888892388451444"/>
          <c:w val="0.13679257663546773"/>
          <c:h val="0.15777777777777779"/>
        </c:manualLayout>
      </c:layout>
      <c:overlay val="0"/>
      <c:spPr>
        <a:solidFill>
          <a:srgbClr val="FFFFFF"/>
        </a:solidFill>
        <a:ln w="3175">
          <a:solidFill>
            <a:srgbClr val="000000"/>
          </a:solidFill>
          <a:prstDash val="solid"/>
        </a:ln>
      </c:spPr>
      <c:txPr>
        <a:bodyPr/>
        <a:lstStyle/>
        <a:p>
          <a:pPr>
            <a:defRPr sz="970" b="0" i="0" u="none" strike="noStrike" baseline="0">
              <a:solidFill>
                <a:srgbClr val="000000"/>
              </a:solidFill>
              <a:latin typeface="Arial"/>
              <a:ea typeface="Arial"/>
              <a:cs typeface="Arial"/>
            </a:defRPr>
          </a:pPr>
          <a:endParaRPr lang="fr-FR"/>
        </a:p>
      </c:txPr>
    </c:legend>
    <c:plotVisOnly val="0"/>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Propu!$A$2</c:f>
          <c:strCache>
            <c:ptCount val="1"/>
            <c:pt idx="0">
              <c:v>Pro54-5G WT</c:v>
            </c:pt>
          </c:strCache>
        </c:strRef>
      </c:tx>
      <c:layout>
        <c:manualLayout>
          <c:xMode val="edge"/>
          <c:yMode val="edge"/>
          <c:x val="0.47127077646762688"/>
          <c:y val="3.9178592393174498E-2"/>
        </c:manualLayout>
      </c:layout>
      <c:overlay val="0"/>
      <c:txPr>
        <a:bodyPr/>
        <a:lstStyle/>
        <a:p>
          <a:pPr>
            <a:defRPr sz="1200" b="0" i="0" u="none" strike="noStrike" baseline="0">
              <a:solidFill>
                <a:srgbClr val="000000"/>
              </a:solidFill>
              <a:latin typeface="Arial"/>
              <a:ea typeface="Arial"/>
              <a:cs typeface="Arial"/>
            </a:defRPr>
          </a:pPr>
          <a:endParaRPr lang="fr-FR"/>
        </a:p>
      </c:txPr>
    </c:title>
    <c:autoTitleDeleted val="0"/>
    <c:plotArea>
      <c:layout>
        <c:manualLayout>
          <c:layoutTarget val="inner"/>
          <c:xMode val="edge"/>
          <c:yMode val="edge"/>
          <c:x val="7.2496559551677733E-2"/>
          <c:y val="5.5426586068345711E-2"/>
          <c:w val="0.88973722710617964"/>
          <c:h val="0.82390179871348956"/>
        </c:manualLayout>
      </c:layout>
      <c:scatterChart>
        <c:scatterStyle val="lineMarker"/>
        <c:varyColors val="0"/>
        <c:ser>
          <c:idx val="0"/>
          <c:order val="0"/>
          <c:tx>
            <c:strRef>
              <c:f>Propu!$A$4</c:f>
              <c:strCache>
                <c:ptCount val="1"/>
                <c:pt idx="0">
                  <c:v>Poussée (en N)</c:v>
                </c:pt>
              </c:strCache>
            </c:strRef>
          </c:tx>
          <c:spPr>
            <a:ln w="25400">
              <a:solidFill>
                <a:srgbClr val="004586"/>
              </a:solidFill>
              <a:prstDash val="solid"/>
            </a:ln>
          </c:spPr>
          <c:marker>
            <c:symbol val="square"/>
            <c:size val="4"/>
            <c:spPr>
              <a:solidFill>
                <a:srgbClr val="004586"/>
              </a:solidFill>
              <a:ln>
                <a:solidFill>
                  <a:srgbClr val="004586"/>
                </a:solidFill>
                <a:prstDash val="solid"/>
              </a:ln>
            </c:spPr>
          </c:marker>
          <c:xVal>
            <c:numRef>
              <c:f>Propu!$B$3:$X$3</c:f>
              <c:numCache>
                <c:formatCode>General</c:formatCode>
                <c:ptCount val="23"/>
                <c:pt idx="0">
                  <c:v>0</c:v>
                </c:pt>
                <c:pt idx="1">
                  <c:v>0.01</c:v>
                </c:pt>
                <c:pt idx="2">
                  <c:v>0.02</c:v>
                </c:pt>
                <c:pt idx="3">
                  <c:v>0.05</c:v>
                </c:pt>
                <c:pt idx="4">
                  <c:v>0.1</c:v>
                </c:pt>
                <c:pt idx="5">
                  <c:v>0.2</c:v>
                </c:pt>
                <c:pt idx="6">
                  <c:v>0.4</c:v>
                </c:pt>
                <c:pt idx="7">
                  <c:v>0.8</c:v>
                </c:pt>
                <c:pt idx="8">
                  <c:v>0.9</c:v>
                </c:pt>
                <c:pt idx="9">
                  <c:v>1</c:v>
                </c:pt>
                <c:pt idx="10">
                  <c:v>1.1000000000000001</c:v>
                </c:pt>
                <c:pt idx="11">
                  <c:v>1.2</c:v>
                </c:pt>
                <c:pt idx="12">
                  <c:v>1.3</c:v>
                </c:pt>
                <c:pt idx="13">
                  <c:v>1.4</c:v>
                </c:pt>
                <c:pt idx="14">
                  <c:v>1.55</c:v>
                </c:pt>
                <c:pt idx="15">
                  <c:v>1.6</c:v>
                </c:pt>
                <c:pt idx="16">
                  <c:v>1.62</c:v>
                </c:pt>
                <c:pt idx="17">
                  <c:v>1.64</c:v>
                </c:pt>
                <c:pt idx="18">
                  <c:v>1.66</c:v>
                </c:pt>
                <c:pt idx="19">
                  <c:v>1.67</c:v>
                </c:pt>
                <c:pt idx="20">
                  <c:v>1.68</c:v>
                </c:pt>
                <c:pt idx="21">
                  <c:v>1.69</c:v>
                </c:pt>
                <c:pt idx="22">
                  <c:v>1.7</c:v>
                </c:pt>
              </c:numCache>
            </c:numRef>
          </c:xVal>
          <c:yVal>
            <c:numRef>
              <c:f>Propu!$B$4:$X$4</c:f>
              <c:numCache>
                <c:formatCode>General</c:formatCode>
                <c:ptCount val="23"/>
                <c:pt idx="0">
                  <c:v>0</c:v>
                </c:pt>
                <c:pt idx="1">
                  <c:v>492.25</c:v>
                </c:pt>
                <c:pt idx="2">
                  <c:v>1369.46</c:v>
                </c:pt>
                <c:pt idx="3">
                  <c:v>1236.01</c:v>
                </c:pt>
                <c:pt idx="4">
                  <c:v>1279.47</c:v>
                </c:pt>
                <c:pt idx="5">
                  <c:v>1311.39</c:v>
                </c:pt>
                <c:pt idx="6">
                  <c:v>1331.39</c:v>
                </c:pt>
                <c:pt idx="7">
                  <c:v>1304.08</c:v>
                </c:pt>
                <c:pt idx="8">
                  <c:v>1280.6199999999999</c:v>
                </c:pt>
                <c:pt idx="9">
                  <c:v>1249.8599999999999</c:v>
                </c:pt>
                <c:pt idx="10">
                  <c:v>1217.94</c:v>
                </c:pt>
                <c:pt idx="11">
                  <c:v>1199.29</c:v>
                </c:pt>
                <c:pt idx="12">
                  <c:v>1158.77</c:v>
                </c:pt>
                <c:pt idx="13">
                  <c:v>1112.56</c:v>
                </c:pt>
                <c:pt idx="14">
                  <c:v>941.81</c:v>
                </c:pt>
                <c:pt idx="15">
                  <c:v>726.07</c:v>
                </c:pt>
                <c:pt idx="16">
                  <c:v>559.16999999999996</c:v>
                </c:pt>
                <c:pt idx="17">
                  <c:v>399.95</c:v>
                </c:pt>
                <c:pt idx="18">
                  <c:v>317.66000000000003</c:v>
                </c:pt>
                <c:pt idx="19">
                  <c:v>247.28</c:v>
                </c:pt>
                <c:pt idx="20">
                  <c:v>198.05</c:v>
                </c:pt>
                <c:pt idx="21">
                  <c:v>67.3</c:v>
                </c:pt>
                <c:pt idx="22">
                  <c:v>0</c:v>
                </c:pt>
              </c:numCache>
            </c:numRef>
          </c:yVal>
          <c:smooth val="0"/>
          <c:extLst>
            <c:ext xmlns:c16="http://schemas.microsoft.com/office/drawing/2014/chart" uri="{C3380CC4-5D6E-409C-BE32-E72D297353CC}">
              <c16:uniqueId val="{00000000-8EF7-4299-9A20-8D075AE9918F}"/>
            </c:ext>
          </c:extLst>
        </c:ser>
        <c:dLbls>
          <c:showLegendKey val="0"/>
          <c:showVal val="0"/>
          <c:showCatName val="0"/>
          <c:showSerName val="0"/>
          <c:showPercent val="0"/>
          <c:showBubbleSize val="0"/>
        </c:dLbls>
        <c:axId val="193428480"/>
        <c:axId val="193451520"/>
      </c:scatterChart>
      <c:valAx>
        <c:axId val="193428480"/>
        <c:scaling>
          <c:orientation val="minMax"/>
        </c:scaling>
        <c:delete val="0"/>
        <c:axPos val="b"/>
        <c:majorGridlines>
          <c:spPr>
            <a:ln w="3175">
              <a:solidFill>
                <a:srgbClr val="B3B3B3"/>
              </a:solidFill>
              <a:prstDash val="sysDash"/>
            </a:ln>
          </c:spPr>
        </c:majorGridlines>
        <c:title>
          <c:tx>
            <c:rich>
              <a:bodyPr/>
              <a:lstStyle/>
              <a:p>
                <a:pPr>
                  <a:defRPr sz="1000" b="0" i="0" u="none" strike="noStrike" baseline="0">
                    <a:solidFill>
                      <a:srgbClr val="000000"/>
                    </a:solidFill>
                    <a:latin typeface="Arial"/>
                    <a:ea typeface="Arial"/>
                    <a:cs typeface="Arial"/>
                  </a:defRPr>
                </a:pPr>
                <a:r>
                  <a:rPr lang="fr-FR"/>
                  <a:t>Temps / Time [s]</a:t>
                </a:r>
              </a:p>
            </c:rich>
          </c:tx>
          <c:layout>
            <c:manualLayout>
              <c:xMode val="edge"/>
              <c:yMode val="edge"/>
              <c:x val="0.78665554917523417"/>
              <c:y val="0.68868125417484782"/>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1000" b="0" i="0" u="none" strike="noStrike" baseline="0">
                <a:solidFill>
                  <a:srgbClr val="000000"/>
                </a:solidFill>
                <a:latin typeface="Arial"/>
                <a:ea typeface="Arial"/>
                <a:cs typeface="Arial"/>
              </a:defRPr>
            </a:pPr>
            <a:endParaRPr lang="fr-FR"/>
          </a:p>
        </c:txPr>
        <c:crossAx val="193451520"/>
        <c:crosses val="autoZero"/>
        <c:crossBetween val="midCat"/>
      </c:valAx>
      <c:valAx>
        <c:axId val="193451520"/>
        <c:scaling>
          <c:orientation val="minMax"/>
        </c:scaling>
        <c:delete val="0"/>
        <c:axPos val="l"/>
        <c:majorGridlines>
          <c:spPr>
            <a:ln w="3175">
              <a:solidFill>
                <a:srgbClr val="B3B3B3"/>
              </a:solidFill>
              <a:prstDash val="sysDash"/>
            </a:ln>
          </c:spPr>
        </c:majorGridlines>
        <c:title>
          <c:tx>
            <c:rich>
              <a:bodyPr/>
              <a:lstStyle/>
              <a:p>
                <a:pPr>
                  <a:defRPr sz="1000" b="0" i="0" u="none" strike="noStrike" baseline="0">
                    <a:solidFill>
                      <a:srgbClr val="000000"/>
                    </a:solidFill>
                    <a:latin typeface="Arial"/>
                    <a:ea typeface="Arial"/>
                    <a:cs typeface="Arial"/>
                  </a:defRPr>
                </a:pPr>
                <a:r>
                  <a:rPr lang="fr-FR"/>
                  <a:t>Poussée / Thrust [N]</a:t>
                </a:r>
              </a:p>
            </c:rich>
          </c:tx>
          <c:layout>
            <c:manualLayout>
              <c:xMode val="edge"/>
              <c:yMode val="edge"/>
              <c:x val="8.5144147191391295E-2"/>
              <c:y val="0.3532765216687245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1000" b="0" i="0" u="none" strike="noStrike" baseline="0">
                <a:solidFill>
                  <a:srgbClr val="000000"/>
                </a:solidFill>
                <a:latin typeface="Arial"/>
                <a:ea typeface="Arial"/>
                <a:cs typeface="Arial"/>
              </a:defRPr>
            </a:pPr>
            <a:endParaRPr lang="fr-FR"/>
          </a:p>
        </c:txPr>
        <c:crossAx val="193428480"/>
        <c:crosses val="autoZero"/>
        <c:crossBetween val="midCat"/>
      </c:valAx>
      <c:spPr>
        <a:noFill/>
        <a:ln w="3175">
          <a:solidFill>
            <a:srgbClr val="B3B3B3"/>
          </a:solidFill>
          <a:prstDash val="solid"/>
        </a:ln>
      </c:spPr>
    </c:plotArea>
    <c:plotVisOnly val="0"/>
    <c:dispBlanksAs val="gap"/>
    <c:showDLblsOverMax val="0"/>
  </c:chart>
  <c:spPr>
    <a:solidFill>
      <a:srgbClr val="FFFFFF"/>
    </a:solidFill>
    <a:ln w="9525">
      <a:noFill/>
    </a:ln>
  </c:spPr>
  <c:txPr>
    <a:bodyPr/>
    <a:lstStyle/>
    <a:p>
      <a:pPr>
        <a:defRPr sz="1200" b="0" i="0" u="none" strike="noStrike" baseline="0">
          <a:solidFill>
            <a:srgbClr val="000000"/>
          </a:solidFill>
          <a:latin typeface="Arial"/>
          <a:ea typeface="Arial"/>
          <a:cs typeface="Arial"/>
        </a:defRPr>
      </a:pPr>
      <a:endParaRPr lang="fr-FR"/>
    </a:p>
  </c:txPr>
  <c:printSettings>
    <c:headerFooter alignWithMargins="0"/>
    <c:pageMargins b="0.98425196899999956" l="0.78740157499999996" r="0.78740157499999996" t="0.98425196899999956" header="0.51180555555555562" footer="0.51180555555555562"/>
    <c:pageSetup firstPageNumber="0" orientation="landscape" horizontalDpi="1200" verticalDpi="12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Abaco!$B$77</c:f>
          <c:strCache>
            <c:ptCount val="1"/>
            <c:pt idx="0">
              <c:v>Vitesse max / Masse totale</c:v>
            </c:pt>
          </c:strCache>
        </c:strRef>
      </c:tx>
      <c:layout>
        <c:manualLayout>
          <c:xMode val="edge"/>
          <c:yMode val="edge"/>
          <c:x val="0.32580555555555563"/>
          <c:y val="3.2407484861159096E-2"/>
        </c:manualLayout>
      </c:layout>
      <c:overlay val="1"/>
      <c:txPr>
        <a:bodyPr/>
        <a:lstStyle/>
        <a:p>
          <a:pPr>
            <a:defRPr sz="1800" b="1"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0.13612729658792738"/>
          <c:y val="5.1400554097404488E-2"/>
          <c:w val="0.81367125984251965"/>
          <c:h val="0.8326195683872849"/>
        </c:manualLayout>
      </c:layout>
      <c:scatterChart>
        <c:scatterStyle val="lineMarker"/>
        <c:varyColors val="0"/>
        <c:ser>
          <c:idx val="0"/>
          <c:order val="0"/>
          <c:tx>
            <c:strRef>
              <c:f>Abaco!$B$43</c:f>
              <c:strCache>
                <c:ptCount val="1"/>
                <c:pt idx="0">
                  <c:v>Ø = 54 mm</c:v>
                </c:pt>
              </c:strCache>
            </c:strRef>
          </c:tx>
          <c:xVal>
            <c:numRef>
              <c:f>Abaco!$D$43:$D$51</c:f>
              <c:numCache>
                <c:formatCode>General\ "kg"</c:formatCode>
                <c:ptCount val="9"/>
                <c:pt idx="0">
                  <c:v>1.6319999999999999</c:v>
                </c:pt>
                <c:pt idx="1">
                  <c:v>3.2569999999999997</c:v>
                </c:pt>
                <c:pt idx="2">
                  <c:v>4.8819999999999997</c:v>
                </c:pt>
                <c:pt idx="3">
                  <c:v>6.5069999999999997</c:v>
                </c:pt>
                <c:pt idx="4">
                  <c:v>8.1319999999999997</c:v>
                </c:pt>
                <c:pt idx="5">
                  <c:v>9.7569999999999997</c:v>
                </c:pt>
                <c:pt idx="6">
                  <c:v>11.382</c:v>
                </c:pt>
                <c:pt idx="7">
                  <c:v>13.007</c:v>
                </c:pt>
                <c:pt idx="8">
                  <c:v>14.632</c:v>
                </c:pt>
              </c:numCache>
            </c:numRef>
          </c:xVal>
          <c:yVal>
            <c:numRef>
              <c:f>Abaco!$K$43:$K$51</c:f>
              <c:numCache>
                <c:formatCode>General" m/s"</c:formatCode>
                <c:ptCount val="9"/>
                <c:pt idx="0">
                  <c:v>1059.1052405465541</c:v>
                </c:pt>
                <c:pt idx="1">
                  <c:v>630.79610743970238</c:v>
                </c:pt>
                <c:pt idx="2">
                  <c:v>418.65196882477528</c:v>
                </c:pt>
                <c:pt idx="3">
                  <c:v>307.81729304749655</c:v>
                </c:pt>
                <c:pt idx="4">
                  <c:v>241.16452236128376</c:v>
                </c:pt>
                <c:pt idx="5">
                  <c:v>196.96312368528825</c:v>
                </c:pt>
                <c:pt idx="6">
                  <c:v>165.59173246301069</c:v>
                </c:pt>
                <c:pt idx="7">
                  <c:v>142.2041362281544</c:v>
                </c:pt>
                <c:pt idx="8">
                  <c:v>124.1101998213542</c:v>
                </c:pt>
              </c:numCache>
            </c:numRef>
          </c:yVal>
          <c:smooth val="0"/>
          <c:extLst>
            <c:ext xmlns:c16="http://schemas.microsoft.com/office/drawing/2014/chart" uri="{C3380CC4-5D6E-409C-BE32-E72D297353CC}">
              <c16:uniqueId val="{00000000-8857-4FF4-B70E-166DFD57E3E3}"/>
            </c:ext>
          </c:extLst>
        </c:ser>
        <c:ser>
          <c:idx val="1"/>
          <c:order val="1"/>
          <c:tx>
            <c:strRef>
              <c:f>Abaco!$B$52</c:f>
              <c:strCache>
                <c:ptCount val="1"/>
                <c:pt idx="0">
                  <c:v>Ø = 94 mm</c:v>
                </c:pt>
              </c:strCache>
            </c:strRef>
          </c:tx>
          <c:xVal>
            <c:numRef>
              <c:f>Abaco!$D$52:$D$60</c:f>
              <c:numCache>
                <c:formatCode>General\ "kg"</c:formatCode>
                <c:ptCount val="9"/>
                <c:pt idx="0">
                  <c:v>1.6319999999999999</c:v>
                </c:pt>
                <c:pt idx="1">
                  <c:v>3.2569999999999997</c:v>
                </c:pt>
                <c:pt idx="2">
                  <c:v>4.8819999999999997</c:v>
                </c:pt>
                <c:pt idx="3">
                  <c:v>6.5069999999999997</c:v>
                </c:pt>
                <c:pt idx="4">
                  <c:v>8.1319999999999997</c:v>
                </c:pt>
                <c:pt idx="5">
                  <c:v>9.7569999999999997</c:v>
                </c:pt>
                <c:pt idx="6">
                  <c:v>11.382</c:v>
                </c:pt>
                <c:pt idx="7">
                  <c:v>13.007</c:v>
                </c:pt>
                <c:pt idx="8">
                  <c:v>14.632</c:v>
                </c:pt>
              </c:numCache>
            </c:numRef>
          </c:xVal>
          <c:yVal>
            <c:numRef>
              <c:f>Abaco!$K$52:$K$60</c:f>
              <c:numCache>
                <c:formatCode>General" m/s"</c:formatCode>
                <c:ptCount val="9"/>
                <c:pt idx="0">
                  <c:v>667.73720698761201</c:v>
                </c:pt>
                <c:pt idx="1">
                  <c:v>525.06174290884053</c:v>
                </c:pt>
                <c:pt idx="2">
                  <c:v>384.46319970037212</c:v>
                </c:pt>
                <c:pt idx="3">
                  <c:v>293.55995228667354</c:v>
                </c:pt>
                <c:pt idx="4">
                  <c:v>234.09728483296954</c:v>
                </c:pt>
                <c:pt idx="5">
                  <c:v>193.02279790338014</c:v>
                </c:pt>
                <c:pt idx="6">
                  <c:v>163.20310270545301</c:v>
                </c:pt>
                <c:pt idx="7">
                  <c:v>140.66341973227421</c:v>
                </c:pt>
                <c:pt idx="8">
                  <c:v>123.06788117734355</c:v>
                </c:pt>
              </c:numCache>
            </c:numRef>
          </c:yVal>
          <c:smooth val="0"/>
          <c:extLst>
            <c:ext xmlns:c16="http://schemas.microsoft.com/office/drawing/2014/chart" uri="{C3380CC4-5D6E-409C-BE32-E72D297353CC}">
              <c16:uniqueId val="{00000001-8857-4FF4-B70E-166DFD57E3E3}"/>
            </c:ext>
          </c:extLst>
        </c:ser>
        <c:ser>
          <c:idx val="2"/>
          <c:order val="2"/>
          <c:tx>
            <c:strRef>
              <c:f>Abaco!$B$61</c:f>
              <c:strCache>
                <c:ptCount val="1"/>
                <c:pt idx="0">
                  <c:v>Ø = 141 mm</c:v>
                </c:pt>
              </c:strCache>
            </c:strRef>
          </c:tx>
          <c:xVal>
            <c:numRef>
              <c:f>Abaco!$D$61:$D$69</c:f>
              <c:numCache>
                <c:formatCode>General\ "kg"</c:formatCode>
                <c:ptCount val="9"/>
                <c:pt idx="0">
                  <c:v>1.6319999999999999</c:v>
                </c:pt>
                <c:pt idx="1">
                  <c:v>3.2569999999999997</c:v>
                </c:pt>
                <c:pt idx="2">
                  <c:v>4.8819999999999997</c:v>
                </c:pt>
                <c:pt idx="3">
                  <c:v>6.5069999999999997</c:v>
                </c:pt>
                <c:pt idx="4">
                  <c:v>8.1319999999999997</c:v>
                </c:pt>
                <c:pt idx="5">
                  <c:v>9.7569999999999997</c:v>
                </c:pt>
                <c:pt idx="6">
                  <c:v>11.382</c:v>
                </c:pt>
                <c:pt idx="7">
                  <c:v>13.007</c:v>
                </c:pt>
                <c:pt idx="8">
                  <c:v>14.632</c:v>
                </c:pt>
              </c:numCache>
            </c:numRef>
          </c:xVal>
          <c:yVal>
            <c:numRef>
              <c:f>Abaco!$K$61:$K$69</c:f>
              <c:numCache>
                <c:formatCode>General" m/s"</c:formatCode>
                <c:ptCount val="9"/>
                <c:pt idx="0">
                  <c:v>450.02509899304169</c:v>
                </c:pt>
                <c:pt idx="1">
                  <c:v>410.76244729966055</c:v>
                </c:pt>
                <c:pt idx="2">
                  <c:v>335.84716368772894</c:v>
                </c:pt>
                <c:pt idx="3">
                  <c:v>270.80246687763793</c:v>
                </c:pt>
                <c:pt idx="4">
                  <c:v>222.1596045531553</c:v>
                </c:pt>
                <c:pt idx="5">
                  <c:v>186.15557596729406</c:v>
                </c:pt>
                <c:pt idx="6">
                  <c:v>158.96082854710428</c:v>
                </c:pt>
                <c:pt idx="7">
                  <c:v>137.89347917553934</c:v>
                </c:pt>
                <c:pt idx="8">
                  <c:v>121.17835417754087</c:v>
                </c:pt>
              </c:numCache>
            </c:numRef>
          </c:yVal>
          <c:smooth val="0"/>
          <c:extLst>
            <c:ext xmlns:c16="http://schemas.microsoft.com/office/drawing/2014/chart" uri="{C3380CC4-5D6E-409C-BE32-E72D297353CC}">
              <c16:uniqueId val="{00000002-8857-4FF4-B70E-166DFD57E3E3}"/>
            </c:ext>
          </c:extLst>
        </c:ser>
        <c:dLbls>
          <c:showLegendKey val="0"/>
          <c:showVal val="0"/>
          <c:showCatName val="0"/>
          <c:showSerName val="0"/>
          <c:showPercent val="0"/>
          <c:showBubbleSize val="0"/>
        </c:dLbls>
        <c:axId val="193467904"/>
        <c:axId val="193469824"/>
      </c:scatterChart>
      <c:valAx>
        <c:axId val="193467904"/>
        <c:scaling>
          <c:orientation val="minMax"/>
        </c:scaling>
        <c:delete val="0"/>
        <c:axPos val="b"/>
        <c:majorGridlines/>
        <c:title>
          <c:tx>
            <c:strRef>
              <c:f>Abaco!$B$75</c:f>
              <c:strCache>
                <c:ptCount val="1"/>
                <c:pt idx="0">
                  <c:v>Masse totale</c:v>
                </c:pt>
              </c:strCache>
            </c:strRef>
          </c:tx>
          <c:layout>
            <c:manualLayout>
              <c:xMode val="edge"/>
              <c:yMode val="edge"/>
              <c:x val="0.25133792650918629"/>
              <c:y val="0.80923605680929611"/>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 &quot;kg&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469824"/>
        <c:crosses val="autoZero"/>
        <c:crossBetween val="midCat"/>
      </c:valAx>
      <c:valAx>
        <c:axId val="193469824"/>
        <c:scaling>
          <c:orientation val="minMax"/>
        </c:scaling>
        <c:delete val="0"/>
        <c:axPos val="l"/>
        <c:majorGridlines/>
        <c:title>
          <c:tx>
            <c:strRef>
              <c:f>Abaco!$B$76</c:f>
              <c:strCache>
                <c:ptCount val="1"/>
                <c:pt idx="0">
                  <c:v>Vitesse max</c:v>
                </c:pt>
              </c:strCache>
            </c:strRef>
          </c:tx>
          <c:layout>
            <c:manualLayout>
              <c:xMode val="edge"/>
              <c:yMode val="edge"/>
              <c:x val="0.14166666666666666"/>
              <c:y val="5.803422378207343E-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quot; m/s&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467904"/>
        <c:crosses val="autoZero"/>
        <c:crossBetween val="midCat"/>
      </c:valAx>
    </c:plotArea>
    <c:legend>
      <c:legendPos val="r"/>
      <c:layout>
        <c:manualLayout>
          <c:xMode val="edge"/>
          <c:yMode val="edge"/>
          <c:x val="0.71944466316710431"/>
          <c:y val="0.18706733829172051"/>
          <c:w val="0.20833333333333343"/>
          <c:h val="0.24711352766816386"/>
        </c:manualLayout>
      </c:layout>
      <c:overlay val="0"/>
      <c:spPr>
        <a:solidFill>
          <a:schemeClr val="bg1"/>
        </a:solidFill>
      </c:spPr>
      <c:txPr>
        <a:bodyPr/>
        <a:lstStyle/>
        <a:p>
          <a:pPr>
            <a:defRPr sz="920" b="0" i="0" u="none" strike="noStrike" baseline="0">
              <a:solidFill>
                <a:srgbClr val="000000"/>
              </a:solidFill>
              <a:latin typeface="Calibri"/>
              <a:ea typeface="Calibri"/>
              <a:cs typeface="Calibri"/>
            </a:defRPr>
          </a:pPr>
          <a:endParaRPr lang="fr-F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fr-FR"/>
    </a:p>
  </c:txPr>
  <c:printSettings>
    <c:headerFooter/>
    <c:pageMargins b="0.750000000000002" l="0.70000000000000062" r="0.70000000000000062" t="0.750000000000002"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Abaco!$B$79</c:f>
          <c:strCache>
            <c:ptCount val="1"/>
            <c:pt idx="0">
              <c:v>Altitude max / Masse totale</c:v>
            </c:pt>
          </c:strCache>
        </c:strRef>
      </c:tx>
      <c:layout>
        <c:manualLayout>
          <c:xMode val="edge"/>
          <c:yMode val="edge"/>
          <c:x val="0.32580555555555563"/>
          <c:y val="3.2407517456544362E-2"/>
        </c:manualLayout>
      </c:layout>
      <c:overlay val="1"/>
      <c:txPr>
        <a:bodyPr/>
        <a:lstStyle/>
        <a:p>
          <a:pPr>
            <a:defRPr sz="1800" b="1"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0.13612729658792738"/>
          <c:y val="5.1400554097404488E-2"/>
          <c:w val="0.81367125984251965"/>
          <c:h val="0.8326195683872849"/>
        </c:manualLayout>
      </c:layout>
      <c:scatterChart>
        <c:scatterStyle val="lineMarker"/>
        <c:varyColors val="0"/>
        <c:ser>
          <c:idx val="0"/>
          <c:order val="0"/>
          <c:tx>
            <c:strRef>
              <c:f>Abaco!$B$43</c:f>
              <c:strCache>
                <c:ptCount val="1"/>
                <c:pt idx="0">
                  <c:v>Ø = 54 mm</c:v>
                </c:pt>
              </c:strCache>
            </c:strRef>
          </c:tx>
          <c:xVal>
            <c:numRef>
              <c:f>Abaco!$D$43:$D$51</c:f>
              <c:numCache>
                <c:formatCode>General\ "kg"</c:formatCode>
                <c:ptCount val="9"/>
                <c:pt idx="0">
                  <c:v>1.6319999999999999</c:v>
                </c:pt>
                <c:pt idx="1">
                  <c:v>3.2569999999999997</c:v>
                </c:pt>
                <c:pt idx="2">
                  <c:v>4.8819999999999997</c:v>
                </c:pt>
                <c:pt idx="3">
                  <c:v>6.5069999999999997</c:v>
                </c:pt>
                <c:pt idx="4">
                  <c:v>8.1319999999999997</c:v>
                </c:pt>
                <c:pt idx="5">
                  <c:v>9.7569999999999997</c:v>
                </c:pt>
                <c:pt idx="6">
                  <c:v>11.382</c:v>
                </c:pt>
                <c:pt idx="7">
                  <c:v>13.007</c:v>
                </c:pt>
                <c:pt idx="8">
                  <c:v>14.632</c:v>
                </c:pt>
              </c:numCache>
            </c:numRef>
          </c:xVal>
          <c:yVal>
            <c:numRef>
              <c:f>Abaco!$L$43:$L$51</c:f>
              <c:numCache>
                <c:formatCode>General" m"</c:formatCode>
                <c:ptCount val="9"/>
                <c:pt idx="0">
                  <c:v>3061.3138476180256</c:v>
                </c:pt>
                <c:pt idx="1">
                  <c:v>4314.2487438262588</c:v>
                </c:pt>
                <c:pt idx="2">
                  <c:v>4025.1039904559757</c:v>
                </c:pt>
                <c:pt idx="3">
                  <c:v>3234.5193608322843</c:v>
                </c:pt>
                <c:pt idx="4">
                  <c:v>2455.1495184790774</c:v>
                </c:pt>
                <c:pt idx="5">
                  <c:v>1844.6450051743229</c:v>
                </c:pt>
                <c:pt idx="6">
                  <c:v>1401.1871875608322</c:v>
                </c:pt>
                <c:pt idx="7">
                  <c:v>1083.9898373539156</c:v>
                </c:pt>
                <c:pt idx="8">
                  <c:v>855.08171296428986</c:v>
                </c:pt>
              </c:numCache>
            </c:numRef>
          </c:yVal>
          <c:smooth val="0"/>
          <c:extLst>
            <c:ext xmlns:c16="http://schemas.microsoft.com/office/drawing/2014/chart" uri="{C3380CC4-5D6E-409C-BE32-E72D297353CC}">
              <c16:uniqueId val="{00000000-7047-4687-B7C4-0BB054548F22}"/>
            </c:ext>
          </c:extLst>
        </c:ser>
        <c:ser>
          <c:idx val="1"/>
          <c:order val="1"/>
          <c:tx>
            <c:strRef>
              <c:f>Abaco!$B$52</c:f>
              <c:strCache>
                <c:ptCount val="1"/>
                <c:pt idx="0">
                  <c:v>Ø = 94 mm</c:v>
                </c:pt>
              </c:strCache>
            </c:strRef>
          </c:tx>
          <c:xVal>
            <c:numRef>
              <c:f>Abaco!$D$52:$D$60</c:f>
              <c:numCache>
                <c:formatCode>General\ "kg"</c:formatCode>
                <c:ptCount val="9"/>
                <c:pt idx="0">
                  <c:v>1.6319999999999999</c:v>
                </c:pt>
                <c:pt idx="1">
                  <c:v>3.2569999999999997</c:v>
                </c:pt>
                <c:pt idx="2">
                  <c:v>4.8819999999999997</c:v>
                </c:pt>
                <c:pt idx="3">
                  <c:v>6.5069999999999997</c:v>
                </c:pt>
                <c:pt idx="4">
                  <c:v>8.1319999999999997</c:v>
                </c:pt>
                <c:pt idx="5">
                  <c:v>9.7569999999999997</c:v>
                </c:pt>
                <c:pt idx="6">
                  <c:v>11.382</c:v>
                </c:pt>
                <c:pt idx="7">
                  <c:v>13.007</c:v>
                </c:pt>
                <c:pt idx="8">
                  <c:v>14.632</c:v>
                </c:pt>
              </c:numCache>
            </c:numRef>
          </c:xVal>
          <c:yVal>
            <c:numRef>
              <c:f>Abaco!$L$52:$L$60</c:f>
              <c:numCache>
                <c:formatCode>General" m"</c:formatCode>
                <c:ptCount val="9"/>
                <c:pt idx="0">
                  <c:v>1502.4025672946093</c:v>
                </c:pt>
                <c:pt idx="1">
                  <c:v>2066.5681709651171</c:v>
                </c:pt>
                <c:pt idx="2">
                  <c:v>2171.6508500716486</c:v>
                </c:pt>
                <c:pt idx="3">
                  <c:v>2013.7357630176978</c:v>
                </c:pt>
                <c:pt idx="4">
                  <c:v>1739.9936346661259</c:v>
                </c:pt>
                <c:pt idx="5">
                  <c:v>1446.0914961819631</c:v>
                </c:pt>
                <c:pt idx="6">
                  <c:v>1180.7359283652427</c:v>
                </c:pt>
                <c:pt idx="7">
                  <c:v>960.08173421164781</c:v>
                </c:pt>
                <c:pt idx="8">
                  <c:v>783.52324994274829</c:v>
                </c:pt>
              </c:numCache>
            </c:numRef>
          </c:yVal>
          <c:smooth val="0"/>
          <c:extLst>
            <c:ext xmlns:c16="http://schemas.microsoft.com/office/drawing/2014/chart" uri="{C3380CC4-5D6E-409C-BE32-E72D297353CC}">
              <c16:uniqueId val="{00000001-7047-4687-B7C4-0BB054548F22}"/>
            </c:ext>
          </c:extLst>
        </c:ser>
        <c:ser>
          <c:idx val="2"/>
          <c:order val="2"/>
          <c:tx>
            <c:strRef>
              <c:f>Abaco!$B$61</c:f>
              <c:strCache>
                <c:ptCount val="1"/>
                <c:pt idx="0">
                  <c:v>Ø = 141 mm</c:v>
                </c:pt>
              </c:strCache>
            </c:strRef>
          </c:tx>
          <c:xVal>
            <c:numRef>
              <c:f>Abaco!$D$61:$D$69</c:f>
              <c:numCache>
                <c:formatCode>General\ "kg"</c:formatCode>
                <c:ptCount val="9"/>
                <c:pt idx="0">
                  <c:v>1.6319999999999999</c:v>
                </c:pt>
                <c:pt idx="1">
                  <c:v>3.2569999999999997</c:v>
                </c:pt>
                <c:pt idx="2">
                  <c:v>4.8819999999999997</c:v>
                </c:pt>
                <c:pt idx="3">
                  <c:v>6.5069999999999997</c:v>
                </c:pt>
                <c:pt idx="4">
                  <c:v>8.1319999999999997</c:v>
                </c:pt>
                <c:pt idx="5">
                  <c:v>9.7569999999999997</c:v>
                </c:pt>
                <c:pt idx="6">
                  <c:v>11.382</c:v>
                </c:pt>
                <c:pt idx="7">
                  <c:v>13.007</c:v>
                </c:pt>
                <c:pt idx="8">
                  <c:v>14.632</c:v>
                </c:pt>
              </c:numCache>
            </c:numRef>
          </c:xVal>
          <c:yVal>
            <c:numRef>
              <c:f>Abaco!$L$61:$L$69</c:f>
              <c:numCache>
                <c:formatCode>General" m"</c:formatCode>
                <c:ptCount val="9"/>
                <c:pt idx="0">
                  <c:v>923.12655666836997</c:v>
                </c:pt>
                <c:pt idx="1">
                  <c:v>1198.3321720768479</c:v>
                </c:pt>
                <c:pt idx="2">
                  <c:v>1304.9664288331119</c:v>
                </c:pt>
                <c:pt idx="3">
                  <c:v>1292.9779489308189</c:v>
                </c:pt>
                <c:pt idx="4">
                  <c:v>1205.4698760600727</c:v>
                </c:pt>
                <c:pt idx="5">
                  <c:v>1078.7277876058754</c:v>
                </c:pt>
                <c:pt idx="6">
                  <c:v>939.70175577638986</c:v>
                </c:pt>
                <c:pt idx="7">
                  <c:v>805.53005189951273</c:v>
                </c:pt>
                <c:pt idx="8">
                  <c:v>685.0192539896143</c:v>
                </c:pt>
              </c:numCache>
            </c:numRef>
          </c:yVal>
          <c:smooth val="0"/>
          <c:extLst>
            <c:ext xmlns:c16="http://schemas.microsoft.com/office/drawing/2014/chart" uri="{C3380CC4-5D6E-409C-BE32-E72D297353CC}">
              <c16:uniqueId val="{00000002-7047-4687-B7C4-0BB054548F22}"/>
            </c:ext>
          </c:extLst>
        </c:ser>
        <c:dLbls>
          <c:showLegendKey val="0"/>
          <c:showVal val="0"/>
          <c:showCatName val="0"/>
          <c:showSerName val="0"/>
          <c:showPercent val="0"/>
          <c:showBubbleSize val="0"/>
        </c:dLbls>
        <c:axId val="193512576"/>
        <c:axId val="193514496"/>
      </c:scatterChart>
      <c:valAx>
        <c:axId val="193512576"/>
        <c:scaling>
          <c:orientation val="minMax"/>
        </c:scaling>
        <c:delete val="0"/>
        <c:axPos val="b"/>
        <c:majorGridlines/>
        <c:title>
          <c:tx>
            <c:strRef>
              <c:f>Abaco!$B$75</c:f>
              <c:strCache>
                <c:ptCount val="1"/>
                <c:pt idx="0">
                  <c:v>Masse totale</c:v>
                </c:pt>
              </c:strCache>
            </c:strRef>
          </c:tx>
          <c:layout>
            <c:manualLayout>
              <c:xMode val="edge"/>
              <c:yMode val="edge"/>
              <c:x val="0.25133792650918629"/>
              <c:y val="0.8092359976229385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 &quot;kg&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514496"/>
        <c:crosses val="autoZero"/>
        <c:crossBetween val="midCat"/>
      </c:valAx>
      <c:valAx>
        <c:axId val="193514496"/>
        <c:scaling>
          <c:orientation val="minMax"/>
        </c:scaling>
        <c:delete val="0"/>
        <c:axPos val="l"/>
        <c:majorGridlines/>
        <c:title>
          <c:tx>
            <c:strRef>
              <c:f>Abaco!$B$78</c:f>
              <c:strCache>
                <c:ptCount val="1"/>
                <c:pt idx="0">
                  <c:v>Altitude max</c:v>
                </c:pt>
              </c:strCache>
            </c:strRef>
          </c:tx>
          <c:layout>
            <c:manualLayout>
              <c:xMode val="edge"/>
              <c:yMode val="edge"/>
              <c:x val="0.14166666666666666"/>
              <c:y val="5.8034467389689502E-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quot; m&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3512576"/>
        <c:crosses val="autoZero"/>
        <c:crossBetween val="midCat"/>
      </c:valAx>
    </c:plotArea>
    <c:legend>
      <c:legendPos val="r"/>
      <c:layout>
        <c:manualLayout>
          <c:xMode val="edge"/>
          <c:yMode val="edge"/>
          <c:x val="0.71944466316710431"/>
          <c:y val="0.18396263556678061"/>
          <c:w val="0.20833333333333343"/>
          <c:h val="0.25235886198187502"/>
        </c:manualLayout>
      </c:layout>
      <c:overlay val="0"/>
      <c:spPr>
        <a:solidFill>
          <a:schemeClr val="bg1"/>
        </a:solidFill>
      </c:spPr>
      <c:txPr>
        <a:bodyPr/>
        <a:lstStyle/>
        <a:p>
          <a:pPr>
            <a:defRPr sz="920" b="0" i="0" u="none" strike="noStrike" baseline="0">
              <a:solidFill>
                <a:srgbClr val="000000"/>
              </a:solidFill>
              <a:latin typeface="Calibri"/>
              <a:ea typeface="Calibri"/>
              <a:cs typeface="Calibri"/>
            </a:defRPr>
          </a:pPr>
          <a:endParaRPr lang="fr-F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fr-FR"/>
    </a:p>
  </c:txPr>
  <c:printSettings>
    <c:headerFooter/>
    <c:pageMargins b="0.750000000000002" l="0.70000000000000062" r="0.70000000000000062" t="0.750000000000002"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Abaco!$B$81</c:f>
          <c:strCache>
            <c:ptCount val="1"/>
            <c:pt idx="0">
              <c:v>Temps de culmination / Masse totale</c:v>
            </c:pt>
          </c:strCache>
        </c:strRef>
      </c:tx>
      <c:layout>
        <c:manualLayout>
          <c:xMode val="edge"/>
          <c:yMode val="edge"/>
          <c:x val="0.18369438576275529"/>
          <c:y val="3.2407517456544362E-2"/>
        </c:manualLayout>
      </c:layout>
      <c:overlay val="1"/>
      <c:txPr>
        <a:bodyPr/>
        <a:lstStyle/>
        <a:p>
          <a:pPr>
            <a:defRPr sz="1800" b="1" i="0" u="none" strike="noStrike" baseline="0">
              <a:solidFill>
                <a:srgbClr val="000000"/>
              </a:solidFill>
              <a:latin typeface="Calibri"/>
              <a:ea typeface="Calibri"/>
              <a:cs typeface="Calibri"/>
            </a:defRPr>
          </a:pPr>
          <a:endParaRPr lang="fr-FR"/>
        </a:p>
      </c:txPr>
    </c:title>
    <c:autoTitleDeleted val="0"/>
    <c:plotArea>
      <c:layout>
        <c:manualLayout>
          <c:layoutTarget val="inner"/>
          <c:xMode val="edge"/>
          <c:yMode val="edge"/>
          <c:x val="0.13612729658792738"/>
          <c:y val="5.1400554097404488E-2"/>
          <c:w val="0.81367125984251965"/>
          <c:h val="0.8326195683872849"/>
        </c:manualLayout>
      </c:layout>
      <c:scatterChart>
        <c:scatterStyle val="lineMarker"/>
        <c:varyColors val="0"/>
        <c:ser>
          <c:idx val="0"/>
          <c:order val="0"/>
          <c:tx>
            <c:strRef>
              <c:f>Abaco!$B$43</c:f>
              <c:strCache>
                <c:ptCount val="1"/>
                <c:pt idx="0">
                  <c:v>Ø = 54 mm</c:v>
                </c:pt>
              </c:strCache>
            </c:strRef>
          </c:tx>
          <c:xVal>
            <c:numRef>
              <c:f>Abaco!$D$43:$D$51</c:f>
              <c:numCache>
                <c:formatCode>General\ "kg"</c:formatCode>
                <c:ptCount val="9"/>
                <c:pt idx="0">
                  <c:v>1.6319999999999999</c:v>
                </c:pt>
                <c:pt idx="1">
                  <c:v>3.2569999999999997</c:v>
                </c:pt>
                <c:pt idx="2">
                  <c:v>4.8819999999999997</c:v>
                </c:pt>
                <c:pt idx="3">
                  <c:v>6.5069999999999997</c:v>
                </c:pt>
                <c:pt idx="4">
                  <c:v>8.1319999999999997</c:v>
                </c:pt>
                <c:pt idx="5">
                  <c:v>9.7569999999999997</c:v>
                </c:pt>
                <c:pt idx="6">
                  <c:v>11.382</c:v>
                </c:pt>
                <c:pt idx="7">
                  <c:v>13.007</c:v>
                </c:pt>
                <c:pt idx="8">
                  <c:v>14.632</c:v>
                </c:pt>
              </c:numCache>
            </c:numRef>
          </c:xVal>
          <c:yVal>
            <c:numRef>
              <c:f>Abaco!$M$43:$M$51</c:f>
              <c:numCache>
                <c:formatCode>General" s"</c:formatCode>
                <c:ptCount val="9"/>
                <c:pt idx="0">
                  <c:v>14.909619717772436</c:v>
                </c:pt>
                <c:pt idx="1">
                  <c:v>23.580547642769027</c:v>
                </c:pt>
                <c:pt idx="2">
                  <c:v>25.601717345792686</c:v>
                </c:pt>
                <c:pt idx="3">
                  <c:v>24.498857351651274</c:v>
                </c:pt>
                <c:pt idx="4">
                  <c:v>22.180121072374057</c:v>
                </c:pt>
                <c:pt idx="5">
                  <c:v>19.695770047160899</c:v>
                </c:pt>
                <c:pt idx="6">
                  <c:v>17.456082606921775</c:v>
                </c:pt>
                <c:pt idx="7">
                  <c:v>15.553438903761432</c:v>
                </c:pt>
                <c:pt idx="8">
                  <c:v>13.965301371294112</c:v>
                </c:pt>
              </c:numCache>
            </c:numRef>
          </c:yVal>
          <c:smooth val="0"/>
          <c:extLst>
            <c:ext xmlns:c16="http://schemas.microsoft.com/office/drawing/2014/chart" uri="{C3380CC4-5D6E-409C-BE32-E72D297353CC}">
              <c16:uniqueId val="{00000000-DDCF-44BB-899F-3EC11CCF873C}"/>
            </c:ext>
          </c:extLst>
        </c:ser>
        <c:ser>
          <c:idx val="1"/>
          <c:order val="1"/>
          <c:tx>
            <c:strRef>
              <c:f>Abaco!$B$52</c:f>
              <c:strCache>
                <c:ptCount val="1"/>
                <c:pt idx="0">
                  <c:v>Ø = 94 mm</c:v>
                </c:pt>
              </c:strCache>
            </c:strRef>
          </c:tx>
          <c:xVal>
            <c:numRef>
              <c:f>Abaco!$D$52:$D$60</c:f>
              <c:numCache>
                <c:formatCode>General\ "kg"</c:formatCode>
                <c:ptCount val="9"/>
                <c:pt idx="0">
                  <c:v>1.6319999999999999</c:v>
                </c:pt>
                <c:pt idx="1">
                  <c:v>3.2569999999999997</c:v>
                </c:pt>
                <c:pt idx="2">
                  <c:v>4.8819999999999997</c:v>
                </c:pt>
                <c:pt idx="3">
                  <c:v>6.5069999999999997</c:v>
                </c:pt>
                <c:pt idx="4">
                  <c:v>8.1319999999999997</c:v>
                </c:pt>
                <c:pt idx="5">
                  <c:v>9.7569999999999997</c:v>
                </c:pt>
                <c:pt idx="6">
                  <c:v>11.382</c:v>
                </c:pt>
                <c:pt idx="7">
                  <c:v>13.007</c:v>
                </c:pt>
                <c:pt idx="8">
                  <c:v>14.632</c:v>
                </c:pt>
              </c:numCache>
            </c:numRef>
          </c:xVal>
          <c:yVal>
            <c:numRef>
              <c:f>Abaco!$M$52:$M$60</c:f>
              <c:numCache>
                <c:formatCode>General" s"</c:formatCode>
                <c:ptCount val="9"/>
                <c:pt idx="0">
                  <c:v>9.3254871286303569</c:v>
                </c:pt>
                <c:pt idx="1">
                  <c:v>14.997456085008023</c:v>
                </c:pt>
                <c:pt idx="2">
                  <c:v>17.461188056998584</c:v>
                </c:pt>
                <c:pt idx="3">
                  <c:v>18.193194804014148</c:v>
                </c:pt>
                <c:pt idx="4">
                  <c:v>17.834927092124428</c:v>
                </c:pt>
                <c:pt idx="5">
                  <c:v>16.871151246410776</c:v>
                </c:pt>
                <c:pt idx="6">
                  <c:v>15.653910833025884</c:v>
                </c:pt>
                <c:pt idx="7">
                  <c:v>14.398244212002972</c:v>
                </c:pt>
                <c:pt idx="8">
                  <c:v>13.212454025698165</c:v>
                </c:pt>
              </c:numCache>
            </c:numRef>
          </c:yVal>
          <c:smooth val="0"/>
          <c:extLst>
            <c:ext xmlns:c16="http://schemas.microsoft.com/office/drawing/2014/chart" uri="{C3380CC4-5D6E-409C-BE32-E72D297353CC}">
              <c16:uniqueId val="{00000001-DDCF-44BB-899F-3EC11CCF873C}"/>
            </c:ext>
          </c:extLst>
        </c:ser>
        <c:ser>
          <c:idx val="2"/>
          <c:order val="2"/>
          <c:tx>
            <c:strRef>
              <c:f>Abaco!$B$61</c:f>
              <c:strCache>
                <c:ptCount val="1"/>
                <c:pt idx="0">
                  <c:v>Ø = 141 mm</c:v>
                </c:pt>
              </c:strCache>
            </c:strRef>
          </c:tx>
          <c:xVal>
            <c:numRef>
              <c:f>Abaco!$D$61:$D$69</c:f>
              <c:numCache>
                <c:formatCode>General\ "kg"</c:formatCode>
                <c:ptCount val="9"/>
                <c:pt idx="0">
                  <c:v>1.6319999999999999</c:v>
                </c:pt>
                <c:pt idx="1">
                  <c:v>3.2569999999999997</c:v>
                </c:pt>
                <c:pt idx="2">
                  <c:v>4.8819999999999997</c:v>
                </c:pt>
                <c:pt idx="3">
                  <c:v>6.5069999999999997</c:v>
                </c:pt>
                <c:pt idx="4">
                  <c:v>8.1319999999999997</c:v>
                </c:pt>
                <c:pt idx="5">
                  <c:v>9.7569999999999997</c:v>
                </c:pt>
                <c:pt idx="6">
                  <c:v>11.382</c:v>
                </c:pt>
                <c:pt idx="7">
                  <c:v>13.007</c:v>
                </c:pt>
                <c:pt idx="8">
                  <c:v>14.632</c:v>
                </c:pt>
              </c:numCache>
            </c:numRef>
          </c:xVal>
          <c:yVal>
            <c:numRef>
              <c:f>Abaco!$M$61:$M$69</c:f>
              <c:numCache>
                <c:formatCode>General" s"</c:formatCode>
                <c:ptCount val="9"/>
                <c:pt idx="0">
                  <c:v>6.7863948180594518</c:v>
                </c:pt>
                <c:pt idx="1">
                  <c:v>10.727953091736167</c:v>
                </c:pt>
                <c:pt idx="2">
                  <c:v>12.789352336206811</c:v>
                </c:pt>
                <c:pt idx="3">
                  <c:v>13.848151597150892</c:v>
                </c:pt>
                <c:pt idx="4">
                  <c:v>14.198768580460191</c:v>
                </c:pt>
                <c:pt idx="5">
                  <c:v>14.046094096261053</c:v>
                </c:pt>
                <c:pt idx="6">
                  <c:v>13.563661102215002</c:v>
                </c:pt>
                <c:pt idx="7">
                  <c:v>12.8940467683375</c:v>
                </c:pt>
                <c:pt idx="8">
                  <c:v>12.142754956555315</c:v>
                </c:pt>
              </c:numCache>
            </c:numRef>
          </c:yVal>
          <c:smooth val="0"/>
          <c:extLst>
            <c:ext xmlns:c16="http://schemas.microsoft.com/office/drawing/2014/chart" uri="{C3380CC4-5D6E-409C-BE32-E72D297353CC}">
              <c16:uniqueId val="{00000002-DDCF-44BB-899F-3EC11CCF873C}"/>
            </c:ext>
          </c:extLst>
        </c:ser>
        <c:dLbls>
          <c:showLegendKey val="0"/>
          <c:showVal val="0"/>
          <c:showCatName val="0"/>
          <c:showSerName val="0"/>
          <c:showPercent val="0"/>
          <c:showBubbleSize val="0"/>
        </c:dLbls>
        <c:axId val="195678976"/>
        <c:axId val="195680896"/>
      </c:scatterChart>
      <c:valAx>
        <c:axId val="195678976"/>
        <c:scaling>
          <c:orientation val="minMax"/>
        </c:scaling>
        <c:delete val="0"/>
        <c:axPos val="b"/>
        <c:majorGridlines/>
        <c:title>
          <c:tx>
            <c:strRef>
              <c:f>Abaco!$B$75</c:f>
              <c:strCache>
                <c:ptCount val="1"/>
                <c:pt idx="0">
                  <c:v>Masse totale</c:v>
                </c:pt>
              </c:strCache>
            </c:strRef>
          </c:tx>
          <c:layout>
            <c:manualLayout>
              <c:xMode val="edge"/>
              <c:yMode val="edge"/>
              <c:x val="0.25133794251328334"/>
              <c:y val="0.8092359976229385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 &quot;kg&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5680896"/>
        <c:crosses val="autoZero"/>
        <c:crossBetween val="midCat"/>
      </c:valAx>
      <c:valAx>
        <c:axId val="195680896"/>
        <c:scaling>
          <c:orientation val="minMax"/>
        </c:scaling>
        <c:delete val="0"/>
        <c:axPos val="l"/>
        <c:majorGridlines/>
        <c:title>
          <c:tx>
            <c:strRef>
              <c:f>Abaco!$B$80</c:f>
              <c:strCache>
                <c:ptCount val="1"/>
                <c:pt idx="0">
                  <c:v>Temps de culmination</c:v>
                </c:pt>
              </c:strCache>
            </c:strRef>
          </c:tx>
          <c:layout>
            <c:manualLayout>
              <c:xMode val="edge"/>
              <c:yMode val="edge"/>
              <c:x val="0.14166677336064695"/>
              <c:y val="5.8034467389689502E-2"/>
            </c:manualLayout>
          </c:layout>
          <c:overlay val="0"/>
          <c:txPr>
            <a:bodyPr/>
            <a:lstStyle/>
            <a:p>
              <a:pPr>
                <a:defRPr sz="1000" b="1" i="0" u="none" strike="noStrike" baseline="0">
                  <a:solidFill>
                    <a:srgbClr val="000000"/>
                  </a:solidFill>
                  <a:latin typeface="Calibri"/>
                  <a:ea typeface="Calibri"/>
                  <a:cs typeface="Calibri"/>
                </a:defRPr>
              </a:pPr>
              <a:endParaRPr lang="fr-FR"/>
            </a:p>
          </c:txPr>
        </c:title>
        <c:numFmt formatCode="General&quot; s&quot;"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fr-FR"/>
          </a:p>
        </c:txPr>
        <c:crossAx val="195678976"/>
        <c:crosses val="autoZero"/>
        <c:crossBetween val="midCat"/>
      </c:valAx>
    </c:plotArea>
    <c:legend>
      <c:legendPos val="r"/>
      <c:layout>
        <c:manualLayout>
          <c:xMode val="edge"/>
          <c:yMode val="edge"/>
          <c:x val="0.72357744916031841"/>
          <c:y val="0.18396263556678061"/>
          <c:w val="0.20325203252032525"/>
          <c:h val="0.25235886198187502"/>
        </c:manualLayout>
      </c:layout>
      <c:overlay val="0"/>
      <c:spPr>
        <a:solidFill>
          <a:schemeClr val="bg1"/>
        </a:solidFill>
      </c:spPr>
      <c:txPr>
        <a:bodyPr/>
        <a:lstStyle/>
        <a:p>
          <a:pPr>
            <a:defRPr sz="920" b="0" i="0" u="none" strike="noStrike" baseline="0">
              <a:solidFill>
                <a:srgbClr val="000000"/>
              </a:solidFill>
              <a:latin typeface="Calibri"/>
              <a:ea typeface="Calibri"/>
              <a:cs typeface="Calibri"/>
            </a:defRPr>
          </a:pPr>
          <a:endParaRPr lang="fr-F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fr-FR"/>
    </a:p>
  </c:txPr>
  <c:printSettings>
    <c:headerFooter/>
    <c:pageMargins b="0.750000000000002" l="0.70000000000000062" r="0.70000000000000062" t="0.750000000000002" header="0.30000000000000032" footer="0.30000000000000032"/>
    <c:pageSetup/>
  </c:printSettings>
</c:chartSpace>
</file>

<file path=xl/ctrlProps/ctrlProp1.xml><?xml version="1.0" encoding="utf-8"?>
<formControlPr xmlns="http://schemas.microsoft.com/office/spreadsheetml/2009/9/main" objectType="Spin" dx="15" fmlaLink="$C$23" inc="25" max="30000" noThreeD="1" page="10" val="275"/>
</file>

<file path=xl/ctrlProps/ctrlProp2.xml><?xml version="1.0" encoding="utf-8"?>
<formControlPr xmlns="http://schemas.microsoft.com/office/spreadsheetml/2009/9/main" objectType="Spin" dx="15" fmlaLink="$C$12" inc="100" max="30000" noThreeD="1" page="10" val="6500"/>
</file>

<file path=xl/ctrlProps/ctrlProp3.xml><?xml version="1.0" encoding="utf-8"?>
<formControlPr xmlns="http://schemas.microsoft.com/office/spreadsheetml/2009/9/main" objectType="Spin" dx="15" fmlaLink="$C$13" inc="50" max="30000" noThreeD="1" page="10" val="1150"/>
</file>

<file path=xl/ctrlProps/ctrlProp4.xml><?xml version="1.0" encoding="utf-8"?>
<formControlPr xmlns="http://schemas.microsoft.com/office/spreadsheetml/2009/9/main" objectType="Spin" dx="15" fmlaLink="$C$24" inc="20" max="30000" noThreeD="1" page="10" val="84"/>
</file>

<file path=xl/ctrlProps/ctrlProp5.xml><?xml version="1.0" encoding="utf-8"?>
<formControlPr xmlns="http://schemas.microsoft.com/office/spreadsheetml/2009/9/main" objectType="Spin" dx="15" fmlaLink="$C$28" inc="10" max="30000" noThreeD="1" page="10" val="180"/>
</file>

<file path=xl/ctrlProps/ctrlProp6.xml><?xml version="1.0" encoding="utf-8"?>
<formControlPr xmlns="http://schemas.microsoft.com/office/spreadsheetml/2009/9/main" objectType="Spin" dx="15" fmlaLink="$C$29" inc="10" max="30000" noThreeD="1" page="10" val="80"/>
</file>

<file path=xl/ctrlProps/ctrlProp7.xml><?xml version="1.0" encoding="utf-8"?>
<formControlPr xmlns="http://schemas.microsoft.com/office/spreadsheetml/2009/9/main" objectType="Spin" dx="15" fmlaLink="$C$30" inc="10" max="30000" noThreeD="1" page="10" val="160"/>
</file>

<file path=xl/ctrlProps/ctrlProp8.xml><?xml version="1.0" encoding="utf-8"?>
<formControlPr xmlns="http://schemas.microsoft.com/office/spreadsheetml/2009/9/main" objectType="Spin" dx="15" fmlaLink="$C$31" inc="10" max="30000" noThreeD="1" page="10" val="110"/>
</file>

<file path=xl/ctrlProps/ctrlProp9.xml><?xml version="1.0" encoding="utf-8"?>
<formControlPr xmlns="http://schemas.microsoft.com/office/spreadsheetml/2009/9/main" objectType="Spin" dx="15" fmlaLink="$C$32" max="30000" noThreeD="1" page="10" val="4"/>
</file>

<file path=xl/ctrlProps/ctrlProp10.xml><?xml version="1.0" encoding="utf-8"?>
<formControlPr xmlns="http://schemas.microsoft.com/office/spreadsheetml/2009/9/main" objectType="Spin" dx="15" fmlaLink="$C$33" max="6" min="3" noThreeD="1" page="10" val="4"/>
</file>

<file path=xl/ctrlProps/ctrlProp11.xml><?xml version="1.0" encoding="utf-8"?>
<formControlPr xmlns="http://schemas.microsoft.com/office/spreadsheetml/2009/9/main" objectType="Spin" dx="15" fmlaLink="$C$14" inc="50" max="30000" noThreeD="1" page="10" val="2150"/>
</file>

<file path=xl/ctrlProps/ctrlProp12.xml><?xml version="1.0" encoding="utf-8"?>
<formControlPr xmlns="http://schemas.microsoft.com/office/spreadsheetml/2009/9/main" objectType="Spin" dx="15" fmlaLink="$C$12" inc="100" max="30000" noThreeD="1" page="10" val="6500"/>
</file>

<file path=xl/ctrlProps/ctrlProp13.xml><?xml version="1.0" encoding="utf-8"?>
<formControlPr xmlns="http://schemas.microsoft.com/office/spreadsheetml/2009/9/main" objectType="Spin" dx="15" fmlaLink="$C$12" inc="100" max="30000" noThreeD="1" page="10" val="6500"/>
</file>

<file path=xl/ctrlProps/ctrlProp14.xml><?xml version="1.0" encoding="utf-8"?>
<formControlPr xmlns="http://schemas.microsoft.com/office/spreadsheetml/2009/9/main" objectType="Spin" dx="15" fmlaLink="Stabilito!C12" inc="100" max="30000" noThreeD="1" page="10" val="6500"/>
</file>

<file path=xl/ctrlProps/ctrlProp15.xml><?xml version="1.0" encoding="utf-8"?>
<formControlPr xmlns="http://schemas.microsoft.com/office/spreadsheetml/2009/9/main" objectType="Spin" dx="15" fmlaLink="$B$44" inc="50" max="30000" noThreeD="1" page="10" val="310"/>
</file>

<file path=xl/ctrlProps/ctrlProp16.xml><?xml version="1.0" encoding="utf-8"?>
<formControlPr xmlns="http://schemas.microsoft.com/office/spreadsheetml/2009/9/main" objectType="Spin" dx="15" fmlaLink="$B$46" inc="50" max="30000" noThreeD="1" page="10" val="310"/>
</file>

<file path=xl/ctrlProps/ctrlProp17.xml><?xml version="1.0" encoding="utf-8"?>
<formControlPr xmlns="http://schemas.microsoft.com/office/spreadsheetml/2009/9/main" objectType="Spin" dx="15" fmlaLink="$B$52" inc="50" max="30000" noThreeD="1" page="10" val="299"/>
</file>

<file path=xl/ctrlProps/ctrlProp18.xml><?xml version="1.0" encoding="utf-8"?>
<formControlPr xmlns="http://schemas.microsoft.com/office/spreadsheetml/2009/9/main" objectType="Spin" dx="15" fmlaLink="$B$54" inc="5" max="30000" noThreeD="1" page="10" val="29"/>
</file>

<file path=xl/ctrlProps/ctrlProp19.xml><?xml version="1.0" encoding="utf-8"?>
<formControlPr xmlns="http://schemas.microsoft.com/office/spreadsheetml/2009/9/main" objectType="Spin" dx="15" fmlaLink="Stabilito!C12" inc="100" max="30000" noThreeD="1" page="10" val="6500"/>
</file>

<file path=xl/ctrlProps/ctrlProp20.xml><?xml version="1.0" encoding="utf-8"?>
<formControlPr xmlns="http://schemas.microsoft.com/office/spreadsheetml/2009/9/main" objectType="Spin" dx="15" fmlaLink="Stabilito!C12" inc="100" max="30000" noThreeD="1" page="10" val="6500"/>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image" Target="../media/image3.png"/><Relationship Id="rId4"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45.png"/><Relationship Id="rId1" Type="http://schemas.openxmlformats.org/officeDocument/2006/relationships/image" Target="../media/image44.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3" Type="http://schemas.openxmlformats.org/officeDocument/2006/relationships/image" Target="../media/image19.emf"/><Relationship Id="rId18" Type="http://schemas.openxmlformats.org/officeDocument/2006/relationships/image" Target="../media/image24.emf"/><Relationship Id="rId26" Type="http://schemas.openxmlformats.org/officeDocument/2006/relationships/image" Target="../media/image32.emf"/><Relationship Id="rId3" Type="http://schemas.openxmlformats.org/officeDocument/2006/relationships/image" Target="../media/image9.emf"/><Relationship Id="rId21" Type="http://schemas.openxmlformats.org/officeDocument/2006/relationships/image" Target="../media/image27.emf"/><Relationship Id="rId34" Type="http://schemas.openxmlformats.org/officeDocument/2006/relationships/image" Target="../media/image40.emf"/><Relationship Id="rId7" Type="http://schemas.openxmlformats.org/officeDocument/2006/relationships/image" Target="../media/image13.emf"/><Relationship Id="rId12" Type="http://schemas.openxmlformats.org/officeDocument/2006/relationships/image" Target="../media/image18.emf"/><Relationship Id="rId17" Type="http://schemas.openxmlformats.org/officeDocument/2006/relationships/image" Target="../media/image23.emf"/><Relationship Id="rId25" Type="http://schemas.openxmlformats.org/officeDocument/2006/relationships/image" Target="../media/image31.emf"/><Relationship Id="rId33" Type="http://schemas.openxmlformats.org/officeDocument/2006/relationships/image" Target="../media/image39.emf"/><Relationship Id="rId2" Type="http://schemas.openxmlformats.org/officeDocument/2006/relationships/image" Target="../media/image8.emf"/><Relationship Id="rId16" Type="http://schemas.openxmlformats.org/officeDocument/2006/relationships/image" Target="../media/image22.emf"/><Relationship Id="rId20" Type="http://schemas.openxmlformats.org/officeDocument/2006/relationships/image" Target="../media/image26.emf"/><Relationship Id="rId29" Type="http://schemas.openxmlformats.org/officeDocument/2006/relationships/image" Target="../media/image35.emf"/><Relationship Id="rId1" Type="http://schemas.openxmlformats.org/officeDocument/2006/relationships/image" Target="../media/image7.emf"/><Relationship Id="rId6" Type="http://schemas.openxmlformats.org/officeDocument/2006/relationships/image" Target="../media/image12.emf"/><Relationship Id="rId11" Type="http://schemas.openxmlformats.org/officeDocument/2006/relationships/image" Target="../media/image17.emf"/><Relationship Id="rId24" Type="http://schemas.openxmlformats.org/officeDocument/2006/relationships/image" Target="../media/image30.emf"/><Relationship Id="rId32" Type="http://schemas.openxmlformats.org/officeDocument/2006/relationships/image" Target="../media/image38.emf"/><Relationship Id="rId5" Type="http://schemas.openxmlformats.org/officeDocument/2006/relationships/image" Target="../media/image11.emf"/><Relationship Id="rId15" Type="http://schemas.openxmlformats.org/officeDocument/2006/relationships/image" Target="../media/image21.emf"/><Relationship Id="rId23" Type="http://schemas.openxmlformats.org/officeDocument/2006/relationships/image" Target="../media/image29.emf"/><Relationship Id="rId28" Type="http://schemas.openxmlformats.org/officeDocument/2006/relationships/image" Target="../media/image34.emf"/><Relationship Id="rId36" Type="http://schemas.openxmlformats.org/officeDocument/2006/relationships/image" Target="../media/image42.emf"/><Relationship Id="rId10" Type="http://schemas.openxmlformats.org/officeDocument/2006/relationships/image" Target="../media/image16.emf"/><Relationship Id="rId19" Type="http://schemas.openxmlformats.org/officeDocument/2006/relationships/image" Target="../media/image25.emf"/><Relationship Id="rId31" Type="http://schemas.openxmlformats.org/officeDocument/2006/relationships/image" Target="../media/image37.emf"/><Relationship Id="rId4" Type="http://schemas.openxmlformats.org/officeDocument/2006/relationships/image" Target="../media/image10.emf"/><Relationship Id="rId9" Type="http://schemas.openxmlformats.org/officeDocument/2006/relationships/image" Target="../media/image15.emf"/><Relationship Id="rId14" Type="http://schemas.openxmlformats.org/officeDocument/2006/relationships/image" Target="../media/image20.emf"/><Relationship Id="rId22" Type="http://schemas.openxmlformats.org/officeDocument/2006/relationships/image" Target="../media/image28.emf"/><Relationship Id="rId27" Type="http://schemas.openxmlformats.org/officeDocument/2006/relationships/image" Target="../media/image33.emf"/><Relationship Id="rId30" Type="http://schemas.openxmlformats.org/officeDocument/2006/relationships/image" Target="../media/image36.emf"/><Relationship Id="rId35" Type="http://schemas.openxmlformats.org/officeDocument/2006/relationships/image" Target="../media/image41.emf"/><Relationship Id="rId8" Type="http://schemas.openxmlformats.org/officeDocument/2006/relationships/image" Target="../media/image1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3.emf"/></Relationships>
</file>

<file path=xl/drawings/drawing1.xml><?xml version="1.0" encoding="utf-8"?>
<xdr:wsDr xmlns:xdr="http://schemas.openxmlformats.org/drawingml/2006/spreadsheetDrawing" xmlns:a="http://schemas.openxmlformats.org/drawingml/2006/main">
  <xdr:twoCellAnchor>
    <xdr:from>
      <xdr:col>12</xdr:col>
      <xdr:colOff>25400</xdr:colOff>
      <xdr:row>1</xdr:row>
      <xdr:rowOff>25400</xdr:rowOff>
    </xdr:from>
    <xdr:to>
      <xdr:col>12</xdr:col>
      <xdr:colOff>488950</xdr:colOff>
      <xdr:row>1</xdr:row>
      <xdr:rowOff>139700</xdr:rowOff>
    </xdr:to>
    <xdr:grpSp>
      <xdr:nvGrpSpPr>
        <xdr:cNvPr id="5096993" name="Groupe 1">
          <a:extLst>
            <a:ext uri="{FF2B5EF4-FFF2-40B4-BE49-F238E27FC236}">
              <a16:creationId xmlns:a16="http://schemas.microsoft.com/office/drawing/2014/main" id="{00000000-0008-0000-0000-000021C64D00}"/>
            </a:ext>
          </a:extLst>
        </xdr:cNvPr>
        <xdr:cNvGrpSpPr>
          <a:grpSpLocks/>
        </xdr:cNvGrpSpPr>
      </xdr:nvGrpSpPr>
      <xdr:grpSpPr bwMode="auto">
        <a:xfrm>
          <a:off x="7372074" y="191052"/>
          <a:ext cx="463550" cy="114300"/>
          <a:chOff x="7067550" y="190500"/>
          <a:chExt cx="438150" cy="114300"/>
        </a:xfrm>
      </xdr:grpSpPr>
      <xdr:pic>
        <xdr:nvPicPr>
          <xdr:cNvPr id="5096999" name="Image 1">
            <a:extLst>
              <a:ext uri="{FF2B5EF4-FFF2-40B4-BE49-F238E27FC236}">
                <a16:creationId xmlns:a16="http://schemas.microsoft.com/office/drawing/2014/main" id="{00000000-0008-0000-0000-000027C64D00}"/>
              </a:ext>
            </a:extLst>
          </xdr:cNvPr>
          <xdr:cNvPicPr>
            <a:picLocks noChangeAspect="1"/>
          </xdr:cNvPicPr>
        </xdr:nvPicPr>
        <xdr:blipFill>
          <a:blip xmlns:r="http://schemas.openxmlformats.org/officeDocument/2006/relationships" r:embed="rId1" cstate="print"/>
          <a:srcRect/>
          <a:stretch>
            <a:fillRect/>
          </a:stretch>
        </xdr:blipFill>
        <xdr:spPr bwMode="auto">
          <a:xfrm>
            <a:off x="7067550" y="190500"/>
            <a:ext cx="171450" cy="114300"/>
          </a:xfrm>
          <a:prstGeom prst="rect">
            <a:avLst/>
          </a:prstGeom>
          <a:noFill/>
          <a:ln w="9525">
            <a:noFill/>
            <a:miter lim="800000"/>
            <a:headEnd/>
            <a:tailEnd/>
          </a:ln>
        </xdr:spPr>
      </xdr:pic>
      <xdr:pic>
        <xdr:nvPicPr>
          <xdr:cNvPr id="5097000" name="Image 2">
            <a:extLst>
              <a:ext uri="{FF2B5EF4-FFF2-40B4-BE49-F238E27FC236}">
                <a16:creationId xmlns:a16="http://schemas.microsoft.com/office/drawing/2014/main" id="{00000000-0008-0000-0000-000028C64D00}"/>
              </a:ext>
            </a:extLst>
          </xdr:cNvPr>
          <xdr:cNvPicPr>
            <a:picLocks noChangeAspect="1"/>
          </xdr:cNvPicPr>
        </xdr:nvPicPr>
        <xdr:blipFill>
          <a:blip xmlns:r="http://schemas.openxmlformats.org/officeDocument/2006/relationships" r:embed="rId2" cstate="print"/>
          <a:srcRect/>
          <a:stretch>
            <a:fillRect/>
          </a:stretch>
        </xdr:blipFill>
        <xdr:spPr bwMode="auto">
          <a:xfrm>
            <a:off x="7277100" y="190500"/>
            <a:ext cx="228600" cy="114300"/>
          </a:xfrm>
          <a:prstGeom prst="rect">
            <a:avLst/>
          </a:prstGeom>
          <a:noFill/>
          <a:ln w="9525">
            <a:noFill/>
            <a:miter lim="800000"/>
            <a:headEnd/>
            <a:tailEnd/>
          </a:ln>
        </xdr:spPr>
      </xdr:pic>
    </xdr:grpSp>
    <xdr:clientData/>
  </xdr:twoCellAnchor>
  <xdr:twoCellAnchor>
    <xdr:from>
      <xdr:col>4</xdr:col>
      <xdr:colOff>279400</xdr:colOff>
      <xdr:row>1</xdr:row>
      <xdr:rowOff>0</xdr:rowOff>
    </xdr:from>
    <xdr:to>
      <xdr:col>10</xdr:col>
      <xdr:colOff>0</xdr:colOff>
      <xdr:row>24</xdr:row>
      <xdr:rowOff>0</xdr:rowOff>
    </xdr:to>
    <xdr:graphicFrame macro="">
      <xdr:nvGraphicFramePr>
        <xdr:cNvPr id="5096994" name="Graphique 9">
          <a:extLst>
            <a:ext uri="{FF2B5EF4-FFF2-40B4-BE49-F238E27FC236}">
              <a16:creationId xmlns:a16="http://schemas.microsoft.com/office/drawing/2014/main" id="{00000000-0008-0000-0000-000022C6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25</xdr:row>
      <xdr:rowOff>0</xdr:rowOff>
    </xdr:from>
    <xdr:to>
      <xdr:col>16</xdr:col>
      <xdr:colOff>0</xdr:colOff>
      <xdr:row>35</xdr:row>
      <xdr:rowOff>0</xdr:rowOff>
    </xdr:to>
    <xdr:graphicFrame macro="">
      <xdr:nvGraphicFramePr>
        <xdr:cNvPr id="5096995" name="Graphique 19">
          <a:extLst>
            <a:ext uri="{FF2B5EF4-FFF2-40B4-BE49-F238E27FC236}">
              <a16:creationId xmlns:a16="http://schemas.microsoft.com/office/drawing/2014/main" id="{00000000-0008-0000-0000-000023C6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0</xdr:colOff>
      <xdr:row>1</xdr:row>
      <xdr:rowOff>0</xdr:rowOff>
    </xdr:from>
    <xdr:to>
      <xdr:col>1</xdr:col>
      <xdr:colOff>981075</xdr:colOff>
      <xdr:row>4</xdr:row>
      <xdr:rowOff>152400</xdr:rowOff>
    </xdr:to>
    <xdr:pic>
      <xdr:nvPicPr>
        <xdr:cNvPr id="5096996" name="Picture 8" descr="logoplasci">
          <a:extLst>
            <a:ext uri="{FF2B5EF4-FFF2-40B4-BE49-F238E27FC236}">
              <a16:creationId xmlns:a16="http://schemas.microsoft.com/office/drawing/2014/main" id="{00000000-0008-0000-0000-000024C64D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52400" y="158750"/>
          <a:ext cx="984250" cy="628650"/>
        </a:xfrm>
        <a:prstGeom prst="rect">
          <a:avLst/>
        </a:prstGeom>
        <a:noFill/>
        <a:ln w="9525">
          <a:noFill/>
          <a:miter lim="800000"/>
          <a:headEnd/>
          <a:tailEnd/>
        </a:ln>
      </xdr:spPr>
    </xdr:pic>
    <xdr:clientData/>
  </xdr:twoCellAnchor>
  <xdr:twoCellAnchor editAs="oneCell">
    <xdr:from>
      <xdr:col>1</xdr:col>
      <xdr:colOff>0</xdr:colOff>
      <xdr:row>38</xdr:row>
      <xdr:rowOff>0</xdr:rowOff>
    </xdr:from>
    <xdr:to>
      <xdr:col>3</xdr:col>
      <xdr:colOff>1270</xdr:colOff>
      <xdr:row>49</xdr:row>
      <xdr:rowOff>66675</xdr:rowOff>
    </xdr:to>
    <xdr:pic>
      <xdr:nvPicPr>
        <xdr:cNvPr id="5096997" name="Image 1">
          <a:extLst>
            <a:ext uri="{FF2B5EF4-FFF2-40B4-BE49-F238E27FC236}">
              <a16:creationId xmlns:a16="http://schemas.microsoft.com/office/drawing/2014/main" id="{00000000-0008-0000-0000-000025C64D00}"/>
            </a:ext>
          </a:extLst>
        </xdr:cNvPr>
        <xdr:cNvPicPr>
          <a:picLocks noChangeAspect="1"/>
        </xdr:cNvPicPr>
      </xdr:nvPicPr>
      <xdr:blipFill>
        <a:blip xmlns:r="http://schemas.openxmlformats.org/officeDocument/2006/relationships" r:embed="rId6" cstate="print"/>
        <a:srcRect/>
        <a:stretch>
          <a:fillRect/>
        </a:stretch>
      </xdr:blipFill>
      <xdr:spPr bwMode="auto">
        <a:xfrm>
          <a:off x="152400" y="5873750"/>
          <a:ext cx="1987550" cy="1885950"/>
        </a:xfrm>
        <a:prstGeom prst="rect">
          <a:avLst/>
        </a:prstGeom>
        <a:noFill/>
        <a:ln w="9525">
          <a:noFill/>
          <a:miter lim="800000"/>
          <a:headEnd/>
          <a:tailEnd/>
        </a:ln>
      </xdr:spPr>
    </xdr:pic>
    <xdr:clientData/>
  </xdr:twoCellAnchor>
  <xdr:twoCellAnchor editAs="oneCell">
    <xdr:from>
      <xdr:col>18</xdr:col>
      <xdr:colOff>0</xdr:colOff>
      <xdr:row>3</xdr:row>
      <xdr:rowOff>12700</xdr:rowOff>
    </xdr:from>
    <xdr:to>
      <xdr:col>20</xdr:col>
      <xdr:colOff>561975</xdr:colOff>
      <xdr:row>9</xdr:row>
      <xdr:rowOff>20320</xdr:rowOff>
    </xdr:to>
    <xdr:pic>
      <xdr:nvPicPr>
        <xdr:cNvPr id="5096998" name="Image 2">
          <a:extLst>
            <a:ext uri="{FF2B5EF4-FFF2-40B4-BE49-F238E27FC236}">
              <a16:creationId xmlns:a16="http://schemas.microsoft.com/office/drawing/2014/main" id="{00000000-0008-0000-0000-000026C64D00}"/>
            </a:ext>
          </a:extLst>
        </xdr:cNvPr>
        <xdr:cNvPicPr>
          <a:picLocks noChangeAspect="1"/>
        </xdr:cNvPicPr>
      </xdr:nvPicPr>
      <xdr:blipFill>
        <a:blip xmlns:r="http://schemas.openxmlformats.org/officeDocument/2006/relationships" r:embed="rId7" cstate="print"/>
        <a:srcRect/>
        <a:stretch>
          <a:fillRect/>
        </a:stretch>
      </xdr:blipFill>
      <xdr:spPr bwMode="auto">
        <a:xfrm>
          <a:off x="9810750" y="488950"/>
          <a:ext cx="2152650" cy="952500"/>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xdr:from>
          <xdr:col>3</xdr:col>
          <xdr:colOff>752475</xdr:colOff>
          <xdr:row>22</xdr:row>
          <xdr:rowOff>0</xdr:rowOff>
        </xdr:from>
        <xdr:to>
          <xdr:col>3</xdr:col>
          <xdr:colOff>895350</xdr:colOff>
          <xdr:row>23</xdr:row>
          <xdr:rowOff>0</xdr:rowOff>
        </xdr:to>
        <xdr:sp macro="" textlink="">
          <xdr:nvSpPr>
            <xdr:cNvPr id="36775" name="Spinner 935" hidden="1">
              <a:extLst>
                <a:ext uri="{63B3BB69-23CF-44E3-9099-C40C66FF867C}">
                  <a14:compatExt spid="_x0000_s36775"/>
                </a:ext>
                <a:ext uri="{FF2B5EF4-FFF2-40B4-BE49-F238E27FC236}">
                  <a16:creationId xmlns:a16="http://schemas.microsoft.com/office/drawing/2014/main" id="{00000000-0008-0000-0000-0000A7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11</xdr:row>
          <xdr:rowOff>0</xdr:rowOff>
        </xdr:from>
        <xdr:to>
          <xdr:col>2</xdr:col>
          <xdr:colOff>895350</xdr:colOff>
          <xdr:row>12</xdr:row>
          <xdr:rowOff>0</xdr:rowOff>
        </xdr:to>
        <xdr:sp macro="" textlink="">
          <xdr:nvSpPr>
            <xdr:cNvPr id="36781" name="Spinner 941" hidden="1">
              <a:extLst>
                <a:ext uri="{63B3BB69-23CF-44E3-9099-C40C66FF867C}">
                  <a14:compatExt spid="_x0000_s36781"/>
                </a:ext>
                <a:ext uri="{FF2B5EF4-FFF2-40B4-BE49-F238E27FC236}">
                  <a16:creationId xmlns:a16="http://schemas.microsoft.com/office/drawing/2014/main" id="{00000000-0008-0000-0000-0000AD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12</xdr:row>
          <xdr:rowOff>0</xdr:rowOff>
        </xdr:from>
        <xdr:to>
          <xdr:col>2</xdr:col>
          <xdr:colOff>895350</xdr:colOff>
          <xdr:row>13</xdr:row>
          <xdr:rowOff>0</xdr:rowOff>
        </xdr:to>
        <xdr:sp macro="" textlink="">
          <xdr:nvSpPr>
            <xdr:cNvPr id="36782" name="Spinner 942" hidden="1">
              <a:extLst>
                <a:ext uri="{63B3BB69-23CF-44E3-9099-C40C66FF867C}">
                  <a14:compatExt spid="_x0000_s36782"/>
                </a:ext>
                <a:ext uri="{FF2B5EF4-FFF2-40B4-BE49-F238E27FC236}">
                  <a16:creationId xmlns:a16="http://schemas.microsoft.com/office/drawing/2014/main" id="{00000000-0008-0000-0000-0000AE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752475</xdr:colOff>
          <xdr:row>22</xdr:row>
          <xdr:rowOff>161925</xdr:rowOff>
        </xdr:from>
        <xdr:to>
          <xdr:col>3</xdr:col>
          <xdr:colOff>895350</xdr:colOff>
          <xdr:row>24</xdr:row>
          <xdr:rowOff>0</xdr:rowOff>
        </xdr:to>
        <xdr:sp macro="" textlink="">
          <xdr:nvSpPr>
            <xdr:cNvPr id="36783" name="Spinner 943" hidden="1">
              <a:extLst>
                <a:ext uri="{63B3BB69-23CF-44E3-9099-C40C66FF867C}">
                  <a14:compatExt spid="_x0000_s36783"/>
                </a:ext>
                <a:ext uri="{FF2B5EF4-FFF2-40B4-BE49-F238E27FC236}">
                  <a16:creationId xmlns:a16="http://schemas.microsoft.com/office/drawing/2014/main" id="{00000000-0008-0000-0000-0000AF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27</xdr:row>
          <xdr:rowOff>0</xdr:rowOff>
        </xdr:from>
        <xdr:to>
          <xdr:col>3</xdr:col>
          <xdr:colOff>0</xdr:colOff>
          <xdr:row>28</xdr:row>
          <xdr:rowOff>9525</xdr:rowOff>
        </xdr:to>
        <xdr:sp macro="" textlink="">
          <xdr:nvSpPr>
            <xdr:cNvPr id="36789" name="Spinner 949" hidden="1">
              <a:extLst>
                <a:ext uri="{63B3BB69-23CF-44E3-9099-C40C66FF867C}">
                  <a14:compatExt spid="_x0000_s36789"/>
                </a:ext>
                <a:ext uri="{FF2B5EF4-FFF2-40B4-BE49-F238E27FC236}">
                  <a16:creationId xmlns:a16="http://schemas.microsoft.com/office/drawing/2014/main" id="{00000000-0008-0000-0000-0000B5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28</xdr:row>
          <xdr:rowOff>0</xdr:rowOff>
        </xdr:from>
        <xdr:to>
          <xdr:col>3</xdr:col>
          <xdr:colOff>0</xdr:colOff>
          <xdr:row>29</xdr:row>
          <xdr:rowOff>9525</xdr:rowOff>
        </xdr:to>
        <xdr:sp macro="" textlink="">
          <xdr:nvSpPr>
            <xdr:cNvPr id="36795" name="Spinner 955" hidden="1">
              <a:extLst>
                <a:ext uri="{63B3BB69-23CF-44E3-9099-C40C66FF867C}">
                  <a14:compatExt spid="_x0000_s36795"/>
                </a:ext>
                <a:ext uri="{FF2B5EF4-FFF2-40B4-BE49-F238E27FC236}">
                  <a16:creationId xmlns:a16="http://schemas.microsoft.com/office/drawing/2014/main" id="{00000000-0008-0000-0000-0000BB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28</xdr:row>
          <xdr:rowOff>161925</xdr:rowOff>
        </xdr:from>
        <xdr:to>
          <xdr:col>3</xdr:col>
          <xdr:colOff>0</xdr:colOff>
          <xdr:row>30</xdr:row>
          <xdr:rowOff>0</xdr:rowOff>
        </xdr:to>
        <xdr:sp macro="" textlink="">
          <xdr:nvSpPr>
            <xdr:cNvPr id="36796" name="Spinner 956" hidden="1">
              <a:extLst>
                <a:ext uri="{63B3BB69-23CF-44E3-9099-C40C66FF867C}">
                  <a14:compatExt spid="_x0000_s36796"/>
                </a:ext>
                <a:ext uri="{FF2B5EF4-FFF2-40B4-BE49-F238E27FC236}">
                  <a16:creationId xmlns:a16="http://schemas.microsoft.com/office/drawing/2014/main" id="{00000000-0008-0000-0000-0000BC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30</xdr:row>
          <xdr:rowOff>0</xdr:rowOff>
        </xdr:from>
        <xdr:to>
          <xdr:col>3</xdr:col>
          <xdr:colOff>0</xdr:colOff>
          <xdr:row>30</xdr:row>
          <xdr:rowOff>161925</xdr:rowOff>
        </xdr:to>
        <xdr:sp macro="" textlink="">
          <xdr:nvSpPr>
            <xdr:cNvPr id="36797" name="Spinner 957" hidden="1">
              <a:extLst>
                <a:ext uri="{63B3BB69-23CF-44E3-9099-C40C66FF867C}">
                  <a14:compatExt spid="_x0000_s36797"/>
                </a:ext>
                <a:ext uri="{FF2B5EF4-FFF2-40B4-BE49-F238E27FC236}">
                  <a16:creationId xmlns:a16="http://schemas.microsoft.com/office/drawing/2014/main" id="{00000000-0008-0000-0000-0000BD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31</xdr:row>
          <xdr:rowOff>0</xdr:rowOff>
        </xdr:from>
        <xdr:to>
          <xdr:col>2</xdr:col>
          <xdr:colOff>895350</xdr:colOff>
          <xdr:row>32</xdr:row>
          <xdr:rowOff>0</xdr:rowOff>
        </xdr:to>
        <xdr:sp macro="" textlink="">
          <xdr:nvSpPr>
            <xdr:cNvPr id="36798" name="Spinner 958" hidden="1">
              <a:extLst>
                <a:ext uri="{63B3BB69-23CF-44E3-9099-C40C66FF867C}">
                  <a14:compatExt spid="_x0000_s36798"/>
                </a:ext>
                <a:ext uri="{FF2B5EF4-FFF2-40B4-BE49-F238E27FC236}">
                  <a16:creationId xmlns:a16="http://schemas.microsoft.com/office/drawing/2014/main" id="{00000000-0008-0000-0000-0000BE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752475</xdr:colOff>
          <xdr:row>32</xdr:row>
          <xdr:rowOff>0</xdr:rowOff>
        </xdr:from>
        <xdr:to>
          <xdr:col>3</xdr:col>
          <xdr:colOff>0</xdr:colOff>
          <xdr:row>33</xdr:row>
          <xdr:rowOff>0</xdr:rowOff>
        </xdr:to>
        <xdr:sp macro="" textlink="">
          <xdr:nvSpPr>
            <xdr:cNvPr id="36799" name="Spinner 959" hidden="1">
              <a:extLst>
                <a:ext uri="{63B3BB69-23CF-44E3-9099-C40C66FF867C}">
                  <a14:compatExt spid="_x0000_s36799"/>
                </a:ext>
                <a:ext uri="{FF2B5EF4-FFF2-40B4-BE49-F238E27FC236}">
                  <a16:creationId xmlns:a16="http://schemas.microsoft.com/office/drawing/2014/main" id="{00000000-0008-0000-0000-0000BF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752475</xdr:colOff>
          <xdr:row>12</xdr:row>
          <xdr:rowOff>161925</xdr:rowOff>
        </xdr:from>
        <xdr:to>
          <xdr:col>4</xdr:col>
          <xdr:colOff>0</xdr:colOff>
          <xdr:row>13</xdr:row>
          <xdr:rowOff>161925</xdr:rowOff>
        </xdr:to>
        <xdr:sp macro="" textlink="">
          <xdr:nvSpPr>
            <xdr:cNvPr id="36801" name="Spinner 961" hidden="1">
              <a:extLst>
                <a:ext uri="{63B3BB69-23CF-44E3-9099-C40C66FF867C}">
                  <a14:compatExt spid="_x0000_s36801"/>
                </a:ext>
                <a:ext uri="{FF2B5EF4-FFF2-40B4-BE49-F238E27FC236}">
                  <a16:creationId xmlns:a16="http://schemas.microsoft.com/office/drawing/2014/main" id="{00000000-0008-0000-0000-0000C18F00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19</xdr:col>
          <xdr:colOff>0</xdr:colOff>
          <xdr:row>35</xdr:row>
          <xdr:rowOff>9525</xdr:rowOff>
        </xdr:from>
        <xdr:to>
          <xdr:col>19</xdr:col>
          <xdr:colOff>0</xdr:colOff>
          <xdr:row>36</xdr:row>
          <xdr:rowOff>0</xdr:rowOff>
        </xdr:to>
        <xdr:sp macro="" textlink="">
          <xdr:nvSpPr>
            <xdr:cNvPr id="5096691" name="Spinner 3315" hidden="1">
              <a:extLst>
                <a:ext uri="{63B3BB69-23CF-44E3-9099-C40C66FF867C}">
                  <a14:compatExt spid="_x0000_s5096691"/>
                </a:ext>
                <a:ext uri="{FF2B5EF4-FFF2-40B4-BE49-F238E27FC236}">
                  <a16:creationId xmlns:a16="http://schemas.microsoft.com/office/drawing/2014/main" id="{00000000-0008-0000-0000-0000F3C44D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19</xdr:col>
          <xdr:colOff>0</xdr:colOff>
          <xdr:row>35</xdr:row>
          <xdr:rowOff>9525</xdr:rowOff>
        </xdr:from>
        <xdr:to>
          <xdr:col>19</xdr:col>
          <xdr:colOff>0</xdr:colOff>
          <xdr:row>36</xdr:row>
          <xdr:rowOff>0</xdr:rowOff>
        </xdr:to>
        <xdr:sp macro="" textlink="">
          <xdr:nvSpPr>
            <xdr:cNvPr id="5096692" name="Spinner 3316" hidden="1">
              <a:extLst>
                <a:ext uri="{63B3BB69-23CF-44E3-9099-C40C66FF867C}">
                  <a14:compatExt spid="_x0000_s5096692"/>
                </a:ext>
                <a:ext uri="{FF2B5EF4-FFF2-40B4-BE49-F238E27FC236}">
                  <a16:creationId xmlns:a16="http://schemas.microsoft.com/office/drawing/2014/main" id="{00000000-0008-0000-0000-0000F4C44D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0</xdr:rowOff>
    </xdr:from>
    <xdr:to>
      <xdr:col>8</xdr:col>
      <xdr:colOff>609600</xdr:colOff>
      <xdr:row>21</xdr:row>
      <xdr:rowOff>38100</xdr:rowOff>
    </xdr:to>
    <xdr:graphicFrame macro="">
      <xdr:nvGraphicFramePr>
        <xdr:cNvPr id="4779983" name="Graphique 1">
          <a:extLst>
            <a:ext uri="{FF2B5EF4-FFF2-40B4-BE49-F238E27FC236}">
              <a16:creationId xmlns:a16="http://schemas.microsoft.com/office/drawing/2014/main" id="{00000000-0008-0000-0100-0000CFEF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xdr:row>
      <xdr:rowOff>0</xdr:rowOff>
    </xdr:from>
    <xdr:to>
      <xdr:col>13</xdr:col>
      <xdr:colOff>0</xdr:colOff>
      <xdr:row>21</xdr:row>
      <xdr:rowOff>47625</xdr:rowOff>
    </xdr:to>
    <xdr:graphicFrame macro="">
      <xdr:nvGraphicFramePr>
        <xdr:cNvPr id="4779984" name="Graphique 2">
          <a:extLst>
            <a:ext uri="{FF2B5EF4-FFF2-40B4-BE49-F238E27FC236}">
              <a16:creationId xmlns:a16="http://schemas.microsoft.com/office/drawing/2014/main" id="{00000000-0008-0000-0100-0000D0EF4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1</xdr:row>
      <xdr:rowOff>0</xdr:rowOff>
    </xdr:from>
    <xdr:to>
      <xdr:col>1</xdr:col>
      <xdr:colOff>979170</xdr:colOff>
      <xdr:row>4</xdr:row>
      <xdr:rowOff>152400</xdr:rowOff>
    </xdr:to>
    <xdr:pic>
      <xdr:nvPicPr>
        <xdr:cNvPr id="4779985" name="Picture 8" descr="logoplasci">
          <a:extLst>
            <a:ext uri="{FF2B5EF4-FFF2-40B4-BE49-F238E27FC236}">
              <a16:creationId xmlns:a16="http://schemas.microsoft.com/office/drawing/2014/main" id="{00000000-0008-0000-0100-0000D1EF48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52400" y="165100"/>
          <a:ext cx="984250" cy="628650"/>
        </a:xfrm>
        <a:prstGeom prst="rect">
          <a:avLst/>
        </a:prstGeom>
        <a:noFill/>
        <a:ln w="9525">
          <a:noFill/>
          <a:miter lim="800000"/>
          <a:headEnd/>
          <a:tailEnd/>
        </a:ln>
      </xdr:spPr>
    </xdr:pic>
    <xdr:clientData/>
  </xdr:twoCellAnchor>
  <xdr:twoCellAnchor>
    <xdr:from>
      <xdr:col>2</xdr:col>
      <xdr:colOff>397377</xdr:colOff>
      <xdr:row>49</xdr:row>
      <xdr:rowOff>132682</xdr:rowOff>
    </xdr:from>
    <xdr:to>
      <xdr:col>3</xdr:col>
      <xdr:colOff>583998</xdr:colOff>
      <xdr:row>56</xdr:row>
      <xdr:rowOff>50436</xdr:rowOff>
    </xdr:to>
    <xdr:grpSp>
      <xdr:nvGrpSpPr>
        <xdr:cNvPr id="4" name="Groupe 3">
          <a:extLst>
            <a:ext uri="{FF2B5EF4-FFF2-40B4-BE49-F238E27FC236}">
              <a16:creationId xmlns:a16="http://schemas.microsoft.com/office/drawing/2014/main" id="{00000000-0008-0000-0100-000004000000}"/>
            </a:ext>
          </a:extLst>
        </xdr:cNvPr>
        <xdr:cNvGrpSpPr/>
      </xdr:nvGrpSpPr>
      <xdr:grpSpPr>
        <a:xfrm>
          <a:off x="1616577" y="8076532"/>
          <a:ext cx="1043871" cy="1051229"/>
          <a:chOff x="1543718" y="8304129"/>
          <a:chExt cx="1082306" cy="1064096"/>
        </a:xfrm>
      </xdr:grpSpPr>
      <xdr:sp macro="" textlink="">
        <xdr:nvSpPr>
          <xdr:cNvPr id="4779987" name="Oval 323">
            <a:extLst>
              <a:ext uri="{FF2B5EF4-FFF2-40B4-BE49-F238E27FC236}">
                <a16:creationId xmlns:a16="http://schemas.microsoft.com/office/drawing/2014/main" id="{00000000-0008-0000-0100-0000D3EF4800}"/>
              </a:ext>
            </a:extLst>
          </xdr:cNvPr>
          <xdr:cNvSpPr>
            <a:spLocks noChangeArrowheads="1"/>
          </xdr:cNvSpPr>
        </xdr:nvSpPr>
        <xdr:spPr bwMode="auto">
          <a:xfrm>
            <a:off x="1543718" y="8304129"/>
            <a:ext cx="1082306" cy="1064096"/>
          </a:xfrm>
          <a:prstGeom prst="ellipse">
            <a:avLst/>
          </a:prstGeom>
          <a:solidFill>
            <a:srgbClr val="F2F2F2"/>
          </a:solidFill>
          <a:ln w="9525">
            <a:solidFill>
              <a:srgbClr val="000000"/>
            </a:solidFill>
            <a:round/>
            <a:headEnd/>
            <a:tailEnd/>
          </a:ln>
        </xdr:spPr>
      </xdr:sp>
      <xdr:sp macro="" textlink="">
        <xdr:nvSpPr>
          <xdr:cNvPr id="4779988" name="Oval 323">
            <a:extLst>
              <a:ext uri="{FF2B5EF4-FFF2-40B4-BE49-F238E27FC236}">
                <a16:creationId xmlns:a16="http://schemas.microsoft.com/office/drawing/2014/main" id="{00000000-0008-0000-0100-0000D4EF4800}"/>
              </a:ext>
            </a:extLst>
          </xdr:cNvPr>
          <xdr:cNvSpPr>
            <a:spLocks noChangeArrowheads="1"/>
          </xdr:cNvSpPr>
        </xdr:nvSpPr>
        <xdr:spPr bwMode="auto">
          <a:xfrm>
            <a:off x="1939718" y="8694827"/>
            <a:ext cx="290306" cy="282700"/>
          </a:xfrm>
          <a:prstGeom prst="ellipse">
            <a:avLst/>
          </a:prstGeom>
          <a:solidFill>
            <a:srgbClr val="FFFFFF"/>
          </a:solidFill>
          <a:ln w="9525">
            <a:solidFill>
              <a:srgbClr val="000000"/>
            </a:solidFill>
            <a:round/>
            <a:headEnd/>
            <a:tailEnd/>
          </a:ln>
        </xdr:spPr>
      </xdr:sp>
      <xdr:sp macro="" textlink="">
        <xdr:nvSpPr>
          <xdr:cNvPr id="4779989" name="Line 324">
            <a:extLst>
              <a:ext uri="{FF2B5EF4-FFF2-40B4-BE49-F238E27FC236}">
                <a16:creationId xmlns:a16="http://schemas.microsoft.com/office/drawing/2014/main" id="{00000000-0008-0000-0100-0000D5EF4800}"/>
              </a:ext>
            </a:extLst>
          </xdr:cNvPr>
          <xdr:cNvSpPr>
            <a:spLocks noChangeShapeType="1"/>
          </xdr:cNvSpPr>
        </xdr:nvSpPr>
        <xdr:spPr bwMode="auto">
          <a:xfrm>
            <a:off x="2083718" y="8304129"/>
            <a:ext cx="0" cy="540000"/>
          </a:xfrm>
          <a:prstGeom prst="line">
            <a:avLst/>
          </a:prstGeom>
          <a:noFill/>
          <a:ln w="9525">
            <a:solidFill>
              <a:srgbClr val="000000"/>
            </a:solidFill>
            <a:round/>
            <a:headEnd type="triangle" w="med" len="med"/>
            <a:tailEnd type="triangle" w="med" len="med"/>
          </a:ln>
        </xdr:spPr>
      </xdr:sp>
      <xdr:sp macro="" textlink="">
        <xdr:nvSpPr>
          <xdr:cNvPr id="4779990" name="Line 324">
            <a:extLst>
              <a:ext uri="{FF2B5EF4-FFF2-40B4-BE49-F238E27FC236}">
                <a16:creationId xmlns:a16="http://schemas.microsoft.com/office/drawing/2014/main" id="{00000000-0008-0000-0100-0000D6EF4800}"/>
              </a:ext>
            </a:extLst>
          </xdr:cNvPr>
          <xdr:cNvSpPr>
            <a:spLocks noChangeShapeType="1"/>
          </xdr:cNvSpPr>
        </xdr:nvSpPr>
        <xdr:spPr bwMode="auto">
          <a:xfrm>
            <a:off x="2083718" y="8838866"/>
            <a:ext cx="0" cy="144000"/>
          </a:xfrm>
          <a:prstGeom prst="line">
            <a:avLst/>
          </a:prstGeom>
          <a:noFill/>
          <a:ln w="9525">
            <a:solidFill>
              <a:srgbClr val="000000"/>
            </a:solidFill>
            <a:round/>
            <a:headEnd type="triangle" w="sm" len="sm"/>
            <a:tailEnd type="triangle" w="sm" len="sm"/>
          </a:ln>
        </xdr:spPr>
      </xdr:sp>
    </xdr:grpSp>
    <xdr:clientData/>
  </xdr:twoCellAnchor>
  <mc:AlternateContent xmlns:mc="http://schemas.openxmlformats.org/markup-compatibility/2006">
    <mc:Choice xmlns:a14="http://schemas.microsoft.com/office/drawing/2010/main" Requires="a14">
      <xdr:twoCellAnchor>
        <xdr:from>
          <xdr:col>3</xdr:col>
          <xdr:colOff>647700</xdr:colOff>
          <xdr:row>9</xdr:row>
          <xdr:rowOff>161925</xdr:rowOff>
        </xdr:from>
        <xdr:to>
          <xdr:col>4</xdr:col>
          <xdr:colOff>0</xdr:colOff>
          <xdr:row>11</xdr:row>
          <xdr:rowOff>9525</xdr:rowOff>
        </xdr:to>
        <xdr:sp macro="" textlink="">
          <xdr:nvSpPr>
            <xdr:cNvPr id="1424424" name="Spinner 1064" hidden="1">
              <a:extLst>
                <a:ext uri="{63B3BB69-23CF-44E3-9099-C40C66FF867C}">
                  <a14:compatExt spid="_x0000_s1424424"/>
                </a:ext>
                <a:ext uri="{FF2B5EF4-FFF2-40B4-BE49-F238E27FC236}">
                  <a16:creationId xmlns:a16="http://schemas.microsoft.com/office/drawing/2014/main" id="{00000000-0008-0000-0100-000028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43</xdr:row>
          <xdr:rowOff>9525</xdr:rowOff>
        </xdr:from>
        <xdr:to>
          <xdr:col>2</xdr:col>
          <xdr:colOff>0</xdr:colOff>
          <xdr:row>44</xdr:row>
          <xdr:rowOff>0</xdr:rowOff>
        </xdr:to>
        <xdr:sp macro="" textlink="">
          <xdr:nvSpPr>
            <xdr:cNvPr id="1424589" name="Spinner 1229" hidden="1">
              <a:extLst>
                <a:ext uri="{63B3BB69-23CF-44E3-9099-C40C66FF867C}">
                  <a14:compatExt spid="_x0000_s1424589"/>
                </a:ext>
                <a:ext uri="{FF2B5EF4-FFF2-40B4-BE49-F238E27FC236}">
                  <a16:creationId xmlns:a16="http://schemas.microsoft.com/office/drawing/2014/main" id="{00000000-0008-0000-0100-0000CD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45</xdr:row>
          <xdr:rowOff>9525</xdr:rowOff>
        </xdr:from>
        <xdr:to>
          <xdr:col>2</xdr:col>
          <xdr:colOff>0</xdr:colOff>
          <xdr:row>46</xdr:row>
          <xdr:rowOff>0</xdr:rowOff>
        </xdr:to>
        <xdr:sp macro="" textlink="">
          <xdr:nvSpPr>
            <xdr:cNvPr id="1424590" name="Spinner 1230" hidden="1">
              <a:extLst>
                <a:ext uri="{63B3BB69-23CF-44E3-9099-C40C66FF867C}">
                  <a14:compatExt spid="_x0000_s1424590"/>
                </a:ext>
                <a:ext uri="{FF2B5EF4-FFF2-40B4-BE49-F238E27FC236}">
                  <a16:creationId xmlns:a16="http://schemas.microsoft.com/office/drawing/2014/main" id="{00000000-0008-0000-0100-0000CE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51</xdr:row>
          <xdr:rowOff>9525</xdr:rowOff>
        </xdr:from>
        <xdr:to>
          <xdr:col>2</xdr:col>
          <xdr:colOff>0</xdr:colOff>
          <xdr:row>52</xdr:row>
          <xdr:rowOff>0</xdr:rowOff>
        </xdr:to>
        <xdr:sp macro="" textlink="">
          <xdr:nvSpPr>
            <xdr:cNvPr id="1424591" name="Spinner 1231" hidden="1">
              <a:extLst>
                <a:ext uri="{63B3BB69-23CF-44E3-9099-C40C66FF867C}">
                  <a14:compatExt spid="_x0000_s1424591"/>
                </a:ext>
                <a:ext uri="{FF2B5EF4-FFF2-40B4-BE49-F238E27FC236}">
                  <a16:creationId xmlns:a16="http://schemas.microsoft.com/office/drawing/2014/main" id="{00000000-0008-0000-0100-0000CFBC15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28575</xdr:colOff>
          <xdr:row>94</xdr:row>
          <xdr:rowOff>76200</xdr:rowOff>
        </xdr:from>
        <xdr:to>
          <xdr:col>3</xdr:col>
          <xdr:colOff>762000</xdr:colOff>
          <xdr:row>100</xdr:row>
          <xdr:rowOff>95250</xdr:rowOff>
        </xdr:to>
        <xdr:sp macro="" textlink="">
          <xdr:nvSpPr>
            <xdr:cNvPr id="1425294" name="Object 1934" hidden="1">
              <a:extLst>
                <a:ext uri="{63B3BB69-23CF-44E3-9099-C40C66FF867C}">
                  <a14:compatExt spid="_x0000_s1425294"/>
                </a:ext>
                <a:ext uri="{FF2B5EF4-FFF2-40B4-BE49-F238E27FC236}">
                  <a16:creationId xmlns:a16="http://schemas.microsoft.com/office/drawing/2014/main" id="{00000000-0008-0000-0100-00008EBF1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1181100</xdr:colOff>
          <xdr:row>53</xdr:row>
          <xdr:rowOff>9525</xdr:rowOff>
        </xdr:from>
        <xdr:to>
          <xdr:col>2</xdr:col>
          <xdr:colOff>0</xdr:colOff>
          <xdr:row>54</xdr:row>
          <xdr:rowOff>0</xdr:rowOff>
        </xdr:to>
        <xdr:sp macro="" textlink="">
          <xdr:nvSpPr>
            <xdr:cNvPr id="4779462" name="Spinner 4550" hidden="1">
              <a:extLst>
                <a:ext uri="{63B3BB69-23CF-44E3-9099-C40C66FF867C}">
                  <a14:compatExt spid="_x0000_s4779462"/>
                </a:ext>
                <a:ext uri="{FF2B5EF4-FFF2-40B4-BE49-F238E27FC236}">
                  <a16:creationId xmlns:a16="http://schemas.microsoft.com/office/drawing/2014/main" id="{00000000-0008-0000-0100-0000C6ED48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twoCellAnchor>
    <xdr:from>
      <xdr:col>2</xdr:col>
      <xdr:colOff>111065</xdr:colOff>
      <xdr:row>40</xdr:row>
      <xdr:rowOff>120650</xdr:rowOff>
    </xdr:from>
    <xdr:to>
      <xdr:col>3</xdr:col>
      <xdr:colOff>723899</xdr:colOff>
      <xdr:row>47</xdr:row>
      <xdr:rowOff>163763</xdr:rowOff>
    </xdr:to>
    <xdr:grpSp>
      <xdr:nvGrpSpPr>
        <xdr:cNvPr id="5" name="Groupe 4">
          <a:extLst>
            <a:ext uri="{FF2B5EF4-FFF2-40B4-BE49-F238E27FC236}">
              <a16:creationId xmlns:a16="http://schemas.microsoft.com/office/drawing/2014/main" id="{00000000-0008-0000-0100-000005000000}"/>
            </a:ext>
          </a:extLst>
        </xdr:cNvPr>
        <xdr:cNvGrpSpPr/>
      </xdr:nvGrpSpPr>
      <xdr:grpSpPr>
        <a:xfrm>
          <a:off x="1330265" y="6607175"/>
          <a:ext cx="1470084" cy="1176588"/>
          <a:chOff x="1206570" y="6604334"/>
          <a:chExt cx="1696381" cy="1189455"/>
        </a:xfrm>
      </xdr:grpSpPr>
      <xdr:grpSp>
        <xdr:nvGrpSpPr>
          <xdr:cNvPr id="4779986" name="Groupe 1">
            <a:extLst>
              <a:ext uri="{FF2B5EF4-FFF2-40B4-BE49-F238E27FC236}">
                <a16:creationId xmlns:a16="http://schemas.microsoft.com/office/drawing/2014/main" id="{00000000-0008-0000-0100-0000D2EF4800}"/>
              </a:ext>
            </a:extLst>
          </xdr:cNvPr>
          <xdr:cNvGrpSpPr>
            <a:grpSpLocks/>
          </xdr:cNvGrpSpPr>
        </xdr:nvGrpSpPr>
        <xdr:grpSpPr bwMode="auto">
          <a:xfrm>
            <a:off x="1423067" y="6604334"/>
            <a:ext cx="1479884" cy="1189455"/>
            <a:chOff x="1362074" y="6410325"/>
            <a:chExt cx="1319467" cy="1181100"/>
          </a:xfrm>
        </xdr:grpSpPr>
        <xdr:sp macro="" textlink="">
          <xdr:nvSpPr>
            <xdr:cNvPr id="4779991" name="Line 320">
              <a:extLst>
                <a:ext uri="{FF2B5EF4-FFF2-40B4-BE49-F238E27FC236}">
                  <a16:creationId xmlns:a16="http://schemas.microsoft.com/office/drawing/2014/main" id="{00000000-0008-0000-0100-0000D7EF4800}"/>
                </a:ext>
              </a:extLst>
            </xdr:cNvPr>
            <xdr:cNvSpPr>
              <a:spLocks noChangeShapeType="1"/>
            </xdr:cNvSpPr>
          </xdr:nvSpPr>
          <xdr:spPr bwMode="auto">
            <a:xfrm flipH="1">
              <a:off x="1481627" y="7305580"/>
              <a:ext cx="342769" cy="0"/>
            </a:xfrm>
            <a:prstGeom prst="line">
              <a:avLst/>
            </a:prstGeom>
            <a:noFill/>
            <a:ln w="9525">
              <a:solidFill>
                <a:srgbClr val="000000"/>
              </a:solidFill>
              <a:round/>
              <a:headEnd type="triangle" w="med" len="med"/>
              <a:tailEnd type="triangle" w="med" len="med"/>
            </a:ln>
          </xdr:spPr>
        </xdr:sp>
        <xdr:sp macro="" textlink="">
          <xdr:nvSpPr>
            <xdr:cNvPr id="4779992" name="Rectangle 314">
              <a:extLst>
                <a:ext uri="{FF2B5EF4-FFF2-40B4-BE49-F238E27FC236}">
                  <a16:creationId xmlns:a16="http://schemas.microsoft.com/office/drawing/2014/main" id="{00000000-0008-0000-0100-0000D8EF4800}"/>
                </a:ext>
              </a:extLst>
            </xdr:cNvPr>
            <xdr:cNvSpPr>
              <a:spLocks noChangeArrowheads="1"/>
            </xdr:cNvSpPr>
          </xdr:nvSpPr>
          <xdr:spPr bwMode="auto">
            <a:xfrm>
              <a:off x="1838688" y="6410325"/>
              <a:ext cx="481630" cy="1181100"/>
            </a:xfrm>
            <a:prstGeom prst="rect">
              <a:avLst/>
            </a:prstGeom>
            <a:solidFill>
              <a:srgbClr val="F2F2F2"/>
            </a:solidFill>
            <a:ln w="9525">
              <a:solidFill>
                <a:srgbClr val="000000"/>
              </a:solidFill>
              <a:miter lim="800000"/>
              <a:headEnd/>
              <a:tailEnd/>
            </a:ln>
          </xdr:spPr>
        </xdr:sp>
        <xdr:sp macro="" textlink="">
          <xdr:nvSpPr>
            <xdr:cNvPr id="4779993" name="Rectangle 315">
              <a:extLst>
                <a:ext uri="{FF2B5EF4-FFF2-40B4-BE49-F238E27FC236}">
                  <a16:creationId xmlns:a16="http://schemas.microsoft.com/office/drawing/2014/main" id="{00000000-0008-0000-0100-0000D9EF4800}"/>
                </a:ext>
              </a:extLst>
            </xdr:cNvPr>
            <xdr:cNvSpPr>
              <a:spLocks noChangeArrowheads="1"/>
            </xdr:cNvSpPr>
          </xdr:nvSpPr>
          <xdr:spPr bwMode="auto">
            <a:xfrm rot="16200000">
              <a:off x="1842199" y="6398837"/>
              <a:ext cx="474608" cy="1204076"/>
            </a:xfrm>
            <a:prstGeom prst="rect">
              <a:avLst/>
            </a:prstGeom>
            <a:solidFill>
              <a:srgbClr val="F2F2F2"/>
            </a:solidFill>
            <a:ln w="9525">
              <a:solidFill>
                <a:srgbClr val="000000"/>
              </a:solidFill>
              <a:miter lim="800000"/>
              <a:headEnd/>
              <a:tailEnd/>
            </a:ln>
          </xdr:spPr>
        </xdr:sp>
        <xdr:sp macro="" textlink="">
          <xdr:nvSpPr>
            <xdr:cNvPr id="4779994" name="Line 316">
              <a:extLst>
                <a:ext uri="{FF2B5EF4-FFF2-40B4-BE49-F238E27FC236}">
                  <a16:creationId xmlns:a16="http://schemas.microsoft.com/office/drawing/2014/main" id="{00000000-0008-0000-0100-0000DAEF4800}"/>
                </a:ext>
              </a:extLst>
            </xdr:cNvPr>
            <xdr:cNvSpPr>
              <a:spLocks noChangeShapeType="1"/>
            </xdr:cNvSpPr>
          </xdr:nvSpPr>
          <xdr:spPr bwMode="auto">
            <a:xfrm>
              <a:off x="1839552" y="6759733"/>
              <a:ext cx="0" cy="482283"/>
            </a:xfrm>
            <a:prstGeom prst="line">
              <a:avLst/>
            </a:prstGeom>
            <a:noFill/>
            <a:ln w="9525">
              <a:solidFill>
                <a:srgbClr val="000000"/>
              </a:solidFill>
              <a:round/>
              <a:headEnd/>
              <a:tailEnd/>
            </a:ln>
          </xdr:spPr>
        </xdr:sp>
        <xdr:sp macro="" textlink="">
          <xdr:nvSpPr>
            <xdr:cNvPr id="4779995" name="Line 317">
              <a:extLst>
                <a:ext uri="{FF2B5EF4-FFF2-40B4-BE49-F238E27FC236}">
                  <a16:creationId xmlns:a16="http://schemas.microsoft.com/office/drawing/2014/main" id="{00000000-0008-0000-0100-0000DBEF4800}"/>
                </a:ext>
              </a:extLst>
            </xdr:cNvPr>
            <xdr:cNvSpPr>
              <a:spLocks noChangeShapeType="1"/>
            </xdr:cNvSpPr>
          </xdr:nvSpPr>
          <xdr:spPr bwMode="auto">
            <a:xfrm>
              <a:off x="2320389" y="6759733"/>
              <a:ext cx="0" cy="482283"/>
            </a:xfrm>
            <a:prstGeom prst="line">
              <a:avLst/>
            </a:prstGeom>
            <a:noFill/>
            <a:ln w="9525">
              <a:solidFill>
                <a:srgbClr val="000000"/>
              </a:solidFill>
              <a:round/>
              <a:headEnd/>
              <a:tailEnd/>
            </a:ln>
          </xdr:spPr>
          <xdr:txBody>
            <a:bodyPr/>
            <a:lstStyle/>
            <a:p>
              <a:endParaRPr lang="fr-FR"/>
            </a:p>
          </xdr:txBody>
        </xdr:sp>
        <xdr:sp macro="" textlink="">
          <xdr:nvSpPr>
            <xdr:cNvPr id="4779996" name="Line 319">
              <a:extLst>
                <a:ext uri="{FF2B5EF4-FFF2-40B4-BE49-F238E27FC236}">
                  <a16:creationId xmlns:a16="http://schemas.microsoft.com/office/drawing/2014/main" id="{00000000-0008-0000-0100-0000DCEF4800}"/>
                </a:ext>
              </a:extLst>
            </xdr:cNvPr>
            <xdr:cNvSpPr>
              <a:spLocks noChangeShapeType="1"/>
            </xdr:cNvSpPr>
          </xdr:nvSpPr>
          <xdr:spPr bwMode="auto">
            <a:xfrm>
              <a:off x="1362074" y="6762863"/>
              <a:ext cx="0" cy="476023"/>
            </a:xfrm>
            <a:prstGeom prst="line">
              <a:avLst/>
            </a:prstGeom>
            <a:noFill/>
            <a:ln w="9525">
              <a:solidFill>
                <a:srgbClr val="000000"/>
              </a:solidFill>
              <a:round/>
              <a:headEnd type="triangle" w="med" len="med"/>
              <a:tailEnd type="triangle" w="med" len="med"/>
            </a:ln>
          </xdr:spPr>
        </xdr:sp>
      </xdr:grpSp>
      <xdr:sp macro="" textlink="">
        <xdr:nvSpPr>
          <xdr:cNvPr id="2" name="ZoneTexte 1">
            <a:extLst>
              <a:ext uri="{FF2B5EF4-FFF2-40B4-BE49-F238E27FC236}">
                <a16:creationId xmlns:a16="http://schemas.microsoft.com/office/drawing/2014/main" id="{00000000-0008-0000-0100-000002000000}"/>
              </a:ext>
            </a:extLst>
          </xdr:cNvPr>
          <xdr:cNvSpPr txBox="1"/>
        </xdr:nvSpPr>
        <xdr:spPr>
          <a:xfrm>
            <a:off x="1206570" y="7066782"/>
            <a:ext cx="2522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b="1"/>
              <a:t>a</a:t>
            </a:r>
          </a:p>
        </xdr:txBody>
      </xdr:sp>
      <xdr:sp macro="" textlink="">
        <xdr:nvSpPr>
          <xdr:cNvPr id="3" name="ZoneTexte 2">
            <a:extLst>
              <a:ext uri="{FF2B5EF4-FFF2-40B4-BE49-F238E27FC236}">
                <a16:creationId xmlns:a16="http://schemas.microsoft.com/office/drawing/2014/main" id="{00000000-0008-0000-0100-000003000000}"/>
              </a:ext>
            </a:extLst>
          </xdr:cNvPr>
          <xdr:cNvSpPr txBox="1"/>
        </xdr:nvSpPr>
        <xdr:spPr>
          <a:xfrm>
            <a:off x="1607218" y="7462419"/>
            <a:ext cx="2603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b="1"/>
              <a:t>b</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165100</xdr:colOff>
      <xdr:row>1</xdr:row>
      <xdr:rowOff>0</xdr:rowOff>
    </xdr:from>
    <xdr:to>
      <xdr:col>10</xdr:col>
      <xdr:colOff>622300</xdr:colOff>
      <xdr:row>19</xdr:row>
      <xdr:rowOff>0</xdr:rowOff>
    </xdr:to>
    <xdr:graphicFrame macro="">
      <xdr:nvGraphicFramePr>
        <xdr:cNvPr id="5105813" name="Graphique 1">
          <a:extLst>
            <a:ext uri="{FF2B5EF4-FFF2-40B4-BE49-F238E27FC236}">
              <a16:creationId xmlns:a16="http://schemas.microsoft.com/office/drawing/2014/main" id="{00000000-0008-0000-0200-000095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165100</xdr:colOff>
      <xdr:row>37</xdr:row>
      <xdr:rowOff>0</xdr:rowOff>
    </xdr:from>
    <xdr:to>
      <xdr:col>10</xdr:col>
      <xdr:colOff>622300</xdr:colOff>
      <xdr:row>55</xdr:row>
      <xdr:rowOff>0</xdr:rowOff>
    </xdr:to>
    <xdr:graphicFrame macro="">
      <xdr:nvGraphicFramePr>
        <xdr:cNvPr id="5105814" name="Graphique 2">
          <a:extLst>
            <a:ext uri="{FF2B5EF4-FFF2-40B4-BE49-F238E27FC236}">
              <a16:creationId xmlns:a16="http://schemas.microsoft.com/office/drawing/2014/main" id="{00000000-0008-0000-0200-000096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165100</xdr:colOff>
      <xdr:row>19</xdr:row>
      <xdr:rowOff>0</xdr:rowOff>
    </xdr:from>
    <xdr:to>
      <xdr:col>10</xdr:col>
      <xdr:colOff>622300</xdr:colOff>
      <xdr:row>37</xdr:row>
      <xdr:rowOff>0</xdr:rowOff>
    </xdr:to>
    <xdr:graphicFrame macro="">
      <xdr:nvGraphicFramePr>
        <xdr:cNvPr id="5105815" name="Graphique 3">
          <a:extLst>
            <a:ext uri="{FF2B5EF4-FFF2-40B4-BE49-F238E27FC236}">
              <a16:creationId xmlns:a16="http://schemas.microsoft.com/office/drawing/2014/main" id="{00000000-0008-0000-0200-000097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165100</xdr:colOff>
      <xdr:row>55</xdr:row>
      <xdr:rowOff>0</xdr:rowOff>
    </xdr:from>
    <xdr:to>
      <xdr:col>10</xdr:col>
      <xdr:colOff>622300</xdr:colOff>
      <xdr:row>73</xdr:row>
      <xdr:rowOff>0</xdr:rowOff>
    </xdr:to>
    <xdr:graphicFrame macro="">
      <xdr:nvGraphicFramePr>
        <xdr:cNvPr id="5105816" name="Graphique 4">
          <a:extLst>
            <a:ext uri="{FF2B5EF4-FFF2-40B4-BE49-F238E27FC236}">
              <a16:creationId xmlns:a16="http://schemas.microsoft.com/office/drawing/2014/main" id="{00000000-0008-0000-0200-000098E8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12700</xdr:colOff>
      <xdr:row>4</xdr:row>
      <xdr:rowOff>44450</xdr:rowOff>
    </xdr:from>
    <xdr:to>
      <xdr:col>7</xdr:col>
      <xdr:colOff>215900</xdr:colOff>
      <xdr:row>19</xdr:row>
      <xdr:rowOff>133350</xdr:rowOff>
    </xdr:to>
    <xdr:graphicFrame macro="">
      <xdr:nvGraphicFramePr>
        <xdr:cNvPr id="5110822" name="Graphique 1">
          <a:extLst>
            <a:ext uri="{FF2B5EF4-FFF2-40B4-BE49-F238E27FC236}">
              <a16:creationId xmlns:a16="http://schemas.microsoft.com/office/drawing/2014/main" id="{00000000-0008-0000-0300-000026FC4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273050</xdr:colOff>
      <xdr:row>1008</xdr:row>
      <xdr:rowOff>146050</xdr:rowOff>
    </xdr:from>
    <xdr:to>
      <xdr:col>16</xdr:col>
      <xdr:colOff>152400</xdr:colOff>
      <xdr:row>1010</xdr:row>
      <xdr:rowOff>82550</xdr:rowOff>
    </xdr:to>
    <xdr:sp macro="" textlink="">
      <xdr:nvSpPr>
        <xdr:cNvPr id="3393" name="Line 60">
          <a:extLst>
            <a:ext uri="{FF2B5EF4-FFF2-40B4-BE49-F238E27FC236}">
              <a16:creationId xmlns:a16="http://schemas.microsoft.com/office/drawing/2014/main" id="{00000000-0008-0000-0400-0000410D0000}"/>
            </a:ext>
          </a:extLst>
        </xdr:cNvPr>
        <xdr:cNvSpPr>
          <a:spLocks noChangeShapeType="1"/>
        </xdr:cNvSpPr>
      </xdr:nvSpPr>
      <xdr:spPr bwMode="auto">
        <a:xfrm flipH="1">
          <a:off x="5759450" y="160172400"/>
          <a:ext cx="1098550" cy="254000"/>
        </a:xfrm>
        <a:prstGeom prst="line">
          <a:avLst/>
        </a:prstGeom>
        <a:noFill/>
        <a:ln w="9525">
          <a:solidFill>
            <a:srgbClr val="000000"/>
          </a:solidFill>
          <a:round/>
          <a:headEnd/>
          <a:tailEnd type="triangle" w="med" len="med"/>
        </a:ln>
      </xdr:spPr>
    </xdr:sp>
    <xdr:clientData/>
  </xdr:twoCellAnchor>
  <xdr:twoCellAnchor>
    <xdr:from>
      <xdr:col>12</xdr:col>
      <xdr:colOff>279400</xdr:colOff>
      <xdr:row>1011</xdr:row>
      <xdr:rowOff>95250</xdr:rowOff>
    </xdr:from>
    <xdr:to>
      <xdr:col>17</xdr:col>
      <xdr:colOff>349250</xdr:colOff>
      <xdr:row>1013</xdr:row>
      <xdr:rowOff>139700</xdr:rowOff>
    </xdr:to>
    <xdr:sp macro="" textlink="">
      <xdr:nvSpPr>
        <xdr:cNvPr id="3394" name="Line 71">
          <a:extLst>
            <a:ext uri="{FF2B5EF4-FFF2-40B4-BE49-F238E27FC236}">
              <a16:creationId xmlns:a16="http://schemas.microsoft.com/office/drawing/2014/main" id="{00000000-0008-0000-0400-0000420D0000}"/>
            </a:ext>
          </a:extLst>
        </xdr:cNvPr>
        <xdr:cNvSpPr>
          <a:spLocks noChangeShapeType="1"/>
        </xdr:cNvSpPr>
      </xdr:nvSpPr>
      <xdr:spPr bwMode="auto">
        <a:xfrm flipH="1" flipV="1">
          <a:off x="5765800" y="160597850"/>
          <a:ext cx="1892300" cy="361950"/>
        </a:xfrm>
        <a:prstGeom prst="line">
          <a:avLst/>
        </a:prstGeom>
        <a:noFill/>
        <a:ln w="9525">
          <a:solidFill>
            <a:srgbClr val="000000"/>
          </a:solidFill>
          <a:round/>
          <a:headEnd/>
          <a:tailEnd type="triangle" w="med" len="med"/>
        </a:ln>
      </xdr:spPr>
    </xdr:sp>
    <xdr:clientData/>
  </xdr:twoCellAnchor>
  <xdr:twoCellAnchor>
    <xdr:from>
      <xdr:col>12</xdr:col>
      <xdr:colOff>279400</xdr:colOff>
      <xdr:row>1012</xdr:row>
      <xdr:rowOff>139700</xdr:rowOff>
    </xdr:from>
    <xdr:to>
      <xdr:col>17</xdr:col>
      <xdr:colOff>349250</xdr:colOff>
      <xdr:row>1015</xdr:row>
      <xdr:rowOff>25400</xdr:rowOff>
    </xdr:to>
    <xdr:sp macro="" textlink="">
      <xdr:nvSpPr>
        <xdr:cNvPr id="3395" name="Line 71">
          <a:extLst>
            <a:ext uri="{FF2B5EF4-FFF2-40B4-BE49-F238E27FC236}">
              <a16:creationId xmlns:a16="http://schemas.microsoft.com/office/drawing/2014/main" id="{00000000-0008-0000-0400-0000430D0000}"/>
            </a:ext>
          </a:extLst>
        </xdr:cNvPr>
        <xdr:cNvSpPr>
          <a:spLocks noChangeShapeType="1"/>
        </xdr:cNvSpPr>
      </xdr:nvSpPr>
      <xdr:spPr bwMode="auto">
        <a:xfrm flipH="1" flipV="1">
          <a:off x="5765800" y="160801050"/>
          <a:ext cx="1892300" cy="361950"/>
        </a:xfrm>
        <a:prstGeom prst="line">
          <a:avLst/>
        </a:prstGeom>
        <a:noFill/>
        <a:ln w="9525">
          <a:solidFill>
            <a:srgbClr val="000000"/>
          </a:solidFill>
          <a:round/>
          <a:headEnd/>
          <a:tailEnd type="triangle" w="med" len="med"/>
        </a:ln>
      </xdr:spPr>
    </xdr:sp>
    <xdr:clientData/>
  </xdr:twoCellAnchor>
  <mc:AlternateContent xmlns:mc="http://schemas.openxmlformats.org/markup-compatibility/2006">
    <mc:Choice xmlns:a14="http://schemas.microsoft.com/office/drawing/2010/main" Requires="a14">
      <xdr:twoCellAnchor editAs="oneCell">
        <xdr:from>
          <xdr:col>18</xdr:col>
          <xdr:colOff>9525</xdr:colOff>
          <xdr:row>1010</xdr:row>
          <xdr:rowOff>104775</xdr:rowOff>
        </xdr:from>
        <xdr:to>
          <xdr:col>20</xdr:col>
          <xdr:colOff>295275</xdr:colOff>
          <xdr:row>1013</xdr:row>
          <xdr:rowOff>28575</xdr:rowOff>
        </xdr:to>
        <xdr:sp macro="" textlink="">
          <xdr:nvSpPr>
            <xdr:cNvPr id="3091" name="Object 19" hidden="1">
              <a:extLst>
                <a:ext uri="{63B3BB69-23CF-44E3-9099-C40C66FF867C}">
                  <a14:compatExt spid="_x0000_s3091"/>
                </a:ext>
                <a:ext uri="{FF2B5EF4-FFF2-40B4-BE49-F238E27FC236}">
                  <a16:creationId xmlns:a16="http://schemas.microsoft.com/office/drawing/2014/main" id="{00000000-0008-0000-0400-00001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1024</xdr:row>
          <xdr:rowOff>161925</xdr:rowOff>
        </xdr:from>
        <xdr:to>
          <xdr:col>25</xdr:col>
          <xdr:colOff>457200</xdr:colOff>
          <xdr:row>1026</xdr:row>
          <xdr:rowOff>76200</xdr:rowOff>
        </xdr:to>
        <xdr:sp macro="" textlink="">
          <xdr:nvSpPr>
            <xdr:cNvPr id="3092" name="Object 20" hidden="1">
              <a:extLst>
                <a:ext uri="{63B3BB69-23CF-44E3-9099-C40C66FF867C}">
                  <a14:compatExt spid="_x0000_s3092"/>
                </a:ext>
                <a:ext uri="{FF2B5EF4-FFF2-40B4-BE49-F238E27FC236}">
                  <a16:creationId xmlns:a16="http://schemas.microsoft.com/office/drawing/2014/main" id="{00000000-0008-0000-0400-00001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257175</xdr:colOff>
          <xdr:row>1006</xdr:row>
          <xdr:rowOff>28575</xdr:rowOff>
        </xdr:from>
        <xdr:to>
          <xdr:col>24</xdr:col>
          <xdr:colOff>152400</xdr:colOff>
          <xdr:row>1007</xdr:row>
          <xdr:rowOff>104775</xdr:rowOff>
        </xdr:to>
        <xdr:sp macro="" textlink="">
          <xdr:nvSpPr>
            <xdr:cNvPr id="3096" name="Object 24" hidden="1">
              <a:extLst>
                <a:ext uri="{63B3BB69-23CF-44E3-9099-C40C66FF867C}">
                  <a14:compatExt spid="_x0000_s3096"/>
                </a:ext>
                <a:ext uri="{FF2B5EF4-FFF2-40B4-BE49-F238E27FC236}">
                  <a16:creationId xmlns:a16="http://schemas.microsoft.com/office/drawing/2014/main" id="{00000000-0008-0000-0400-00001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1017</xdr:row>
          <xdr:rowOff>161925</xdr:rowOff>
        </xdr:from>
        <xdr:to>
          <xdr:col>10</xdr:col>
          <xdr:colOff>581025</xdr:colOff>
          <xdr:row>1019</xdr:row>
          <xdr:rowOff>142875</xdr:rowOff>
        </xdr:to>
        <xdr:sp macro="" textlink="">
          <xdr:nvSpPr>
            <xdr:cNvPr id="3112" name="Object 40" hidden="1">
              <a:extLst>
                <a:ext uri="{63B3BB69-23CF-44E3-9099-C40C66FF867C}">
                  <a14:compatExt spid="_x0000_s3112"/>
                </a:ext>
                <a:ext uri="{FF2B5EF4-FFF2-40B4-BE49-F238E27FC236}">
                  <a16:creationId xmlns:a16="http://schemas.microsoft.com/office/drawing/2014/main" id="{00000000-0008-0000-0400-00002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1014</xdr:row>
          <xdr:rowOff>180975</xdr:rowOff>
        </xdr:from>
        <xdr:to>
          <xdr:col>11</xdr:col>
          <xdr:colOff>266700</xdr:colOff>
          <xdr:row>1016</xdr:row>
          <xdr:rowOff>66675</xdr:rowOff>
        </xdr:to>
        <xdr:sp macro="" textlink="">
          <xdr:nvSpPr>
            <xdr:cNvPr id="3114" name="Object 42" hidden="1">
              <a:extLst>
                <a:ext uri="{63B3BB69-23CF-44E3-9099-C40C66FF867C}">
                  <a14:compatExt spid="_x0000_s3114"/>
                </a:ext>
                <a:ext uri="{FF2B5EF4-FFF2-40B4-BE49-F238E27FC236}">
                  <a16:creationId xmlns:a16="http://schemas.microsoft.com/office/drawing/2014/main" id="{00000000-0008-0000-0400-00002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9525</xdr:colOff>
          <xdr:row>1016</xdr:row>
          <xdr:rowOff>76200</xdr:rowOff>
        </xdr:from>
        <xdr:to>
          <xdr:col>11</xdr:col>
          <xdr:colOff>238125</xdr:colOff>
          <xdr:row>1017</xdr:row>
          <xdr:rowOff>161925</xdr:rowOff>
        </xdr:to>
        <xdr:sp macro="" textlink="">
          <xdr:nvSpPr>
            <xdr:cNvPr id="3115" name="Object 43" hidden="1">
              <a:extLst>
                <a:ext uri="{63B3BB69-23CF-44E3-9099-C40C66FF867C}">
                  <a14:compatExt spid="_x0000_s3115"/>
                </a:ext>
                <a:ext uri="{FF2B5EF4-FFF2-40B4-BE49-F238E27FC236}">
                  <a16:creationId xmlns:a16="http://schemas.microsoft.com/office/drawing/2014/main" id="{00000000-0008-0000-0400-00002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1022</xdr:row>
          <xdr:rowOff>66675</xdr:rowOff>
        </xdr:from>
        <xdr:to>
          <xdr:col>17</xdr:col>
          <xdr:colOff>276225</xdr:colOff>
          <xdr:row>1024</xdr:row>
          <xdr:rowOff>161925</xdr:rowOff>
        </xdr:to>
        <xdr:sp macro="" textlink="">
          <xdr:nvSpPr>
            <xdr:cNvPr id="3119" name="Object 47" hidden="1">
              <a:extLst>
                <a:ext uri="{63B3BB69-23CF-44E3-9099-C40C66FF867C}">
                  <a14:compatExt spid="_x0000_s3119"/>
                </a:ext>
                <a:ext uri="{FF2B5EF4-FFF2-40B4-BE49-F238E27FC236}">
                  <a16:creationId xmlns:a16="http://schemas.microsoft.com/office/drawing/2014/main" id="{00000000-0008-0000-0400-00002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1008</xdr:row>
          <xdr:rowOff>0</xdr:rowOff>
        </xdr:from>
        <xdr:to>
          <xdr:col>11</xdr:col>
          <xdr:colOff>238125</xdr:colOff>
          <xdr:row>1010</xdr:row>
          <xdr:rowOff>85725</xdr:rowOff>
        </xdr:to>
        <xdr:sp macro="" textlink="">
          <xdr:nvSpPr>
            <xdr:cNvPr id="3120" name="Object 48" hidden="1">
              <a:extLst>
                <a:ext uri="{63B3BB69-23CF-44E3-9099-C40C66FF867C}">
                  <a14:compatExt spid="_x0000_s3120"/>
                </a:ext>
                <a:ext uri="{FF2B5EF4-FFF2-40B4-BE49-F238E27FC236}">
                  <a16:creationId xmlns:a16="http://schemas.microsoft.com/office/drawing/2014/main" id="{00000000-0008-0000-0400-00003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1010</xdr:row>
          <xdr:rowOff>104775</xdr:rowOff>
        </xdr:from>
        <xdr:to>
          <xdr:col>12</xdr:col>
          <xdr:colOff>238125</xdr:colOff>
          <xdr:row>1013</xdr:row>
          <xdr:rowOff>0</xdr:rowOff>
        </xdr:to>
        <xdr:sp macro="" textlink="">
          <xdr:nvSpPr>
            <xdr:cNvPr id="3121" name="Object 49" hidden="1">
              <a:extLst>
                <a:ext uri="{63B3BB69-23CF-44E3-9099-C40C66FF867C}">
                  <a14:compatExt spid="_x0000_s3121"/>
                </a:ext>
                <a:ext uri="{FF2B5EF4-FFF2-40B4-BE49-F238E27FC236}">
                  <a16:creationId xmlns:a16="http://schemas.microsoft.com/office/drawing/2014/main" id="{00000000-0008-0000-0400-00003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1006</xdr:row>
          <xdr:rowOff>104775</xdr:rowOff>
        </xdr:from>
        <xdr:to>
          <xdr:col>3</xdr:col>
          <xdr:colOff>542925</xdr:colOff>
          <xdr:row>1007</xdr:row>
          <xdr:rowOff>180975</xdr:rowOff>
        </xdr:to>
        <xdr:sp macro="" textlink="">
          <xdr:nvSpPr>
            <xdr:cNvPr id="3122" name="Object 50" hidden="1">
              <a:extLst>
                <a:ext uri="{63B3BB69-23CF-44E3-9099-C40C66FF867C}">
                  <a14:compatExt spid="_x0000_s3122"/>
                </a:ext>
                <a:ext uri="{FF2B5EF4-FFF2-40B4-BE49-F238E27FC236}">
                  <a16:creationId xmlns:a16="http://schemas.microsoft.com/office/drawing/2014/main" id="{00000000-0008-0000-0400-00003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1024</xdr:row>
          <xdr:rowOff>180975</xdr:rowOff>
        </xdr:from>
        <xdr:to>
          <xdr:col>16</xdr:col>
          <xdr:colOff>0</xdr:colOff>
          <xdr:row>1026</xdr:row>
          <xdr:rowOff>142875</xdr:rowOff>
        </xdr:to>
        <xdr:sp macro="" textlink="">
          <xdr:nvSpPr>
            <xdr:cNvPr id="3124" name="Object 52" hidden="1">
              <a:extLst>
                <a:ext uri="{63B3BB69-23CF-44E3-9099-C40C66FF867C}">
                  <a14:compatExt spid="_x0000_s3124"/>
                </a:ext>
                <a:ext uri="{FF2B5EF4-FFF2-40B4-BE49-F238E27FC236}">
                  <a16:creationId xmlns:a16="http://schemas.microsoft.com/office/drawing/2014/main" id="{00000000-0008-0000-0400-00003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1013</xdr:row>
          <xdr:rowOff>28575</xdr:rowOff>
        </xdr:from>
        <xdr:to>
          <xdr:col>21</xdr:col>
          <xdr:colOff>28575</xdr:colOff>
          <xdr:row>1014</xdr:row>
          <xdr:rowOff>114300</xdr:rowOff>
        </xdr:to>
        <xdr:sp macro="" textlink="">
          <xdr:nvSpPr>
            <xdr:cNvPr id="3125" name="Object 53" hidden="1">
              <a:extLst>
                <a:ext uri="{63B3BB69-23CF-44E3-9099-C40C66FF867C}">
                  <a14:compatExt spid="_x0000_s3125"/>
                </a:ext>
                <a:ext uri="{FF2B5EF4-FFF2-40B4-BE49-F238E27FC236}">
                  <a16:creationId xmlns:a16="http://schemas.microsoft.com/office/drawing/2014/main" id="{00000000-0008-0000-0400-00003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1005</xdr:row>
          <xdr:rowOff>9525</xdr:rowOff>
        </xdr:from>
        <xdr:to>
          <xdr:col>10</xdr:col>
          <xdr:colOff>409575</xdr:colOff>
          <xdr:row>1006</xdr:row>
          <xdr:rowOff>85725</xdr:rowOff>
        </xdr:to>
        <xdr:sp macro="" textlink="">
          <xdr:nvSpPr>
            <xdr:cNvPr id="3127" name="Object 55" hidden="1">
              <a:extLst>
                <a:ext uri="{63B3BB69-23CF-44E3-9099-C40C66FF867C}">
                  <a14:compatExt spid="_x0000_s3127"/>
                </a:ext>
                <a:ext uri="{FF2B5EF4-FFF2-40B4-BE49-F238E27FC236}">
                  <a16:creationId xmlns:a16="http://schemas.microsoft.com/office/drawing/2014/main" id="{00000000-0008-0000-0400-00003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1013</xdr:row>
          <xdr:rowOff>9525</xdr:rowOff>
        </xdr:from>
        <xdr:to>
          <xdr:col>8</xdr:col>
          <xdr:colOff>190500</xdr:colOff>
          <xdr:row>1014</xdr:row>
          <xdr:rowOff>161925</xdr:rowOff>
        </xdr:to>
        <xdr:sp macro="" textlink="">
          <xdr:nvSpPr>
            <xdr:cNvPr id="3129" name="Object 57" hidden="1">
              <a:extLst>
                <a:ext uri="{63B3BB69-23CF-44E3-9099-C40C66FF867C}">
                  <a14:compatExt spid="_x0000_s3129"/>
                </a:ext>
                <a:ext uri="{FF2B5EF4-FFF2-40B4-BE49-F238E27FC236}">
                  <a16:creationId xmlns:a16="http://schemas.microsoft.com/office/drawing/2014/main" id="{00000000-0008-0000-0400-00003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9525</xdr:colOff>
          <xdr:row>1018</xdr:row>
          <xdr:rowOff>47625</xdr:rowOff>
        </xdr:from>
        <xdr:to>
          <xdr:col>24</xdr:col>
          <xdr:colOff>1076325</xdr:colOff>
          <xdr:row>1019</xdr:row>
          <xdr:rowOff>142875</xdr:rowOff>
        </xdr:to>
        <xdr:sp macro="" textlink="">
          <xdr:nvSpPr>
            <xdr:cNvPr id="3131" name="Object 59" hidden="1">
              <a:extLst>
                <a:ext uri="{63B3BB69-23CF-44E3-9099-C40C66FF867C}">
                  <a14:compatExt spid="_x0000_s3131"/>
                </a:ext>
                <a:ext uri="{FF2B5EF4-FFF2-40B4-BE49-F238E27FC236}">
                  <a16:creationId xmlns:a16="http://schemas.microsoft.com/office/drawing/2014/main" id="{00000000-0008-0000-0400-00003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0</xdr:colOff>
          <xdr:row>1019</xdr:row>
          <xdr:rowOff>142875</xdr:rowOff>
        </xdr:from>
        <xdr:to>
          <xdr:col>20</xdr:col>
          <xdr:colOff>581025</xdr:colOff>
          <xdr:row>1022</xdr:row>
          <xdr:rowOff>47625</xdr:rowOff>
        </xdr:to>
        <xdr:sp macro="" textlink="">
          <xdr:nvSpPr>
            <xdr:cNvPr id="3134" name="Object 62" hidden="1">
              <a:extLst>
                <a:ext uri="{63B3BB69-23CF-44E3-9099-C40C66FF867C}">
                  <a14:compatExt spid="_x0000_s3134"/>
                </a:ext>
                <a:ext uri="{FF2B5EF4-FFF2-40B4-BE49-F238E27FC236}">
                  <a16:creationId xmlns:a16="http://schemas.microsoft.com/office/drawing/2014/main" id="{00000000-0008-0000-0400-00003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1018</xdr:row>
          <xdr:rowOff>47625</xdr:rowOff>
        </xdr:from>
        <xdr:to>
          <xdr:col>19</xdr:col>
          <xdr:colOff>180975</xdr:colOff>
          <xdr:row>1019</xdr:row>
          <xdr:rowOff>142875</xdr:rowOff>
        </xdr:to>
        <xdr:sp macro="" textlink="">
          <xdr:nvSpPr>
            <xdr:cNvPr id="3135" name="Object 63" hidden="1">
              <a:extLst>
                <a:ext uri="{63B3BB69-23CF-44E3-9099-C40C66FF867C}">
                  <a14:compatExt spid="_x0000_s3135"/>
                </a:ext>
                <a:ext uri="{FF2B5EF4-FFF2-40B4-BE49-F238E27FC236}">
                  <a16:creationId xmlns:a16="http://schemas.microsoft.com/office/drawing/2014/main" id="{00000000-0008-0000-0400-00003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9525</xdr:colOff>
          <xdr:row>1007</xdr:row>
          <xdr:rowOff>123825</xdr:rowOff>
        </xdr:from>
        <xdr:to>
          <xdr:col>37</xdr:col>
          <xdr:colOff>276225</xdr:colOff>
          <xdr:row>1010</xdr:row>
          <xdr:rowOff>76200</xdr:rowOff>
        </xdr:to>
        <xdr:sp macro="" textlink="">
          <xdr:nvSpPr>
            <xdr:cNvPr id="3141" name="Object 69" hidden="1">
              <a:extLst>
                <a:ext uri="{63B3BB69-23CF-44E3-9099-C40C66FF867C}">
                  <a14:compatExt spid="_x0000_s3141"/>
                </a:ext>
                <a:ext uri="{FF2B5EF4-FFF2-40B4-BE49-F238E27FC236}">
                  <a16:creationId xmlns:a16="http://schemas.microsoft.com/office/drawing/2014/main" id="{00000000-0008-0000-0400-00004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9525</xdr:colOff>
          <xdr:row>1010</xdr:row>
          <xdr:rowOff>85725</xdr:rowOff>
        </xdr:from>
        <xdr:to>
          <xdr:col>35</xdr:col>
          <xdr:colOff>723900</xdr:colOff>
          <xdr:row>1013</xdr:row>
          <xdr:rowOff>47625</xdr:rowOff>
        </xdr:to>
        <xdr:sp macro="" textlink="">
          <xdr:nvSpPr>
            <xdr:cNvPr id="3142" name="Object 70" hidden="1">
              <a:extLst>
                <a:ext uri="{63B3BB69-23CF-44E3-9099-C40C66FF867C}">
                  <a14:compatExt spid="_x0000_s3142"/>
                </a:ext>
                <a:ext uri="{FF2B5EF4-FFF2-40B4-BE49-F238E27FC236}">
                  <a16:creationId xmlns:a16="http://schemas.microsoft.com/office/drawing/2014/main" id="{00000000-0008-0000-0400-00004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1035</xdr:row>
          <xdr:rowOff>28575</xdr:rowOff>
        </xdr:from>
        <xdr:to>
          <xdr:col>11</xdr:col>
          <xdr:colOff>561975</xdr:colOff>
          <xdr:row>1038</xdr:row>
          <xdr:rowOff>28575</xdr:rowOff>
        </xdr:to>
        <xdr:sp macro="" textlink="">
          <xdr:nvSpPr>
            <xdr:cNvPr id="3157" name="Object 85" hidden="1">
              <a:extLst>
                <a:ext uri="{63B3BB69-23CF-44E3-9099-C40C66FF867C}">
                  <a14:compatExt spid="_x0000_s3157"/>
                </a:ext>
                <a:ext uri="{FF2B5EF4-FFF2-40B4-BE49-F238E27FC236}">
                  <a16:creationId xmlns:a16="http://schemas.microsoft.com/office/drawing/2014/main" id="{00000000-0008-0000-0400-00005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1040</xdr:row>
          <xdr:rowOff>28575</xdr:rowOff>
        </xdr:from>
        <xdr:to>
          <xdr:col>12</xdr:col>
          <xdr:colOff>28575</xdr:colOff>
          <xdr:row>1043</xdr:row>
          <xdr:rowOff>28575</xdr:rowOff>
        </xdr:to>
        <xdr:sp macro="" textlink="">
          <xdr:nvSpPr>
            <xdr:cNvPr id="3158" name="Object 86" hidden="1">
              <a:extLst>
                <a:ext uri="{63B3BB69-23CF-44E3-9099-C40C66FF867C}">
                  <a14:compatExt spid="_x0000_s3158"/>
                </a:ext>
                <a:ext uri="{FF2B5EF4-FFF2-40B4-BE49-F238E27FC236}">
                  <a16:creationId xmlns:a16="http://schemas.microsoft.com/office/drawing/2014/main" id="{00000000-0008-0000-0400-00005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9525</xdr:colOff>
          <xdr:row>1014</xdr:row>
          <xdr:rowOff>123825</xdr:rowOff>
        </xdr:from>
        <xdr:to>
          <xdr:col>20</xdr:col>
          <xdr:colOff>333375</xdr:colOff>
          <xdr:row>1016</xdr:row>
          <xdr:rowOff>9525</xdr:rowOff>
        </xdr:to>
        <xdr:sp macro="" textlink="">
          <xdr:nvSpPr>
            <xdr:cNvPr id="3161" name="Object 89" hidden="1">
              <a:extLst>
                <a:ext uri="{63B3BB69-23CF-44E3-9099-C40C66FF867C}">
                  <a14:compatExt spid="_x0000_s3161"/>
                </a:ext>
                <a:ext uri="{FF2B5EF4-FFF2-40B4-BE49-F238E27FC236}">
                  <a16:creationId xmlns:a16="http://schemas.microsoft.com/office/drawing/2014/main" id="{00000000-0008-0000-0400-00005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257175</xdr:colOff>
          <xdr:row>1007</xdr:row>
          <xdr:rowOff>114300</xdr:rowOff>
        </xdr:from>
        <xdr:to>
          <xdr:col>32</xdr:col>
          <xdr:colOff>161925</xdr:colOff>
          <xdr:row>1010</xdr:row>
          <xdr:rowOff>85725</xdr:rowOff>
        </xdr:to>
        <xdr:sp macro="" textlink="">
          <xdr:nvSpPr>
            <xdr:cNvPr id="3162" name="Object 90" hidden="1">
              <a:extLst>
                <a:ext uri="{63B3BB69-23CF-44E3-9099-C40C66FF867C}">
                  <a14:compatExt spid="_x0000_s3162"/>
                </a:ext>
                <a:ext uri="{FF2B5EF4-FFF2-40B4-BE49-F238E27FC236}">
                  <a16:creationId xmlns:a16="http://schemas.microsoft.com/office/drawing/2014/main" id="{00000000-0008-0000-0400-00005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1055</xdr:row>
          <xdr:rowOff>28575</xdr:rowOff>
        </xdr:from>
        <xdr:to>
          <xdr:col>12</xdr:col>
          <xdr:colOff>333375</xdr:colOff>
          <xdr:row>1058</xdr:row>
          <xdr:rowOff>47625</xdr:rowOff>
        </xdr:to>
        <xdr:sp macro="" textlink="">
          <xdr:nvSpPr>
            <xdr:cNvPr id="3167" name="Object 95" hidden="1">
              <a:extLst>
                <a:ext uri="{63B3BB69-23CF-44E3-9099-C40C66FF867C}">
                  <a14:compatExt spid="_x0000_s3167"/>
                </a:ext>
                <a:ext uri="{FF2B5EF4-FFF2-40B4-BE49-F238E27FC236}">
                  <a16:creationId xmlns:a16="http://schemas.microsoft.com/office/drawing/2014/main" id="{00000000-0008-0000-0400-00005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1060</xdr:row>
          <xdr:rowOff>28575</xdr:rowOff>
        </xdr:from>
        <xdr:to>
          <xdr:col>15</xdr:col>
          <xdr:colOff>47625</xdr:colOff>
          <xdr:row>1063</xdr:row>
          <xdr:rowOff>47625</xdr:rowOff>
        </xdr:to>
        <xdr:sp macro="" textlink="">
          <xdr:nvSpPr>
            <xdr:cNvPr id="3168" name="Object 96" hidden="1">
              <a:extLst>
                <a:ext uri="{63B3BB69-23CF-44E3-9099-C40C66FF867C}">
                  <a14:compatExt spid="_x0000_s3168"/>
                </a:ext>
                <a:ext uri="{FF2B5EF4-FFF2-40B4-BE49-F238E27FC236}">
                  <a16:creationId xmlns:a16="http://schemas.microsoft.com/office/drawing/2014/main" id="{00000000-0008-0000-0400-00006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1065</xdr:row>
          <xdr:rowOff>28575</xdr:rowOff>
        </xdr:from>
        <xdr:to>
          <xdr:col>16</xdr:col>
          <xdr:colOff>676275</xdr:colOff>
          <xdr:row>1068</xdr:row>
          <xdr:rowOff>47625</xdr:rowOff>
        </xdr:to>
        <xdr:sp macro="" textlink="">
          <xdr:nvSpPr>
            <xdr:cNvPr id="3169" name="Object 97" hidden="1">
              <a:extLst>
                <a:ext uri="{63B3BB69-23CF-44E3-9099-C40C66FF867C}">
                  <a14:compatExt spid="_x0000_s3169"/>
                </a:ext>
                <a:ext uri="{FF2B5EF4-FFF2-40B4-BE49-F238E27FC236}">
                  <a16:creationId xmlns:a16="http://schemas.microsoft.com/office/drawing/2014/main" id="{00000000-0008-0000-0400-00006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1045</xdr:row>
          <xdr:rowOff>28575</xdr:rowOff>
        </xdr:from>
        <xdr:to>
          <xdr:col>16</xdr:col>
          <xdr:colOff>104775</xdr:colOff>
          <xdr:row>1048</xdr:row>
          <xdr:rowOff>28575</xdr:rowOff>
        </xdr:to>
        <xdr:sp macro="" textlink="">
          <xdr:nvSpPr>
            <xdr:cNvPr id="3173" name="Object 101" hidden="1">
              <a:extLst>
                <a:ext uri="{63B3BB69-23CF-44E3-9099-C40C66FF867C}">
                  <a14:compatExt spid="_x0000_s3173"/>
                </a:ext>
                <a:ext uri="{FF2B5EF4-FFF2-40B4-BE49-F238E27FC236}">
                  <a16:creationId xmlns:a16="http://schemas.microsoft.com/office/drawing/2014/main" id="{00000000-0008-0000-0400-00006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1050</xdr:row>
          <xdr:rowOff>28575</xdr:rowOff>
        </xdr:from>
        <xdr:to>
          <xdr:col>16</xdr:col>
          <xdr:colOff>390525</xdr:colOff>
          <xdr:row>1053</xdr:row>
          <xdr:rowOff>47625</xdr:rowOff>
        </xdr:to>
        <xdr:sp macro="" textlink="">
          <xdr:nvSpPr>
            <xdr:cNvPr id="3174" name="Object 102" hidden="1">
              <a:extLst>
                <a:ext uri="{63B3BB69-23CF-44E3-9099-C40C66FF867C}">
                  <a14:compatExt spid="_x0000_s3174"/>
                </a:ext>
                <a:ext uri="{FF2B5EF4-FFF2-40B4-BE49-F238E27FC236}">
                  <a16:creationId xmlns:a16="http://schemas.microsoft.com/office/drawing/2014/main" id="{00000000-0008-0000-0400-00006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1070</xdr:row>
          <xdr:rowOff>28575</xdr:rowOff>
        </xdr:from>
        <xdr:to>
          <xdr:col>12</xdr:col>
          <xdr:colOff>409575</xdr:colOff>
          <xdr:row>1073</xdr:row>
          <xdr:rowOff>47625</xdr:rowOff>
        </xdr:to>
        <xdr:sp macro="" textlink="">
          <xdr:nvSpPr>
            <xdr:cNvPr id="3178" name="Object 106" hidden="1">
              <a:extLst>
                <a:ext uri="{63B3BB69-23CF-44E3-9099-C40C66FF867C}">
                  <a14:compatExt spid="_x0000_s3178"/>
                </a:ext>
                <a:ext uri="{FF2B5EF4-FFF2-40B4-BE49-F238E27FC236}">
                  <a16:creationId xmlns:a16="http://schemas.microsoft.com/office/drawing/2014/main" id="{00000000-0008-0000-0400-00006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1053</xdr:row>
          <xdr:rowOff>28575</xdr:rowOff>
        </xdr:from>
        <xdr:to>
          <xdr:col>32</xdr:col>
          <xdr:colOff>419100</xdr:colOff>
          <xdr:row>1056</xdr:row>
          <xdr:rowOff>28575</xdr:rowOff>
        </xdr:to>
        <xdr:sp macro="" textlink="">
          <xdr:nvSpPr>
            <xdr:cNvPr id="3188" name="Object 116" hidden="1">
              <a:extLst>
                <a:ext uri="{63B3BB69-23CF-44E3-9099-C40C66FF867C}">
                  <a14:compatExt spid="_x0000_s3188"/>
                </a:ext>
                <a:ext uri="{FF2B5EF4-FFF2-40B4-BE49-F238E27FC236}">
                  <a16:creationId xmlns:a16="http://schemas.microsoft.com/office/drawing/2014/main" id="{00000000-0008-0000-0400-00007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28575</xdr:colOff>
          <xdr:row>1022</xdr:row>
          <xdr:rowOff>47625</xdr:rowOff>
        </xdr:from>
        <xdr:to>
          <xdr:col>32</xdr:col>
          <xdr:colOff>266700</xdr:colOff>
          <xdr:row>1024</xdr:row>
          <xdr:rowOff>142875</xdr:rowOff>
        </xdr:to>
        <xdr:sp macro="" textlink="">
          <xdr:nvSpPr>
            <xdr:cNvPr id="3192" name="Object 120" hidden="1">
              <a:extLst>
                <a:ext uri="{63B3BB69-23CF-44E3-9099-C40C66FF867C}">
                  <a14:compatExt spid="_x0000_s3192"/>
                </a:ext>
                <a:ext uri="{FF2B5EF4-FFF2-40B4-BE49-F238E27FC236}">
                  <a16:creationId xmlns:a16="http://schemas.microsoft.com/office/drawing/2014/main" id="{00000000-0008-0000-0400-00007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1017</xdr:row>
          <xdr:rowOff>28575</xdr:rowOff>
        </xdr:from>
        <xdr:to>
          <xdr:col>36</xdr:col>
          <xdr:colOff>161925</xdr:colOff>
          <xdr:row>1020</xdr:row>
          <xdr:rowOff>28575</xdr:rowOff>
        </xdr:to>
        <xdr:sp macro="" textlink="">
          <xdr:nvSpPr>
            <xdr:cNvPr id="3220" name="Object 148" hidden="1">
              <a:extLst>
                <a:ext uri="{63B3BB69-23CF-44E3-9099-C40C66FF867C}">
                  <a14:compatExt spid="_x0000_s3220"/>
                </a:ext>
                <a:ext uri="{FF2B5EF4-FFF2-40B4-BE49-F238E27FC236}">
                  <a16:creationId xmlns:a16="http://schemas.microsoft.com/office/drawing/2014/main" id="{00000000-0008-0000-0400-00009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1014</xdr:row>
          <xdr:rowOff>0</xdr:rowOff>
        </xdr:from>
        <xdr:to>
          <xdr:col>36</xdr:col>
          <xdr:colOff>695325</xdr:colOff>
          <xdr:row>1017</xdr:row>
          <xdr:rowOff>0</xdr:rowOff>
        </xdr:to>
        <xdr:sp macro="" textlink="">
          <xdr:nvSpPr>
            <xdr:cNvPr id="3222" name="Object 150" hidden="1">
              <a:extLst>
                <a:ext uri="{63B3BB69-23CF-44E3-9099-C40C66FF867C}">
                  <a14:compatExt spid="_x0000_s3222"/>
                </a:ext>
                <a:ext uri="{FF2B5EF4-FFF2-40B4-BE49-F238E27FC236}">
                  <a16:creationId xmlns:a16="http://schemas.microsoft.com/office/drawing/2014/main" id="{00000000-0008-0000-0400-00009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1020</xdr:row>
          <xdr:rowOff>47625</xdr:rowOff>
        </xdr:from>
        <xdr:to>
          <xdr:col>35</xdr:col>
          <xdr:colOff>142875</xdr:colOff>
          <xdr:row>1023</xdr:row>
          <xdr:rowOff>47625</xdr:rowOff>
        </xdr:to>
        <xdr:sp macro="" textlink="">
          <xdr:nvSpPr>
            <xdr:cNvPr id="3223" name="Object 151" hidden="1">
              <a:extLst>
                <a:ext uri="{63B3BB69-23CF-44E3-9099-C40C66FF867C}">
                  <a14:compatExt spid="_x0000_s3223"/>
                </a:ext>
                <a:ext uri="{FF2B5EF4-FFF2-40B4-BE49-F238E27FC236}">
                  <a16:creationId xmlns:a16="http://schemas.microsoft.com/office/drawing/2014/main" id="{00000000-0008-0000-0400-00009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1023</xdr:row>
          <xdr:rowOff>66675</xdr:rowOff>
        </xdr:from>
        <xdr:to>
          <xdr:col>36</xdr:col>
          <xdr:colOff>47625</xdr:colOff>
          <xdr:row>1026</xdr:row>
          <xdr:rowOff>66675</xdr:rowOff>
        </xdr:to>
        <xdr:sp macro="" textlink="">
          <xdr:nvSpPr>
            <xdr:cNvPr id="3225" name="Object 153" hidden="1">
              <a:extLst>
                <a:ext uri="{63B3BB69-23CF-44E3-9099-C40C66FF867C}">
                  <a14:compatExt spid="_x0000_s3225"/>
                </a:ext>
                <a:ext uri="{FF2B5EF4-FFF2-40B4-BE49-F238E27FC236}">
                  <a16:creationId xmlns:a16="http://schemas.microsoft.com/office/drawing/2014/main" id="{00000000-0008-0000-0400-00009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0</xdr:colOff>
          <xdr:row>1048</xdr:row>
          <xdr:rowOff>28575</xdr:rowOff>
        </xdr:from>
        <xdr:to>
          <xdr:col>34</xdr:col>
          <xdr:colOff>352425</xdr:colOff>
          <xdr:row>1051</xdr:row>
          <xdr:rowOff>85725</xdr:rowOff>
        </xdr:to>
        <xdr:sp macro="" textlink="">
          <xdr:nvSpPr>
            <xdr:cNvPr id="3281" name="Object 209" hidden="1">
              <a:extLst>
                <a:ext uri="{63B3BB69-23CF-44E3-9099-C40C66FF867C}">
                  <a14:compatExt spid="_x0000_s3281"/>
                </a:ext>
                <a:ext uri="{FF2B5EF4-FFF2-40B4-BE49-F238E27FC236}">
                  <a16:creationId xmlns:a16="http://schemas.microsoft.com/office/drawing/2014/main" id="{00000000-0008-0000-0400-0000D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984250</xdr:colOff>
      <xdr:row>4</xdr:row>
      <xdr:rowOff>152400</xdr:rowOff>
    </xdr:to>
    <xdr:pic>
      <xdr:nvPicPr>
        <xdr:cNvPr id="2604352" name="Picture 8" descr="logoplasci">
          <a:extLst>
            <a:ext uri="{FF2B5EF4-FFF2-40B4-BE49-F238E27FC236}">
              <a16:creationId xmlns:a16="http://schemas.microsoft.com/office/drawing/2014/main" id="{00000000-0008-0000-0500-000040BD27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2400" y="165100"/>
          <a:ext cx="984250" cy="635000"/>
        </a:xfrm>
        <a:prstGeom prst="rect">
          <a:avLst/>
        </a:prstGeom>
        <a:noFill/>
        <a:ln w="9525">
          <a:noFill/>
          <a:miter lim="800000"/>
          <a:headEnd/>
          <a:tailEnd/>
        </a:ln>
      </xdr:spPr>
    </xdr:pic>
    <xdr:clientData/>
  </xdr:twoCellAnchor>
  <xdr:twoCellAnchor>
    <xdr:from>
      <xdr:col>6</xdr:col>
      <xdr:colOff>450850</xdr:colOff>
      <xdr:row>0</xdr:row>
      <xdr:rowOff>120650</xdr:rowOff>
    </xdr:from>
    <xdr:to>
      <xdr:col>12</xdr:col>
      <xdr:colOff>450850</xdr:colOff>
      <xdr:row>18</xdr:row>
      <xdr:rowOff>25400</xdr:rowOff>
    </xdr:to>
    <xdr:graphicFrame macro="">
      <xdr:nvGraphicFramePr>
        <xdr:cNvPr id="2604353" name="Graphique 2">
          <a:extLst>
            <a:ext uri="{FF2B5EF4-FFF2-40B4-BE49-F238E27FC236}">
              <a16:creationId xmlns:a16="http://schemas.microsoft.com/office/drawing/2014/main" id="{00000000-0008-0000-0500-000041B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450850</xdr:colOff>
      <xdr:row>18</xdr:row>
      <xdr:rowOff>25400</xdr:rowOff>
    </xdr:from>
    <xdr:to>
      <xdr:col>12</xdr:col>
      <xdr:colOff>450850</xdr:colOff>
      <xdr:row>36</xdr:row>
      <xdr:rowOff>19050</xdr:rowOff>
    </xdr:to>
    <xdr:graphicFrame macro="">
      <xdr:nvGraphicFramePr>
        <xdr:cNvPr id="2604354" name="Graphique 2">
          <a:extLst>
            <a:ext uri="{FF2B5EF4-FFF2-40B4-BE49-F238E27FC236}">
              <a16:creationId xmlns:a16="http://schemas.microsoft.com/office/drawing/2014/main" id="{00000000-0008-0000-0500-000042B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12700</xdr:colOff>
      <xdr:row>18</xdr:row>
      <xdr:rowOff>25400</xdr:rowOff>
    </xdr:from>
    <xdr:to>
      <xdr:col>6</xdr:col>
      <xdr:colOff>450850</xdr:colOff>
      <xdr:row>36</xdr:row>
      <xdr:rowOff>19050</xdr:rowOff>
    </xdr:to>
    <xdr:graphicFrame macro="">
      <xdr:nvGraphicFramePr>
        <xdr:cNvPr id="2604355" name="Graphique 2">
          <a:extLst>
            <a:ext uri="{FF2B5EF4-FFF2-40B4-BE49-F238E27FC236}">
              <a16:creationId xmlns:a16="http://schemas.microsoft.com/office/drawing/2014/main" id="{00000000-0008-0000-0500-000043BD2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xdr:from>
          <xdr:col>3</xdr:col>
          <xdr:colOff>657225</xdr:colOff>
          <xdr:row>9</xdr:row>
          <xdr:rowOff>200025</xdr:rowOff>
        </xdr:from>
        <xdr:to>
          <xdr:col>4</xdr:col>
          <xdr:colOff>0</xdr:colOff>
          <xdr:row>11</xdr:row>
          <xdr:rowOff>0</xdr:rowOff>
        </xdr:to>
        <xdr:sp macro="" textlink="">
          <xdr:nvSpPr>
            <xdr:cNvPr id="2604063" name="Spinner 31" hidden="1">
              <a:extLst>
                <a:ext uri="{63B3BB69-23CF-44E3-9099-C40C66FF867C}">
                  <a14:compatExt spid="_x0000_s2604063"/>
                </a:ext>
                <a:ext uri="{FF2B5EF4-FFF2-40B4-BE49-F238E27FC236}">
                  <a16:creationId xmlns:a16="http://schemas.microsoft.com/office/drawing/2014/main" id="{00000000-0008-0000-0500-00001FBC27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390525</xdr:colOff>
          <xdr:row>70</xdr:row>
          <xdr:rowOff>28575</xdr:rowOff>
        </xdr:from>
        <xdr:to>
          <xdr:col>12</xdr:col>
          <xdr:colOff>904875</xdr:colOff>
          <xdr:row>87</xdr:row>
          <xdr:rowOff>9525</xdr:rowOff>
        </xdr:to>
        <xdr:sp macro="" textlink="">
          <xdr:nvSpPr>
            <xdr:cNvPr id="2604101" name="Object 69" hidden="1">
              <a:extLst>
                <a:ext uri="{63B3BB69-23CF-44E3-9099-C40C66FF867C}">
                  <a14:compatExt spid="_x0000_s2604101"/>
                </a:ext>
                <a:ext uri="{FF2B5EF4-FFF2-40B4-BE49-F238E27FC236}">
                  <a16:creationId xmlns:a16="http://schemas.microsoft.com/office/drawing/2014/main" id="{00000000-0008-0000-0500-000045BC27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657225</xdr:colOff>
          <xdr:row>11</xdr:row>
          <xdr:rowOff>0</xdr:rowOff>
        </xdr:from>
        <xdr:to>
          <xdr:col>4</xdr:col>
          <xdr:colOff>0</xdr:colOff>
          <xdr:row>12</xdr:row>
          <xdr:rowOff>0</xdr:rowOff>
        </xdr:to>
        <xdr:sp macro="" textlink="">
          <xdr:nvSpPr>
            <xdr:cNvPr id="2604202" name="Spinner 170" hidden="1">
              <a:extLst>
                <a:ext uri="{63B3BB69-23CF-44E3-9099-C40C66FF867C}">
                  <a14:compatExt spid="_x0000_s2604202"/>
                </a:ext>
                <a:ext uri="{FF2B5EF4-FFF2-40B4-BE49-F238E27FC236}">
                  <a16:creationId xmlns:a16="http://schemas.microsoft.com/office/drawing/2014/main" id="{00000000-0008-0000-0500-0000AABC2700}"/>
                </a:ext>
              </a:extLst>
            </xdr:cNvPr>
            <xdr:cNvSpPr/>
          </xdr:nvSpPr>
          <xdr:spPr bwMode="auto">
            <a:xfrm>
              <a:off x="0" y="0"/>
              <a:ext cx="0" cy="0"/>
            </a:xfrm>
            <a:prstGeom prst="rect">
              <a:avLst/>
            </a:prstGeom>
            <a:noFill/>
            <a:ln w="9525">
              <a:miter lim="800000"/>
              <a:headEnd/>
              <a:tailEnd/>
            </a:ln>
          </xdr:spPr>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0</xdr:col>
      <xdr:colOff>69850</xdr:colOff>
      <xdr:row>33</xdr:row>
      <xdr:rowOff>25400</xdr:rowOff>
    </xdr:from>
    <xdr:to>
      <xdr:col>2</xdr:col>
      <xdr:colOff>20320</xdr:colOff>
      <xdr:row>44</xdr:row>
      <xdr:rowOff>19050</xdr:rowOff>
    </xdr:to>
    <xdr:pic>
      <xdr:nvPicPr>
        <xdr:cNvPr id="5938" name="Image 1">
          <a:extLst>
            <a:ext uri="{FF2B5EF4-FFF2-40B4-BE49-F238E27FC236}">
              <a16:creationId xmlns:a16="http://schemas.microsoft.com/office/drawing/2014/main" id="{00000000-0008-0000-0600-000032170000}"/>
            </a:ext>
          </a:extLst>
        </xdr:cNvPr>
        <xdr:cNvPicPr>
          <a:picLocks noChangeAspect="1"/>
        </xdr:cNvPicPr>
      </xdr:nvPicPr>
      <xdr:blipFill>
        <a:blip xmlns:r="http://schemas.openxmlformats.org/officeDocument/2006/relationships" r:embed="rId1" cstate="print"/>
        <a:srcRect/>
        <a:stretch>
          <a:fillRect/>
        </a:stretch>
      </xdr:blipFill>
      <xdr:spPr bwMode="auto">
        <a:xfrm>
          <a:off x="69850" y="5295900"/>
          <a:ext cx="1231900" cy="1739900"/>
        </a:xfrm>
        <a:prstGeom prst="rect">
          <a:avLst/>
        </a:prstGeom>
        <a:noFill/>
        <a:ln w="9525">
          <a:noFill/>
          <a:miter lim="800000"/>
          <a:headEnd/>
          <a:tailEnd/>
        </a:ln>
      </xdr:spPr>
    </xdr:pic>
    <xdr:clientData/>
  </xdr:twoCellAnchor>
  <xdr:twoCellAnchor editAs="oneCell">
    <xdr:from>
      <xdr:col>1</xdr:col>
      <xdr:colOff>1123950</xdr:colOff>
      <xdr:row>55</xdr:row>
      <xdr:rowOff>44450</xdr:rowOff>
    </xdr:from>
    <xdr:to>
      <xdr:col>10</xdr:col>
      <xdr:colOff>609600</xdr:colOff>
      <xdr:row>83</xdr:row>
      <xdr:rowOff>17780</xdr:rowOff>
    </xdr:to>
    <xdr:pic>
      <xdr:nvPicPr>
        <xdr:cNvPr id="5939" name="Image 2">
          <a:extLst>
            <a:ext uri="{FF2B5EF4-FFF2-40B4-BE49-F238E27FC236}">
              <a16:creationId xmlns:a16="http://schemas.microsoft.com/office/drawing/2014/main" id="{00000000-0008-0000-0600-000033170000}"/>
            </a:ext>
          </a:extLst>
        </xdr:cNvPr>
        <xdr:cNvPicPr>
          <a:picLocks noChangeAspect="1"/>
        </xdr:cNvPicPr>
      </xdr:nvPicPr>
      <xdr:blipFill>
        <a:blip xmlns:r="http://schemas.openxmlformats.org/officeDocument/2006/relationships" r:embed="rId2" cstate="print"/>
        <a:srcRect/>
        <a:stretch>
          <a:fillRect/>
        </a:stretch>
      </xdr:blipFill>
      <xdr:spPr bwMode="auto">
        <a:xfrm>
          <a:off x="1276350" y="8331200"/>
          <a:ext cx="7099300" cy="4425950"/>
        </a:xfrm>
        <a:prstGeom prst="rect">
          <a:avLst/>
        </a:prstGeom>
        <a:noFill/>
        <a:ln w="9525">
          <a:noFill/>
          <a:miter lim="800000"/>
          <a:headEnd/>
          <a:tailEnd/>
        </a:ln>
      </xdr:spPr>
    </xdr:pic>
    <xdr:clientData/>
  </xdr:twoCellAnchor>
  <xdr:twoCellAnchor editAs="oneCell">
    <xdr:from>
      <xdr:col>1</xdr:col>
      <xdr:colOff>0</xdr:colOff>
      <xdr:row>1</xdr:row>
      <xdr:rowOff>0</xdr:rowOff>
    </xdr:from>
    <xdr:to>
      <xdr:col>1</xdr:col>
      <xdr:colOff>980440</xdr:colOff>
      <xdr:row>4</xdr:row>
      <xdr:rowOff>152400</xdr:rowOff>
    </xdr:to>
    <xdr:pic>
      <xdr:nvPicPr>
        <xdr:cNvPr id="5940" name="Picture 8" descr="logoplasci">
          <a:extLst>
            <a:ext uri="{FF2B5EF4-FFF2-40B4-BE49-F238E27FC236}">
              <a16:creationId xmlns:a16="http://schemas.microsoft.com/office/drawing/2014/main" id="{00000000-0008-0000-0600-00003417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52400" y="158750"/>
          <a:ext cx="984250" cy="628650"/>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69850</xdr:colOff>
      <xdr:row>80</xdr:row>
      <xdr:rowOff>12700</xdr:rowOff>
    </xdr:from>
    <xdr:to>
      <xdr:col>8</xdr:col>
      <xdr:colOff>0</xdr:colOff>
      <xdr:row>102</xdr:row>
      <xdr:rowOff>107950</xdr:rowOff>
    </xdr:to>
    <xdr:grpSp>
      <xdr:nvGrpSpPr>
        <xdr:cNvPr id="5501606" name="Group 232">
          <a:extLst>
            <a:ext uri="{FF2B5EF4-FFF2-40B4-BE49-F238E27FC236}">
              <a16:creationId xmlns:a16="http://schemas.microsoft.com/office/drawing/2014/main" id="{00000000-0008-0000-0700-0000A6F25300}"/>
            </a:ext>
          </a:extLst>
        </xdr:cNvPr>
        <xdr:cNvGrpSpPr>
          <a:grpSpLocks/>
        </xdr:cNvGrpSpPr>
      </xdr:nvGrpSpPr>
      <xdr:grpSpPr bwMode="auto">
        <a:xfrm>
          <a:off x="4137025" y="13214350"/>
          <a:ext cx="2159000" cy="3752850"/>
          <a:chOff x="3421" y="5379"/>
          <a:chExt cx="2289" cy="5759"/>
        </a:xfrm>
      </xdr:grpSpPr>
      <xdr:grpSp>
        <xdr:nvGrpSpPr>
          <xdr:cNvPr id="5501710" name="Group 233">
            <a:extLst>
              <a:ext uri="{FF2B5EF4-FFF2-40B4-BE49-F238E27FC236}">
                <a16:creationId xmlns:a16="http://schemas.microsoft.com/office/drawing/2014/main" id="{00000000-0008-0000-0700-00000EF35300}"/>
              </a:ext>
            </a:extLst>
          </xdr:cNvPr>
          <xdr:cNvGrpSpPr>
            <a:grpSpLocks/>
          </xdr:cNvGrpSpPr>
        </xdr:nvGrpSpPr>
        <xdr:grpSpPr bwMode="auto">
          <a:xfrm>
            <a:off x="4047" y="5379"/>
            <a:ext cx="515" cy="4096"/>
            <a:chOff x="4047" y="5379"/>
            <a:chExt cx="515" cy="4096"/>
          </a:xfrm>
        </xdr:grpSpPr>
        <xdr:sp macro="" textlink="">
          <xdr:nvSpPr>
            <xdr:cNvPr id="5501728" name="Arc 234">
              <a:extLst>
                <a:ext uri="{FF2B5EF4-FFF2-40B4-BE49-F238E27FC236}">
                  <a16:creationId xmlns:a16="http://schemas.microsoft.com/office/drawing/2014/main" id="{00000000-0008-0000-0700-000020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729" name="Group 235">
              <a:extLst>
                <a:ext uri="{FF2B5EF4-FFF2-40B4-BE49-F238E27FC236}">
                  <a16:creationId xmlns:a16="http://schemas.microsoft.com/office/drawing/2014/main" id="{00000000-0008-0000-0700-000021F35300}"/>
                </a:ext>
              </a:extLst>
            </xdr:cNvPr>
            <xdr:cNvGrpSpPr>
              <a:grpSpLocks/>
            </xdr:cNvGrpSpPr>
          </xdr:nvGrpSpPr>
          <xdr:grpSpPr bwMode="auto">
            <a:xfrm>
              <a:off x="4047" y="6306"/>
              <a:ext cx="285" cy="3169"/>
              <a:chOff x="4050" y="6306"/>
              <a:chExt cx="285" cy="3169"/>
            </a:xfrm>
          </xdr:grpSpPr>
          <xdr:sp macro="" textlink="">
            <xdr:nvSpPr>
              <xdr:cNvPr id="5501730" name="Line 236">
                <a:extLst>
                  <a:ext uri="{FF2B5EF4-FFF2-40B4-BE49-F238E27FC236}">
                    <a16:creationId xmlns:a16="http://schemas.microsoft.com/office/drawing/2014/main" id="{00000000-0008-0000-0700-000022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731" name="Line 237">
                <a:extLst>
                  <a:ext uri="{FF2B5EF4-FFF2-40B4-BE49-F238E27FC236}">
                    <a16:creationId xmlns:a16="http://schemas.microsoft.com/office/drawing/2014/main" id="{00000000-0008-0000-0700-000023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32" name="Line 238">
                <a:extLst>
                  <a:ext uri="{FF2B5EF4-FFF2-40B4-BE49-F238E27FC236}">
                    <a16:creationId xmlns:a16="http://schemas.microsoft.com/office/drawing/2014/main" id="{00000000-0008-0000-0700-000024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33" name="Line 239">
                <a:extLst>
                  <a:ext uri="{FF2B5EF4-FFF2-40B4-BE49-F238E27FC236}">
                    <a16:creationId xmlns:a16="http://schemas.microsoft.com/office/drawing/2014/main" id="{00000000-0008-0000-0700-000025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34" name="Line 240">
                <a:extLst>
                  <a:ext uri="{FF2B5EF4-FFF2-40B4-BE49-F238E27FC236}">
                    <a16:creationId xmlns:a16="http://schemas.microsoft.com/office/drawing/2014/main" id="{00000000-0008-0000-0700-000026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grpSp>
        <xdr:nvGrpSpPr>
          <xdr:cNvPr id="5501711" name="Group 241">
            <a:extLst>
              <a:ext uri="{FF2B5EF4-FFF2-40B4-BE49-F238E27FC236}">
                <a16:creationId xmlns:a16="http://schemas.microsoft.com/office/drawing/2014/main" id="{00000000-0008-0000-0700-00000FF35300}"/>
              </a:ext>
            </a:extLst>
          </xdr:cNvPr>
          <xdr:cNvGrpSpPr>
            <a:grpSpLocks/>
          </xdr:cNvGrpSpPr>
        </xdr:nvGrpSpPr>
        <xdr:grpSpPr bwMode="auto">
          <a:xfrm flipH="1">
            <a:off x="4560" y="5379"/>
            <a:ext cx="515" cy="4096"/>
            <a:chOff x="4047" y="5379"/>
            <a:chExt cx="515" cy="4096"/>
          </a:xfrm>
        </xdr:grpSpPr>
        <xdr:sp macro="" textlink="">
          <xdr:nvSpPr>
            <xdr:cNvPr id="5501721" name="Arc 242">
              <a:extLst>
                <a:ext uri="{FF2B5EF4-FFF2-40B4-BE49-F238E27FC236}">
                  <a16:creationId xmlns:a16="http://schemas.microsoft.com/office/drawing/2014/main" id="{00000000-0008-0000-0700-000019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722" name="Group 243">
              <a:extLst>
                <a:ext uri="{FF2B5EF4-FFF2-40B4-BE49-F238E27FC236}">
                  <a16:creationId xmlns:a16="http://schemas.microsoft.com/office/drawing/2014/main" id="{00000000-0008-0000-0700-00001AF35300}"/>
                </a:ext>
              </a:extLst>
            </xdr:cNvPr>
            <xdr:cNvGrpSpPr>
              <a:grpSpLocks/>
            </xdr:cNvGrpSpPr>
          </xdr:nvGrpSpPr>
          <xdr:grpSpPr bwMode="auto">
            <a:xfrm>
              <a:off x="4047" y="6306"/>
              <a:ext cx="285" cy="3169"/>
              <a:chOff x="4050" y="6306"/>
              <a:chExt cx="285" cy="3169"/>
            </a:xfrm>
          </xdr:grpSpPr>
          <xdr:sp macro="" textlink="">
            <xdr:nvSpPr>
              <xdr:cNvPr id="5501723" name="Line 244">
                <a:extLst>
                  <a:ext uri="{FF2B5EF4-FFF2-40B4-BE49-F238E27FC236}">
                    <a16:creationId xmlns:a16="http://schemas.microsoft.com/office/drawing/2014/main" id="{00000000-0008-0000-0700-00001B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724" name="Line 245">
                <a:extLst>
                  <a:ext uri="{FF2B5EF4-FFF2-40B4-BE49-F238E27FC236}">
                    <a16:creationId xmlns:a16="http://schemas.microsoft.com/office/drawing/2014/main" id="{00000000-0008-0000-0700-00001C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25" name="Line 246">
                <a:extLst>
                  <a:ext uri="{FF2B5EF4-FFF2-40B4-BE49-F238E27FC236}">
                    <a16:creationId xmlns:a16="http://schemas.microsoft.com/office/drawing/2014/main" id="{00000000-0008-0000-0700-00001D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26" name="Line 247">
                <a:extLst>
                  <a:ext uri="{FF2B5EF4-FFF2-40B4-BE49-F238E27FC236}">
                    <a16:creationId xmlns:a16="http://schemas.microsoft.com/office/drawing/2014/main" id="{00000000-0008-0000-0700-00001E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27" name="Line 248">
                <a:extLst>
                  <a:ext uri="{FF2B5EF4-FFF2-40B4-BE49-F238E27FC236}">
                    <a16:creationId xmlns:a16="http://schemas.microsoft.com/office/drawing/2014/main" id="{00000000-0008-0000-0700-00001F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sp macro="" textlink="">
        <xdr:nvSpPr>
          <xdr:cNvPr id="5501712" name="Line 249">
            <a:extLst>
              <a:ext uri="{FF2B5EF4-FFF2-40B4-BE49-F238E27FC236}">
                <a16:creationId xmlns:a16="http://schemas.microsoft.com/office/drawing/2014/main" id="{00000000-0008-0000-0700-000010F35300}"/>
              </a:ext>
            </a:extLst>
          </xdr:cNvPr>
          <xdr:cNvSpPr>
            <a:spLocks noChangeShapeType="1"/>
          </xdr:cNvSpPr>
        </xdr:nvSpPr>
        <xdr:spPr bwMode="auto">
          <a:xfrm>
            <a:off x="4332" y="9310"/>
            <a:ext cx="2" cy="1319"/>
          </a:xfrm>
          <a:prstGeom prst="line">
            <a:avLst/>
          </a:prstGeom>
          <a:noFill/>
          <a:ln w="9525">
            <a:solidFill>
              <a:srgbClr val="00B0F0"/>
            </a:solidFill>
            <a:round/>
            <a:headEnd/>
            <a:tailEnd/>
          </a:ln>
        </xdr:spPr>
      </xdr:sp>
      <xdr:sp macro="" textlink="">
        <xdr:nvSpPr>
          <xdr:cNvPr id="5501713" name="Line 250">
            <a:extLst>
              <a:ext uri="{FF2B5EF4-FFF2-40B4-BE49-F238E27FC236}">
                <a16:creationId xmlns:a16="http://schemas.microsoft.com/office/drawing/2014/main" id="{00000000-0008-0000-0700-000011F35300}"/>
              </a:ext>
            </a:extLst>
          </xdr:cNvPr>
          <xdr:cNvSpPr>
            <a:spLocks noChangeShapeType="1"/>
          </xdr:cNvSpPr>
        </xdr:nvSpPr>
        <xdr:spPr bwMode="auto">
          <a:xfrm>
            <a:off x="4790" y="9310"/>
            <a:ext cx="0" cy="1319"/>
          </a:xfrm>
          <a:prstGeom prst="line">
            <a:avLst/>
          </a:prstGeom>
          <a:noFill/>
          <a:ln w="9525">
            <a:solidFill>
              <a:srgbClr val="00B0F0"/>
            </a:solidFill>
            <a:round/>
            <a:headEnd/>
            <a:tailEnd/>
          </a:ln>
        </xdr:spPr>
      </xdr:sp>
      <xdr:sp macro="" textlink="">
        <xdr:nvSpPr>
          <xdr:cNvPr id="5501714" name="Line 251">
            <a:extLst>
              <a:ext uri="{FF2B5EF4-FFF2-40B4-BE49-F238E27FC236}">
                <a16:creationId xmlns:a16="http://schemas.microsoft.com/office/drawing/2014/main" id="{00000000-0008-0000-0700-000012F35300}"/>
              </a:ext>
            </a:extLst>
          </xdr:cNvPr>
          <xdr:cNvSpPr>
            <a:spLocks noChangeShapeType="1"/>
          </xdr:cNvSpPr>
        </xdr:nvSpPr>
        <xdr:spPr bwMode="auto">
          <a:xfrm>
            <a:off x="4330" y="10629"/>
            <a:ext cx="458" cy="0"/>
          </a:xfrm>
          <a:prstGeom prst="line">
            <a:avLst/>
          </a:prstGeom>
          <a:noFill/>
          <a:ln w="9525">
            <a:solidFill>
              <a:srgbClr val="00B0F0"/>
            </a:solidFill>
            <a:round/>
            <a:headEnd/>
            <a:tailEnd/>
          </a:ln>
        </xdr:spPr>
      </xdr:sp>
      <xdr:sp macro="" textlink="">
        <xdr:nvSpPr>
          <xdr:cNvPr id="5501715" name="Line 252">
            <a:extLst>
              <a:ext uri="{FF2B5EF4-FFF2-40B4-BE49-F238E27FC236}">
                <a16:creationId xmlns:a16="http://schemas.microsoft.com/office/drawing/2014/main" id="{00000000-0008-0000-0700-000013F35300}"/>
              </a:ext>
            </a:extLst>
          </xdr:cNvPr>
          <xdr:cNvSpPr>
            <a:spLocks noChangeShapeType="1"/>
          </xdr:cNvSpPr>
        </xdr:nvSpPr>
        <xdr:spPr bwMode="auto">
          <a:xfrm flipV="1">
            <a:off x="5709" y="10163"/>
            <a:ext cx="1" cy="946"/>
          </a:xfrm>
          <a:prstGeom prst="line">
            <a:avLst/>
          </a:prstGeom>
          <a:noFill/>
          <a:ln w="9525">
            <a:solidFill>
              <a:srgbClr val="00B0F0"/>
            </a:solidFill>
            <a:round/>
            <a:headEnd/>
            <a:tailEnd/>
          </a:ln>
        </xdr:spPr>
      </xdr:sp>
      <xdr:sp macro="" textlink="">
        <xdr:nvSpPr>
          <xdr:cNvPr id="5501716" name="Line 253">
            <a:extLst>
              <a:ext uri="{FF2B5EF4-FFF2-40B4-BE49-F238E27FC236}">
                <a16:creationId xmlns:a16="http://schemas.microsoft.com/office/drawing/2014/main" id="{00000000-0008-0000-0700-000014F35300}"/>
              </a:ext>
            </a:extLst>
          </xdr:cNvPr>
          <xdr:cNvSpPr>
            <a:spLocks noChangeShapeType="1"/>
          </xdr:cNvSpPr>
        </xdr:nvSpPr>
        <xdr:spPr bwMode="auto">
          <a:xfrm>
            <a:off x="4796" y="10419"/>
            <a:ext cx="909" cy="712"/>
          </a:xfrm>
          <a:prstGeom prst="line">
            <a:avLst/>
          </a:prstGeom>
          <a:noFill/>
          <a:ln w="9525">
            <a:solidFill>
              <a:srgbClr val="00B0F0"/>
            </a:solidFill>
            <a:round/>
            <a:headEnd/>
            <a:tailEnd/>
          </a:ln>
        </xdr:spPr>
      </xdr:sp>
      <xdr:sp macro="" textlink="">
        <xdr:nvSpPr>
          <xdr:cNvPr id="5501717" name="Line 254">
            <a:extLst>
              <a:ext uri="{FF2B5EF4-FFF2-40B4-BE49-F238E27FC236}">
                <a16:creationId xmlns:a16="http://schemas.microsoft.com/office/drawing/2014/main" id="{00000000-0008-0000-0700-000015F35300}"/>
              </a:ext>
            </a:extLst>
          </xdr:cNvPr>
          <xdr:cNvSpPr>
            <a:spLocks noChangeShapeType="1"/>
          </xdr:cNvSpPr>
        </xdr:nvSpPr>
        <xdr:spPr bwMode="auto">
          <a:xfrm flipH="1" flipV="1">
            <a:off x="4804" y="8797"/>
            <a:ext cx="905" cy="1372"/>
          </a:xfrm>
          <a:prstGeom prst="line">
            <a:avLst/>
          </a:prstGeom>
          <a:noFill/>
          <a:ln w="9525">
            <a:solidFill>
              <a:srgbClr val="00B0F0"/>
            </a:solidFill>
            <a:round/>
            <a:headEnd/>
            <a:tailEnd/>
          </a:ln>
        </xdr:spPr>
      </xdr:sp>
      <xdr:sp macro="" textlink="">
        <xdr:nvSpPr>
          <xdr:cNvPr id="5501718" name="Line 255">
            <a:extLst>
              <a:ext uri="{FF2B5EF4-FFF2-40B4-BE49-F238E27FC236}">
                <a16:creationId xmlns:a16="http://schemas.microsoft.com/office/drawing/2014/main" id="{00000000-0008-0000-0700-000016F35300}"/>
              </a:ext>
            </a:extLst>
          </xdr:cNvPr>
          <xdr:cNvSpPr>
            <a:spLocks noChangeShapeType="1"/>
          </xdr:cNvSpPr>
        </xdr:nvSpPr>
        <xdr:spPr bwMode="auto">
          <a:xfrm flipH="1" flipV="1">
            <a:off x="3421" y="10178"/>
            <a:ext cx="1" cy="946"/>
          </a:xfrm>
          <a:prstGeom prst="line">
            <a:avLst/>
          </a:prstGeom>
          <a:noFill/>
          <a:ln w="9525">
            <a:solidFill>
              <a:srgbClr val="00B0F0"/>
            </a:solidFill>
            <a:round/>
            <a:headEnd/>
            <a:tailEnd/>
          </a:ln>
        </xdr:spPr>
      </xdr:sp>
      <xdr:sp macro="" textlink="">
        <xdr:nvSpPr>
          <xdr:cNvPr id="5501719" name="Line 256">
            <a:extLst>
              <a:ext uri="{FF2B5EF4-FFF2-40B4-BE49-F238E27FC236}">
                <a16:creationId xmlns:a16="http://schemas.microsoft.com/office/drawing/2014/main" id="{00000000-0008-0000-0700-000017F35300}"/>
              </a:ext>
            </a:extLst>
          </xdr:cNvPr>
          <xdr:cNvSpPr>
            <a:spLocks noChangeShapeType="1"/>
          </xdr:cNvSpPr>
        </xdr:nvSpPr>
        <xdr:spPr bwMode="auto">
          <a:xfrm flipH="1">
            <a:off x="3421" y="10426"/>
            <a:ext cx="909" cy="712"/>
          </a:xfrm>
          <a:prstGeom prst="line">
            <a:avLst/>
          </a:prstGeom>
          <a:noFill/>
          <a:ln w="9525">
            <a:solidFill>
              <a:srgbClr val="00B0F0"/>
            </a:solidFill>
            <a:round/>
            <a:headEnd/>
            <a:tailEnd/>
          </a:ln>
        </xdr:spPr>
      </xdr:sp>
      <xdr:sp macro="" textlink="">
        <xdr:nvSpPr>
          <xdr:cNvPr id="5501720" name="Line 257">
            <a:extLst>
              <a:ext uri="{FF2B5EF4-FFF2-40B4-BE49-F238E27FC236}">
                <a16:creationId xmlns:a16="http://schemas.microsoft.com/office/drawing/2014/main" id="{00000000-0008-0000-0700-000018F35300}"/>
              </a:ext>
            </a:extLst>
          </xdr:cNvPr>
          <xdr:cNvSpPr>
            <a:spLocks noChangeShapeType="1"/>
          </xdr:cNvSpPr>
        </xdr:nvSpPr>
        <xdr:spPr bwMode="auto">
          <a:xfrm flipV="1">
            <a:off x="3429" y="8804"/>
            <a:ext cx="905" cy="1372"/>
          </a:xfrm>
          <a:prstGeom prst="line">
            <a:avLst/>
          </a:prstGeom>
          <a:noFill/>
          <a:ln w="9525">
            <a:solidFill>
              <a:srgbClr val="00B0F0"/>
            </a:solidFill>
            <a:round/>
            <a:headEnd/>
            <a:tailEnd/>
          </a:ln>
        </xdr:spPr>
      </xdr:sp>
    </xdr:grpSp>
    <xdr:clientData/>
  </xdr:twoCellAnchor>
  <xdr:twoCellAnchor>
    <xdr:from>
      <xdr:col>6</xdr:col>
      <xdr:colOff>825500</xdr:colOff>
      <xdr:row>84</xdr:row>
      <xdr:rowOff>101600</xdr:rowOff>
    </xdr:from>
    <xdr:to>
      <xdr:col>6</xdr:col>
      <xdr:colOff>1543050</xdr:colOff>
      <xdr:row>84</xdr:row>
      <xdr:rowOff>101600</xdr:rowOff>
    </xdr:to>
    <xdr:sp macro="" textlink="">
      <xdr:nvSpPr>
        <xdr:cNvPr id="5501607" name="Line 268">
          <a:extLst>
            <a:ext uri="{FF2B5EF4-FFF2-40B4-BE49-F238E27FC236}">
              <a16:creationId xmlns:a16="http://schemas.microsoft.com/office/drawing/2014/main" id="{00000000-0008-0000-0700-0000A7F25300}"/>
            </a:ext>
          </a:extLst>
        </xdr:cNvPr>
        <xdr:cNvSpPr>
          <a:spLocks noChangeShapeType="1"/>
        </xdr:cNvSpPr>
      </xdr:nvSpPr>
      <xdr:spPr bwMode="auto">
        <a:xfrm flipV="1">
          <a:off x="5105400" y="14128750"/>
          <a:ext cx="717550" cy="0"/>
        </a:xfrm>
        <a:prstGeom prst="line">
          <a:avLst/>
        </a:prstGeom>
        <a:noFill/>
        <a:ln w="6350">
          <a:solidFill>
            <a:srgbClr val="000000"/>
          </a:solidFill>
          <a:round/>
          <a:headEnd type="triangle" w="sm" len="lg"/>
          <a:tailEnd type="triangle" w="sm" len="lg"/>
        </a:ln>
      </xdr:spPr>
    </xdr:sp>
    <xdr:clientData/>
  </xdr:twoCellAnchor>
  <xdr:twoCellAnchor>
    <xdr:from>
      <xdr:col>6</xdr:col>
      <xdr:colOff>152400</xdr:colOff>
      <xdr:row>80</xdr:row>
      <xdr:rowOff>0</xdr:rowOff>
    </xdr:from>
    <xdr:to>
      <xdr:col>8</xdr:col>
      <xdr:colOff>654050</xdr:colOff>
      <xdr:row>80</xdr:row>
      <xdr:rowOff>0</xdr:rowOff>
    </xdr:to>
    <xdr:sp macro="" textlink="">
      <xdr:nvSpPr>
        <xdr:cNvPr id="5501608" name="Line 269">
          <a:extLst>
            <a:ext uri="{FF2B5EF4-FFF2-40B4-BE49-F238E27FC236}">
              <a16:creationId xmlns:a16="http://schemas.microsoft.com/office/drawing/2014/main" id="{00000000-0008-0000-0700-0000A8F25300}"/>
            </a:ext>
          </a:extLst>
        </xdr:cNvPr>
        <xdr:cNvSpPr>
          <a:spLocks noChangeShapeType="1"/>
        </xdr:cNvSpPr>
      </xdr:nvSpPr>
      <xdr:spPr bwMode="auto">
        <a:xfrm flipV="1">
          <a:off x="4432300" y="13354050"/>
          <a:ext cx="2647950" cy="0"/>
        </a:xfrm>
        <a:prstGeom prst="line">
          <a:avLst/>
        </a:prstGeom>
        <a:noFill/>
        <a:ln w="6350">
          <a:solidFill>
            <a:srgbClr val="000000"/>
          </a:solidFill>
          <a:round/>
          <a:headEnd/>
          <a:tailEnd/>
        </a:ln>
      </xdr:spPr>
    </xdr:sp>
    <xdr:clientData/>
  </xdr:twoCellAnchor>
  <xdr:twoCellAnchor>
    <xdr:from>
      <xdr:col>8</xdr:col>
      <xdr:colOff>228600</xdr:colOff>
      <xdr:row>80</xdr:row>
      <xdr:rowOff>12700</xdr:rowOff>
    </xdr:from>
    <xdr:to>
      <xdr:col>8</xdr:col>
      <xdr:colOff>228600</xdr:colOff>
      <xdr:row>93</xdr:row>
      <xdr:rowOff>82550</xdr:rowOff>
    </xdr:to>
    <xdr:sp macro="" textlink="">
      <xdr:nvSpPr>
        <xdr:cNvPr id="5501609" name="Line 270">
          <a:extLst>
            <a:ext uri="{FF2B5EF4-FFF2-40B4-BE49-F238E27FC236}">
              <a16:creationId xmlns:a16="http://schemas.microsoft.com/office/drawing/2014/main" id="{00000000-0008-0000-0700-0000A9F25300}"/>
            </a:ext>
          </a:extLst>
        </xdr:cNvPr>
        <xdr:cNvSpPr>
          <a:spLocks noChangeShapeType="1"/>
        </xdr:cNvSpPr>
      </xdr:nvSpPr>
      <xdr:spPr bwMode="auto">
        <a:xfrm>
          <a:off x="6838950" y="13366750"/>
          <a:ext cx="0" cy="2209800"/>
        </a:xfrm>
        <a:prstGeom prst="line">
          <a:avLst/>
        </a:prstGeom>
        <a:noFill/>
        <a:ln w="6350">
          <a:solidFill>
            <a:srgbClr val="000000"/>
          </a:solidFill>
          <a:round/>
          <a:headEnd type="triangle" w="sm" len="lg"/>
          <a:tailEnd type="triangle" w="sm" len="lg"/>
        </a:ln>
      </xdr:spPr>
    </xdr:sp>
    <xdr:clientData/>
  </xdr:twoCellAnchor>
  <xdr:twoCellAnchor>
    <xdr:from>
      <xdr:col>6</xdr:col>
      <xdr:colOff>139700</xdr:colOff>
      <xdr:row>83</xdr:row>
      <xdr:rowOff>50800</xdr:rowOff>
    </xdr:from>
    <xdr:to>
      <xdr:col>6</xdr:col>
      <xdr:colOff>838200</xdr:colOff>
      <xdr:row>83</xdr:row>
      <xdr:rowOff>50800</xdr:rowOff>
    </xdr:to>
    <xdr:sp macro="" textlink="">
      <xdr:nvSpPr>
        <xdr:cNvPr id="5501610" name="Line 271">
          <a:extLst>
            <a:ext uri="{FF2B5EF4-FFF2-40B4-BE49-F238E27FC236}">
              <a16:creationId xmlns:a16="http://schemas.microsoft.com/office/drawing/2014/main" id="{00000000-0008-0000-0700-0000AAF25300}"/>
            </a:ext>
          </a:extLst>
        </xdr:cNvPr>
        <xdr:cNvSpPr>
          <a:spLocks noChangeShapeType="1"/>
        </xdr:cNvSpPr>
      </xdr:nvSpPr>
      <xdr:spPr bwMode="auto">
        <a:xfrm>
          <a:off x="4419600" y="13912850"/>
          <a:ext cx="698500" cy="0"/>
        </a:xfrm>
        <a:prstGeom prst="line">
          <a:avLst/>
        </a:prstGeom>
        <a:noFill/>
        <a:ln w="6350">
          <a:solidFill>
            <a:srgbClr val="000000"/>
          </a:solidFill>
          <a:round/>
          <a:headEnd/>
          <a:tailEnd/>
        </a:ln>
      </xdr:spPr>
    </xdr:sp>
    <xdr:clientData/>
  </xdr:twoCellAnchor>
  <xdr:twoCellAnchor>
    <xdr:from>
      <xdr:col>6</xdr:col>
      <xdr:colOff>152400</xdr:colOff>
      <xdr:row>80</xdr:row>
      <xdr:rowOff>0</xdr:rowOff>
    </xdr:from>
    <xdr:to>
      <xdr:col>6</xdr:col>
      <xdr:colOff>152400</xdr:colOff>
      <xdr:row>83</xdr:row>
      <xdr:rowOff>50800</xdr:rowOff>
    </xdr:to>
    <xdr:sp macro="" textlink="">
      <xdr:nvSpPr>
        <xdr:cNvPr id="5501611" name="Line 272">
          <a:extLst>
            <a:ext uri="{FF2B5EF4-FFF2-40B4-BE49-F238E27FC236}">
              <a16:creationId xmlns:a16="http://schemas.microsoft.com/office/drawing/2014/main" id="{00000000-0008-0000-0700-0000ABF25300}"/>
            </a:ext>
          </a:extLst>
        </xdr:cNvPr>
        <xdr:cNvSpPr>
          <a:spLocks noChangeShapeType="1"/>
        </xdr:cNvSpPr>
      </xdr:nvSpPr>
      <xdr:spPr bwMode="auto">
        <a:xfrm>
          <a:off x="4432300" y="13354050"/>
          <a:ext cx="0" cy="558800"/>
        </a:xfrm>
        <a:prstGeom prst="line">
          <a:avLst/>
        </a:prstGeom>
        <a:noFill/>
        <a:ln w="6350">
          <a:solidFill>
            <a:srgbClr val="000000"/>
          </a:solidFill>
          <a:round/>
          <a:headEnd type="triangle" w="sm" len="lg"/>
          <a:tailEnd type="triangle" w="sm" len="lg"/>
        </a:ln>
      </xdr:spPr>
    </xdr:sp>
    <xdr:clientData/>
  </xdr:twoCellAnchor>
  <xdr:twoCellAnchor>
    <xdr:from>
      <xdr:col>7</xdr:col>
      <xdr:colOff>787400</xdr:colOff>
      <xdr:row>102</xdr:row>
      <xdr:rowOff>95250</xdr:rowOff>
    </xdr:from>
    <xdr:to>
      <xdr:col>8</xdr:col>
      <xdr:colOff>552450</xdr:colOff>
      <xdr:row>102</xdr:row>
      <xdr:rowOff>95250</xdr:rowOff>
    </xdr:to>
    <xdr:sp macro="" textlink="">
      <xdr:nvSpPr>
        <xdr:cNvPr id="5501612" name="Line 277">
          <a:extLst>
            <a:ext uri="{FF2B5EF4-FFF2-40B4-BE49-F238E27FC236}">
              <a16:creationId xmlns:a16="http://schemas.microsoft.com/office/drawing/2014/main" id="{00000000-0008-0000-0700-0000ACF25300}"/>
            </a:ext>
          </a:extLst>
        </xdr:cNvPr>
        <xdr:cNvSpPr>
          <a:spLocks noChangeShapeType="1"/>
        </xdr:cNvSpPr>
      </xdr:nvSpPr>
      <xdr:spPr bwMode="auto">
        <a:xfrm>
          <a:off x="6610350" y="17068800"/>
          <a:ext cx="469900" cy="0"/>
        </a:xfrm>
        <a:prstGeom prst="line">
          <a:avLst/>
        </a:prstGeom>
        <a:noFill/>
        <a:ln w="6350">
          <a:solidFill>
            <a:srgbClr val="000000"/>
          </a:solidFill>
          <a:round/>
          <a:headEnd/>
          <a:tailEnd/>
        </a:ln>
      </xdr:spPr>
    </xdr:sp>
    <xdr:clientData/>
  </xdr:twoCellAnchor>
  <xdr:twoCellAnchor>
    <xdr:from>
      <xdr:col>8</xdr:col>
      <xdr:colOff>12700</xdr:colOff>
      <xdr:row>98</xdr:row>
      <xdr:rowOff>133350</xdr:rowOff>
    </xdr:from>
    <xdr:to>
      <xdr:col>8</xdr:col>
      <xdr:colOff>469900</xdr:colOff>
      <xdr:row>98</xdr:row>
      <xdr:rowOff>133350</xdr:rowOff>
    </xdr:to>
    <xdr:sp macro="" textlink="">
      <xdr:nvSpPr>
        <xdr:cNvPr id="5501613" name="Line 278">
          <a:extLst>
            <a:ext uri="{FF2B5EF4-FFF2-40B4-BE49-F238E27FC236}">
              <a16:creationId xmlns:a16="http://schemas.microsoft.com/office/drawing/2014/main" id="{00000000-0008-0000-0700-0000ADF25300}"/>
            </a:ext>
          </a:extLst>
        </xdr:cNvPr>
        <xdr:cNvSpPr>
          <a:spLocks noChangeShapeType="1"/>
        </xdr:cNvSpPr>
      </xdr:nvSpPr>
      <xdr:spPr bwMode="auto">
        <a:xfrm>
          <a:off x="6623050" y="16440150"/>
          <a:ext cx="457200" cy="0"/>
        </a:xfrm>
        <a:prstGeom prst="line">
          <a:avLst/>
        </a:prstGeom>
        <a:noFill/>
        <a:ln w="6350">
          <a:solidFill>
            <a:srgbClr val="000000"/>
          </a:solidFill>
          <a:round/>
          <a:headEnd/>
          <a:tailEnd/>
        </a:ln>
      </xdr:spPr>
    </xdr:sp>
    <xdr:clientData/>
  </xdr:twoCellAnchor>
  <xdr:twoCellAnchor>
    <xdr:from>
      <xdr:col>6</xdr:col>
      <xdr:colOff>476250</xdr:colOff>
      <xdr:row>93</xdr:row>
      <xdr:rowOff>76200</xdr:rowOff>
    </xdr:from>
    <xdr:to>
      <xdr:col>8</xdr:col>
      <xdr:colOff>552450</xdr:colOff>
      <xdr:row>93</xdr:row>
      <xdr:rowOff>76200</xdr:rowOff>
    </xdr:to>
    <xdr:sp macro="" textlink="">
      <xdr:nvSpPr>
        <xdr:cNvPr id="5501614" name="Line 279">
          <a:extLst>
            <a:ext uri="{FF2B5EF4-FFF2-40B4-BE49-F238E27FC236}">
              <a16:creationId xmlns:a16="http://schemas.microsoft.com/office/drawing/2014/main" id="{00000000-0008-0000-0700-0000AEF25300}"/>
            </a:ext>
          </a:extLst>
        </xdr:cNvPr>
        <xdr:cNvSpPr>
          <a:spLocks noChangeShapeType="1"/>
        </xdr:cNvSpPr>
      </xdr:nvSpPr>
      <xdr:spPr bwMode="auto">
        <a:xfrm flipV="1">
          <a:off x="4756150" y="15570200"/>
          <a:ext cx="2324100" cy="0"/>
        </a:xfrm>
        <a:prstGeom prst="line">
          <a:avLst/>
        </a:prstGeom>
        <a:noFill/>
        <a:ln w="6350">
          <a:solidFill>
            <a:srgbClr val="000000"/>
          </a:solidFill>
          <a:round/>
          <a:headEnd/>
          <a:tailEnd/>
        </a:ln>
      </xdr:spPr>
    </xdr:sp>
    <xdr:clientData/>
  </xdr:twoCellAnchor>
  <xdr:twoCellAnchor>
    <xdr:from>
      <xdr:col>6</xdr:col>
      <xdr:colOff>476250</xdr:colOff>
      <xdr:row>99</xdr:row>
      <xdr:rowOff>152400</xdr:rowOff>
    </xdr:from>
    <xdr:to>
      <xdr:col>6</xdr:col>
      <xdr:colOff>1428750</xdr:colOff>
      <xdr:row>99</xdr:row>
      <xdr:rowOff>152400</xdr:rowOff>
    </xdr:to>
    <xdr:sp macro="" textlink="">
      <xdr:nvSpPr>
        <xdr:cNvPr id="5501615" name="Line 280">
          <a:extLst>
            <a:ext uri="{FF2B5EF4-FFF2-40B4-BE49-F238E27FC236}">
              <a16:creationId xmlns:a16="http://schemas.microsoft.com/office/drawing/2014/main" id="{00000000-0008-0000-0700-0000AFF25300}"/>
            </a:ext>
          </a:extLst>
        </xdr:cNvPr>
        <xdr:cNvSpPr>
          <a:spLocks noChangeShapeType="1"/>
        </xdr:cNvSpPr>
      </xdr:nvSpPr>
      <xdr:spPr bwMode="auto">
        <a:xfrm flipV="1">
          <a:off x="4756150" y="16617950"/>
          <a:ext cx="952500" cy="0"/>
        </a:xfrm>
        <a:prstGeom prst="line">
          <a:avLst/>
        </a:prstGeom>
        <a:noFill/>
        <a:ln w="6350">
          <a:solidFill>
            <a:srgbClr val="000000"/>
          </a:solidFill>
          <a:round/>
          <a:headEnd/>
          <a:tailEnd/>
        </a:ln>
      </xdr:spPr>
    </xdr:sp>
    <xdr:clientData/>
  </xdr:twoCellAnchor>
  <xdr:twoCellAnchor>
    <xdr:from>
      <xdr:col>6</xdr:col>
      <xdr:colOff>476250</xdr:colOff>
      <xdr:row>93</xdr:row>
      <xdr:rowOff>76200</xdr:rowOff>
    </xdr:from>
    <xdr:to>
      <xdr:col>6</xdr:col>
      <xdr:colOff>476250</xdr:colOff>
      <xdr:row>100</xdr:row>
      <xdr:rowOff>0</xdr:rowOff>
    </xdr:to>
    <xdr:sp macro="" textlink="">
      <xdr:nvSpPr>
        <xdr:cNvPr id="5501616" name="Line 281">
          <a:extLst>
            <a:ext uri="{FF2B5EF4-FFF2-40B4-BE49-F238E27FC236}">
              <a16:creationId xmlns:a16="http://schemas.microsoft.com/office/drawing/2014/main" id="{00000000-0008-0000-0700-0000B0F25300}"/>
            </a:ext>
          </a:extLst>
        </xdr:cNvPr>
        <xdr:cNvSpPr>
          <a:spLocks noChangeShapeType="1"/>
        </xdr:cNvSpPr>
      </xdr:nvSpPr>
      <xdr:spPr bwMode="auto">
        <a:xfrm>
          <a:off x="4756150" y="15570200"/>
          <a:ext cx="0" cy="1066800"/>
        </a:xfrm>
        <a:prstGeom prst="line">
          <a:avLst/>
        </a:prstGeom>
        <a:noFill/>
        <a:ln w="6350">
          <a:solidFill>
            <a:srgbClr val="000000"/>
          </a:solidFill>
          <a:round/>
          <a:headEnd type="triangle" w="sm" len="lg"/>
          <a:tailEnd type="triangle" w="sm" len="lg"/>
        </a:ln>
      </xdr:spPr>
    </xdr:sp>
    <xdr:clientData/>
  </xdr:twoCellAnchor>
  <xdr:twoCellAnchor>
    <xdr:from>
      <xdr:col>8</xdr:col>
      <xdr:colOff>488950</xdr:colOff>
      <xdr:row>98</xdr:row>
      <xdr:rowOff>133350</xdr:rowOff>
    </xdr:from>
    <xdr:to>
      <xdr:col>8</xdr:col>
      <xdr:colOff>488950</xdr:colOff>
      <xdr:row>102</xdr:row>
      <xdr:rowOff>95250</xdr:rowOff>
    </xdr:to>
    <xdr:sp macro="" textlink="">
      <xdr:nvSpPr>
        <xdr:cNvPr id="5501617" name="Line 282">
          <a:extLst>
            <a:ext uri="{FF2B5EF4-FFF2-40B4-BE49-F238E27FC236}">
              <a16:creationId xmlns:a16="http://schemas.microsoft.com/office/drawing/2014/main" id="{00000000-0008-0000-0700-0000B1F25300}"/>
            </a:ext>
          </a:extLst>
        </xdr:cNvPr>
        <xdr:cNvSpPr>
          <a:spLocks noChangeShapeType="1"/>
        </xdr:cNvSpPr>
      </xdr:nvSpPr>
      <xdr:spPr bwMode="auto">
        <a:xfrm>
          <a:off x="7080250" y="16440150"/>
          <a:ext cx="0" cy="628650"/>
        </a:xfrm>
        <a:prstGeom prst="line">
          <a:avLst/>
        </a:prstGeom>
        <a:noFill/>
        <a:ln w="6350">
          <a:solidFill>
            <a:srgbClr val="000000"/>
          </a:solidFill>
          <a:round/>
          <a:headEnd type="triangle" w="sm" len="lg"/>
          <a:tailEnd type="triangle" w="sm" len="lg"/>
        </a:ln>
      </xdr:spPr>
    </xdr:sp>
    <xdr:clientData/>
  </xdr:twoCellAnchor>
  <xdr:twoCellAnchor>
    <xdr:from>
      <xdr:col>8</xdr:col>
      <xdr:colOff>488950</xdr:colOff>
      <xdr:row>93</xdr:row>
      <xdr:rowOff>63500</xdr:rowOff>
    </xdr:from>
    <xdr:to>
      <xdr:col>8</xdr:col>
      <xdr:colOff>488950</xdr:colOff>
      <xdr:row>98</xdr:row>
      <xdr:rowOff>133350</xdr:rowOff>
    </xdr:to>
    <xdr:sp macro="" textlink="">
      <xdr:nvSpPr>
        <xdr:cNvPr id="5501618" name="Line 283">
          <a:extLst>
            <a:ext uri="{FF2B5EF4-FFF2-40B4-BE49-F238E27FC236}">
              <a16:creationId xmlns:a16="http://schemas.microsoft.com/office/drawing/2014/main" id="{00000000-0008-0000-0700-0000B2F25300}"/>
            </a:ext>
          </a:extLst>
        </xdr:cNvPr>
        <xdr:cNvSpPr>
          <a:spLocks noChangeShapeType="1"/>
        </xdr:cNvSpPr>
      </xdr:nvSpPr>
      <xdr:spPr bwMode="auto">
        <a:xfrm>
          <a:off x="7080250" y="15557500"/>
          <a:ext cx="0" cy="882650"/>
        </a:xfrm>
        <a:prstGeom prst="line">
          <a:avLst/>
        </a:prstGeom>
        <a:noFill/>
        <a:ln w="6350">
          <a:solidFill>
            <a:srgbClr val="000000"/>
          </a:solidFill>
          <a:round/>
          <a:headEnd type="triangle" w="sm" len="lg"/>
          <a:tailEnd type="triangle" w="sm" len="lg"/>
        </a:ln>
      </xdr:spPr>
    </xdr:sp>
    <xdr:clientData/>
  </xdr:twoCellAnchor>
  <xdr:twoCellAnchor>
    <xdr:from>
      <xdr:col>8</xdr:col>
      <xdr:colOff>0</xdr:colOff>
      <xdr:row>102</xdr:row>
      <xdr:rowOff>95250</xdr:rowOff>
    </xdr:from>
    <xdr:to>
      <xdr:col>8</xdr:col>
      <xdr:colOff>0</xdr:colOff>
      <xdr:row>103</xdr:row>
      <xdr:rowOff>0</xdr:rowOff>
    </xdr:to>
    <xdr:sp macro="" textlink="">
      <xdr:nvSpPr>
        <xdr:cNvPr id="5501619" name="Line 284">
          <a:extLst>
            <a:ext uri="{FF2B5EF4-FFF2-40B4-BE49-F238E27FC236}">
              <a16:creationId xmlns:a16="http://schemas.microsoft.com/office/drawing/2014/main" id="{00000000-0008-0000-0700-0000B3F25300}"/>
            </a:ext>
          </a:extLst>
        </xdr:cNvPr>
        <xdr:cNvSpPr>
          <a:spLocks noChangeShapeType="1"/>
        </xdr:cNvSpPr>
      </xdr:nvSpPr>
      <xdr:spPr bwMode="auto">
        <a:xfrm flipV="1">
          <a:off x="6610350" y="17068800"/>
          <a:ext cx="0" cy="69850"/>
        </a:xfrm>
        <a:prstGeom prst="line">
          <a:avLst/>
        </a:prstGeom>
        <a:noFill/>
        <a:ln w="6350">
          <a:solidFill>
            <a:srgbClr val="000000"/>
          </a:solidFill>
          <a:round/>
          <a:headEnd/>
          <a:tailEnd/>
        </a:ln>
      </xdr:spPr>
    </xdr:sp>
    <xdr:clientData/>
  </xdr:twoCellAnchor>
  <xdr:twoCellAnchor>
    <xdr:from>
      <xdr:col>6</xdr:col>
      <xdr:colOff>1428750</xdr:colOff>
      <xdr:row>99</xdr:row>
      <xdr:rowOff>139700</xdr:rowOff>
    </xdr:from>
    <xdr:to>
      <xdr:col>6</xdr:col>
      <xdr:colOff>1428750</xdr:colOff>
      <xdr:row>103</xdr:row>
      <xdr:rowOff>0</xdr:rowOff>
    </xdr:to>
    <xdr:sp macro="" textlink="">
      <xdr:nvSpPr>
        <xdr:cNvPr id="5501620" name="Line 285">
          <a:extLst>
            <a:ext uri="{FF2B5EF4-FFF2-40B4-BE49-F238E27FC236}">
              <a16:creationId xmlns:a16="http://schemas.microsoft.com/office/drawing/2014/main" id="{00000000-0008-0000-0700-0000B4F25300}"/>
            </a:ext>
          </a:extLst>
        </xdr:cNvPr>
        <xdr:cNvSpPr>
          <a:spLocks noChangeShapeType="1"/>
        </xdr:cNvSpPr>
      </xdr:nvSpPr>
      <xdr:spPr bwMode="auto">
        <a:xfrm flipH="1" flipV="1">
          <a:off x="5708650" y="16605250"/>
          <a:ext cx="0" cy="533400"/>
        </a:xfrm>
        <a:prstGeom prst="line">
          <a:avLst/>
        </a:prstGeom>
        <a:noFill/>
        <a:ln w="6350">
          <a:solidFill>
            <a:srgbClr val="000000"/>
          </a:solidFill>
          <a:round/>
          <a:headEnd/>
          <a:tailEnd/>
        </a:ln>
      </xdr:spPr>
    </xdr:sp>
    <xdr:clientData/>
  </xdr:twoCellAnchor>
  <xdr:twoCellAnchor>
    <xdr:from>
      <xdr:col>6</xdr:col>
      <xdr:colOff>1422400</xdr:colOff>
      <xdr:row>103</xdr:row>
      <xdr:rowOff>0</xdr:rowOff>
    </xdr:from>
    <xdr:to>
      <xdr:col>8</xdr:col>
      <xdr:colOff>0</xdr:colOff>
      <xdr:row>103</xdr:row>
      <xdr:rowOff>0</xdr:rowOff>
    </xdr:to>
    <xdr:sp macro="" textlink="">
      <xdr:nvSpPr>
        <xdr:cNvPr id="5501621" name="Line 286">
          <a:extLst>
            <a:ext uri="{FF2B5EF4-FFF2-40B4-BE49-F238E27FC236}">
              <a16:creationId xmlns:a16="http://schemas.microsoft.com/office/drawing/2014/main" id="{00000000-0008-0000-0700-0000B5F25300}"/>
            </a:ext>
          </a:extLst>
        </xdr:cNvPr>
        <xdr:cNvSpPr>
          <a:spLocks noChangeShapeType="1"/>
        </xdr:cNvSpPr>
      </xdr:nvSpPr>
      <xdr:spPr bwMode="auto">
        <a:xfrm>
          <a:off x="5702300" y="17138650"/>
          <a:ext cx="908050" cy="0"/>
        </a:xfrm>
        <a:prstGeom prst="line">
          <a:avLst/>
        </a:prstGeom>
        <a:noFill/>
        <a:ln w="6350">
          <a:solidFill>
            <a:srgbClr val="000000"/>
          </a:solidFill>
          <a:round/>
          <a:headEnd type="triangle" w="sm" len="lg"/>
          <a:tailEnd type="triangle" w="sm" len="lg"/>
        </a:ln>
      </xdr:spPr>
    </xdr:sp>
    <xdr:clientData/>
  </xdr:twoCellAnchor>
  <xdr:twoCellAnchor>
    <xdr:from>
      <xdr:col>6</xdr:col>
      <xdr:colOff>685800</xdr:colOff>
      <xdr:row>89</xdr:row>
      <xdr:rowOff>69850</xdr:rowOff>
    </xdr:from>
    <xdr:to>
      <xdr:col>6</xdr:col>
      <xdr:colOff>1695450</xdr:colOff>
      <xdr:row>89</xdr:row>
      <xdr:rowOff>69850</xdr:rowOff>
    </xdr:to>
    <xdr:sp macro="" textlink="">
      <xdr:nvSpPr>
        <xdr:cNvPr id="5501622" name="Line 287">
          <a:extLst>
            <a:ext uri="{FF2B5EF4-FFF2-40B4-BE49-F238E27FC236}">
              <a16:creationId xmlns:a16="http://schemas.microsoft.com/office/drawing/2014/main" id="{00000000-0008-0000-0700-0000B6F25300}"/>
            </a:ext>
          </a:extLst>
        </xdr:cNvPr>
        <xdr:cNvSpPr>
          <a:spLocks noChangeShapeType="1"/>
        </xdr:cNvSpPr>
      </xdr:nvSpPr>
      <xdr:spPr bwMode="auto">
        <a:xfrm>
          <a:off x="4965700" y="14916150"/>
          <a:ext cx="1009650" cy="0"/>
        </a:xfrm>
        <a:prstGeom prst="line">
          <a:avLst/>
        </a:prstGeom>
        <a:noFill/>
        <a:ln w="3175">
          <a:solidFill>
            <a:srgbClr val="92D050"/>
          </a:solidFill>
          <a:prstDash val="sysDot"/>
          <a:round/>
          <a:headEnd type="triangle" w="sm" len="sm"/>
          <a:tailEnd type="triangle" w="sm" len="sm"/>
        </a:ln>
      </xdr:spPr>
    </xdr:sp>
    <xdr:clientData/>
  </xdr:twoCellAnchor>
  <xdr:twoCellAnchor>
    <xdr:from>
      <xdr:col>6</xdr:col>
      <xdr:colOff>990600</xdr:colOff>
      <xdr:row>93</xdr:row>
      <xdr:rowOff>25400</xdr:rowOff>
    </xdr:from>
    <xdr:to>
      <xdr:col>6</xdr:col>
      <xdr:colOff>1397000</xdr:colOff>
      <xdr:row>93</xdr:row>
      <xdr:rowOff>25400</xdr:rowOff>
    </xdr:to>
    <xdr:sp macro="" textlink="">
      <xdr:nvSpPr>
        <xdr:cNvPr id="5501623" name="Line 288">
          <a:extLst>
            <a:ext uri="{FF2B5EF4-FFF2-40B4-BE49-F238E27FC236}">
              <a16:creationId xmlns:a16="http://schemas.microsoft.com/office/drawing/2014/main" id="{00000000-0008-0000-0700-0000B7F25300}"/>
            </a:ext>
          </a:extLst>
        </xdr:cNvPr>
        <xdr:cNvSpPr>
          <a:spLocks noChangeShapeType="1"/>
        </xdr:cNvSpPr>
      </xdr:nvSpPr>
      <xdr:spPr bwMode="auto">
        <a:xfrm>
          <a:off x="5270500" y="15519400"/>
          <a:ext cx="406400" cy="0"/>
        </a:xfrm>
        <a:prstGeom prst="line">
          <a:avLst/>
        </a:prstGeom>
        <a:noFill/>
        <a:ln w="3175">
          <a:solidFill>
            <a:srgbClr val="92D050"/>
          </a:solidFill>
          <a:prstDash val="sysDot"/>
          <a:round/>
          <a:headEnd type="triangle" w="sm" len="sm"/>
          <a:tailEnd type="triangle" w="sm" len="sm"/>
        </a:ln>
      </xdr:spPr>
    </xdr:sp>
    <xdr:clientData/>
  </xdr:twoCellAnchor>
  <xdr:twoCellAnchor>
    <xdr:from>
      <xdr:col>6</xdr:col>
      <xdr:colOff>850900</xdr:colOff>
      <xdr:row>87</xdr:row>
      <xdr:rowOff>57150</xdr:rowOff>
    </xdr:from>
    <xdr:to>
      <xdr:col>8</xdr:col>
      <xdr:colOff>44450</xdr:colOff>
      <xdr:row>87</xdr:row>
      <xdr:rowOff>57150</xdr:rowOff>
    </xdr:to>
    <xdr:sp macro="" textlink="">
      <xdr:nvSpPr>
        <xdr:cNvPr id="5501624" name="Line 289">
          <a:extLst>
            <a:ext uri="{FF2B5EF4-FFF2-40B4-BE49-F238E27FC236}">
              <a16:creationId xmlns:a16="http://schemas.microsoft.com/office/drawing/2014/main" id="{00000000-0008-0000-0700-0000B8F25300}"/>
            </a:ext>
          </a:extLst>
        </xdr:cNvPr>
        <xdr:cNvSpPr>
          <a:spLocks noChangeShapeType="1"/>
        </xdr:cNvSpPr>
      </xdr:nvSpPr>
      <xdr:spPr bwMode="auto">
        <a:xfrm>
          <a:off x="5130800" y="14579600"/>
          <a:ext cx="1524000" cy="0"/>
        </a:xfrm>
        <a:prstGeom prst="line">
          <a:avLst/>
        </a:prstGeom>
        <a:noFill/>
        <a:ln w="6350">
          <a:solidFill>
            <a:srgbClr val="92D050"/>
          </a:solidFill>
          <a:round/>
          <a:headEnd/>
          <a:tailEnd/>
        </a:ln>
      </xdr:spPr>
    </xdr:sp>
    <xdr:clientData/>
  </xdr:twoCellAnchor>
  <xdr:twoCellAnchor>
    <xdr:from>
      <xdr:col>6</xdr:col>
      <xdr:colOff>698500</xdr:colOff>
      <xdr:row>88</xdr:row>
      <xdr:rowOff>57150</xdr:rowOff>
    </xdr:from>
    <xdr:to>
      <xdr:col>8</xdr:col>
      <xdr:colOff>57150</xdr:colOff>
      <xdr:row>88</xdr:row>
      <xdr:rowOff>57150</xdr:rowOff>
    </xdr:to>
    <xdr:sp macro="" textlink="">
      <xdr:nvSpPr>
        <xdr:cNvPr id="5501625" name="Line 290">
          <a:extLst>
            <a:ext uri="{FF2B5EF4-FFF2-40B4-BE49-F238E27FC236}">
              <a16:creationId xmlns:a16="http://schemas.microsoft.com/office/drawing/2014/main" id="{00000000-0008-0000-0700-0000B9F25300}"/>
            </a:ext>
          </a:extLst>
        </xdr:cNvPr>
        <xdr:cNvSpPr>
          <a:spLocks noChangeShapeType="1"/>
        </xdr:cNvSpPr>
      </xdr:nvSpPr>
      <xdr:spPr bwMode="auto">
        <a:xfrm>
          <a:off x="4978400" y="14738350"/>
          <a:ext cx="1689100" cy="0"/>
        </a:xfrm>
        <a:prstGeom prst="line">
          <a:avLst/>
        </a:prstGeom>
        <a:noFill/>
        <a:ln w="6350">
          <a:solidFill>
            <a:srgbClr val="92D050"/>
          </a:solidFill>
          <a:round/>
          <a:headEnd/>
          <a:tailEnd/>
        </a:ln>
      </xdr:spPr>
    </xdr:sp>
    <xdr:clientData/>
  </xdr:twoCellAnchor>
  <xdr:twoCellAnchor>
    <xdr:from>
      <xdr:col>6</xdr:col>
      <xdr:colOff>698500</xdr:colOff>
      <xdr:row>90</xdr:row>
      <xdr:rowOff>139700</xdr:rowOff>
    </xdr:from>
    <xdr:to>
      <xdr:col>8</xdr:col>
      <xdr:colOff>69850</xdr:colOff>
      <xdr:row>90</xdr:row>
      <xdr:rowOff>139700</xdr:rowOff>
    </xdr:to>
    <xdr:sp macro="" textlink="">
      <xdr:nvSpPr>
        <xdr:cNvPr id="5501626" name="Line 291">
          <a:extLst>
            <a:ext uri="{FF2B5EF4-FFF2-40B4-BE49-F238E27FC236}">
              <a16:creationId xmlns:a16="http://schemas.microsoft.com/office/drawing/2014/main" id="{00000000-0008-0000-0700-0000BAF25300}"/>
            </a:ext>
          </a:extLst>
        </xdr:cNvPr>
        <xdr:cNvSpPr>
          <a:spLocks noChangeShapeType="1"/>
        </xdr:cNvSpPr>
      </xdr:nvSpPr>
      <xdr:spPr bwMode="auto">
        <a:xfrm>
          <a:off x="4978400" y="15157450"/>
          <a:ext cx="1701800" cy="0"/>
        </a:xfrm>
        <a:prstGeom prst="line">
          <a:avLst/>
        </a:prstGeom>
        <a:noFill/>
        <a:ln w="6350">
          <a:solidFill>
            <a:srgbClr val="92D050"/>
          </a:solidFill>
          <a:round/>
          <a:headEnd/>
          <a:tailEnd/>
        </a:ln>
      </xdr:spPr>
    </xdr:sp>
    <xdr:clientData/>
  </xdr:twoCellAnchor>
  <xdr:twoCellAnchor>
    <xdr:from>
      <xdr:col>6</xdr:col>
      <xdr:colOff>977900</xdr:colOff>
      <xdr:row>92</xdr:row>
      <xdr:rowOff>44450</xdr:rowOff>
    </xdr:from>
    <xdr:to>
      <xdr:col>8</xdr:col>
      <xdr:colOff>44450</xdr:colOff>
      <xdr:row>92</xdr:row>
      <xdr:rowOff>44450</xdr:rowOff>
    </xdr:to>
    <xdr:sp macro="" textlink="">
      <xdr:nvSpPr>
        <xdr:cNvPr id="5501627" name="Line 292">
          <a:extLst>
            <a:ext uri="{FF2B5EF4-FFF2-40B4-BE49-F238E27FC236}">
              <a16:creationId xmlns:a16="http://schemas.microsoft.com/office/drawing/2014/main" id="{00000000-0008-0000-0700-0000BBF25300}"/>
            </a:ext>
          </a:extLst>
        </xdr:cNvPr>
        <xdr:cNvSpPr>
          <a:spLocks noChangeShapeType="1"/>
        </xdr:cNvSpPr>
      </xdr:nvSpPr>
      <xdr:spPr bwMode="auto">
        <a:xfrm>
          <a:off x="5257800" y="15379700"/>
          <a:ext cx="1397000" cy="0"/>
        </a:xfrm>
        <a:prstGeom prst="line">
          <a:avLst/>
        </a:prstGeom>
        <a:noFill/>
        <a:ln w="6350">
          <a:solidFill>
            <a:srgbClr val="92D050"/>
          </a:solidFill>
          <a:round/>
          <a:headEnd/>
          <a:tailEnd/>
        </a:ln>
      </xdr:spPr>
    </xdr:sp>
    <xdr:clientData/>
  </xdr:twoCellAnchor>
  <xdr:twoCellAnchor>
    <xdr:from>
      <xdr:col>6</xdr:col>
      <xdr:colOff>1790700</xdr:colOff>
      <xdr:row>80</xdr:row>
      <xdr:rowOff>0</xdr:rowOff>
    </xdr:from>
    <xdr:to>
      <xdr:col>6</xdr:col>
      <xdr:colOff>1790700</xdr:colOff>
      <xdr:row>87</xdr:row>
      <xdr:rowOff>63500</xdr:rowOff>
    </xdr:to>
    <xdr:sp macro="" textlink="">
      <xdr:nvSpPr>
        <xdr:cNvPr id="5501628" name="Line 293">
          <a:extLst>
            <a:ext uri="{FF2B5EF4-FFF2-40B4-BE49-F238E27FC236}">
              <a16:creationId xmlns:a16="http://schemas.microsoft.com/office/drawing/2014/main" id="{00000000-0008-0000-0700-0000BCF25300}"/>
            </a:ext>
          </a:extLst>
        </xdr:cNvPr>
        <xdr:cNvSpPr>
          <a:spLocks noChangeShapeType="1"/>
        </xdr:cNvSpPr>
      </xdr:nvSpPr>
      <xdr:spPr bwMode="auto">
        <a:xfrm>
          <a:off x="6070600" y="13354050"/>
          <a:ext cx="0" cy="1231900"/>
        </a:xfrm>
        <a:prstGeom prst="line">
          <a:avLst/>
        </a:prstGeom>
        <a:noFill/>
        <a:ln w="9525">
          <a:solidFill>
            <a:srgbClr val="92D050"/>
          </a:solidFill>
          <a:prstDash val="sysDot"/>
          <a:round/>
          <a:headEnd type="triangle" w="sm" len="sm"/>
          <a:tailEnd type="triangle" w="sm" len="sm"/>
        </a:ln>
      </xdr:spPr>
    </xdr:sp>
    <xdr:clientData/>
  </xdr:twoCellAnchor>
  <xdr:twoCellAnchor>
    <xdr:from>
      <xdr:col>7</xdr:col>
      <xdr:colOff>190500</xdr:colOff>
      <xdr:row>80</xdr:row>
      <xdr:rowOff>0</xdr:rowOff>
    </xdr:from>
    <xdr:to>
      <xdr:col>7</xdr:col>
      <xdr:colOff>190500</xdr:colOff>
      <xdr:row>90</xdr:row>
      <xdr:rowOff>133350</xdr:rowOff>
    </xdr:to>
    <xdr:sp macro="" textlink="">
      <xdr:nvSpPr>
        <xdr:cNvPr id="5501629" name="Line 294">
          <a:extLst>
            <a:ext uri="{FF2B5EF4-FFF2-40B4-BE49-F238E27FC236}">
              <a16:creationId xmlns:a16="http://schemas.microsoft.com/office/drawing/2014/main" id="{00000000-0008-0000-0700-0000BDF25300}"/>
            </a:ext>
          </a:extLst>
        </xdr:cNvPr>
        <xdr:cNvSpPr>
          <a:spLocks noChangeShapeType="1"/>
        </xdr:cNvSpPr>
      </xdr:nvSpPr>
      <xdr:spPr bwMode="auto">
        <a:xfrm>
          <a:off x="6330950" y="13354050"/>
          <a:ext cx="0" cy="1797050"/>
        </a:xfrm>
        <a:prstGeom prst="line">
          <a:avLst/>
        </a:prstGeom>
        <a:noFill/>
        <a:ln w="9525">
          <a:solidFill>
            <a:srgbClr val="92D050"/>
          </a:solidFill>
          <a:prstDash val="sysDot"/>
          <a:round/>
          <a:headEnd type="triangle" w="sm" len="sm"/>
          <a:tailEnd type="triangle" w="sm" len="sm"/>
        </a:ln>
      </xdr:spPr>
    </xdr:sp>
    <xdr:clientData/>
  </xdr:twoCellAnchor>
  <xdr:twoCellAnchor>
    <xdr:from>
      <xdr:col>8</xdr:col>
      <xdr:colOff>44450</xdr:colOff>
      <xdr:row>87</xdr:row>
      <xdr:rowOff>57150</xdr:rowOff>
    </xdr:from>
    <xdr:to>
      <xdr:col>8</xdr:col>
      <xdr:colOff>44450</xdr:colOff>
      <xdr:row>88</xdr:row>
      <xdr:rowOff>57150</xdr:rowOff>
    </xdr:to>
    <xdr:sp macro="" textlink="">
      <xdr:nvSpPr>
        <xdr:cNvPr id="5501630" name="Line 295">
          <a:extLst>
            <a:ext uri="{FF2B5EF4-FFF2-40B4-BE49-F238E27FC236}">
              <a16:creationId xmlns:a16="http://schemas.microsoft.com/office/drawing/2014/main" id="{00000000-0008-0000-0700-0000BEF25300}"/>
            </a:ext>
          </a:extLst>
        </xdr:cNvPr>
        <xdr:cNvSpPr>
          <a:spLocks noChangeShapeType="1"/>
        </xdr:cNvSpPr>
      </xdr:nvSpPr>
      <xdr:spPr bwMode="auto">
        <a:xfrm>
          <a:off x="6654800" y="14579600"/>
          <a:ext cx="0" cy="158750"/>
        </a:xfrm>
        <a:prstGeom prst="line">
          <a:avLst/>
        </a:prstGeom>
        <a:noFill/>
        <a:ln w="3175">
          <a:solidFill>
            <a:srgbClr val="92D050"/>
          </a:solidFill>
          <a:prstDash val="sysDot"/>
          <a:round/>
          <a:headEnd type="triangle" w="sm" len="sm"/>
          <a:tailEnd type="triangle" w="sm" len="sm"/>
        </a:ln>
      </xdr:spPr>
    </xdr:sp>
    <xdr:clientData/>
  </xdr:twoCellAnchor>
  <xdr:twoCellAnchor>
    <xdr:from>
      <xdr:col>8</xdr:col>
      <xdr:colOff>44450</xdr:colOff>
      <xdr:row>90</xdr:row>
      <xdr:rowOff>139700</xdr:rowOff>
    </xdr:from>
    <xdr:to>
      <xdr:col>8</xdr:col>
      <xdr:colOff>44450</xdr:colOff>
      <xdr:row>92</xdr:row>
      <xdr:rowOff>44450</xdr:rowOff>
    </xdr:to>
    <xdr:sp macro="" textlink="">
      <xdr:nvSpPr>
        <xdr:cNvPr id="5501631" name="Line 296">
          <a:extLst>
            <a:ext uri="{FF2B5EF4-FFF2-40B4-BE49-F238E27FC236}">
              <a16:creationId xmlns:a16="http://schemas.microsoft.com/office/drawing/2014/main" id="{00000000-0008-0000-0700-0000BFF25300}"/>
            </a:ext>
          </a:extLst>
        </xdr:cNvPr>
        <xdr:cNvSpPr>
          <a:spLocks noChangeShapeType="1"/>
        </xdr:cNvSpPr>
      </xdr:nvSpPr>
      <xdr:spPr bwMode="auto">
        <a:xfrm>
          <a:off x="6654800" y="15157450"/>
          <a:ext cx="0" cy="222250"/>
        </a:xfrm>
        <a:prstGeom prst="line">
          <a:avLst/>
        </a:prstGeom>
        <a:noFill/>
        <a:ln w="9525">
          <a:solidFill>
            <a:srgbClr val="92D050"/>
          </a:solidFill>
          <a:prstDash val="sysDot"/>
          <a:round/>
          <a:headEnd type="triangle" w="sm" len="sm"/>
          <a:tailEnd type="triangle" w="sm" len="sm"/>
        </a:ln>
      </xdr:spPr>
    </xdr:sp>
    <xdr:clientData/>
  </xdr:twoCellAnchor>
  <xdr:twoCellAnchor>
    <xdr:from>
      <xdr:col>6</xdr:col>
      <xdr:colOff>0</xdr:colOff>
      <xdr:row>84</xdr:row>
      <xdr:rowOff>101600</xdr:rowOff>
    </xdr:from>
    <xdr:to>
      <xdr:col>6</xdr:col>
      <xdr:colOff>838200</xdr:colOff>
      <xdr:row>84</xdr:row>
      <xdr:rowOff>101600</xdr:rowOff>
    </xdr:to>
    <xdr:sp macro="" textlink="">
      <xdr:nvSpPr>
        <xdr:cNvPr id="5501632" name="Line 297">
          <a:extLst>
            <a:ext uri="{FF2B5EF4-FFF2-40B4-BE49-F238E27FC236}">
              <a16:creationId xmlns:a16="http://schemas.microsoft.com/office/drawing/2014/main" id="{00000000-0008-0000-0700-0000C0F25300}"/>
            </a:ext>
          </a:extLst>
        </xdr:cNvPr>
        <xdr:cNvSpPr>
          <a:spLocks noChangeShapeType="1"/>
        </xdr:cNvSpPr>
      </xdr:nvSpPr>
      <xdr:spPr bwMode="auto">
        <a:xfrm>
          <a:off x="4279900" y="14128750"/>
          <a:ext cx="838200" cy="0"/>
        </a:xfrm>
        <a:prstGeom prst="line">
          <a:avLst/>
        </a:prstGeom>
        <a:noFill/>
        <a:ln w="9525">
          <a:solidFill>
            <a:srgbClr val="000000"/>
          </a:solidFill>
          <a:round/>
          <a:headEnd/>
          <a:tailEnd/>
        </a:ln>
      </xdr:spPr>
    </xdr:sp>
    <xdr:clientData/>
  </xdr:twoCellAnchor>
  <xdr:twoCellAnchor>
    <xdr:from>
      <xdr:col>6</xdr:col>
      <xdr:colOff>0</xdr:colOff>
      <xdr:row>89</xdr:row>
      <xdr:rowOff>69850</xdr:rowOff>
    </xdr:from>
    <xdr:to>
      <xdr:col>6</xdr:col>
      <xdr:colOff>685800</xdr:colOff>
      <xdr:row>89</xdr:row>
      <xdr:rowOff>69850</xdr:rowOff>
    </xdr:to>
    <xdr:sp macro="" textlink="">
      <xdr:nvSpPr>
        <xdr:cNvPr id="5501633" name="Line 298">
          <a:extLst>
            <a:ext uri="{FF2B5EF4-FFF2-40B4-BE49-F238E27FC236}">
              <a16:creationId xmlns:a16="http://schemas.microsoft.com/office/drawing/2014/main" id="{00000000-0008-0000-0700-0000C1F25300}"/>
            </a:ext>
          </a:extLst>
        </xdr:cNvPr>
        <xdr:cNvSpPr>
          <a:spLocks noChangeShapeType="1"/>
        </xdr:cNvSpPr>
      </xdr:nvSpPr>
      <xdr:spPr bwMode="auto">
        <a:xfrm>
          <a:off x="4279900" y="14916150"/>
          <a:ext cx="685800" cy="0"/>
        </a:xfrm>
        <a:prstGeom prst="line">
          <a:avLst/>
        </a:prstGeom>
        <a:noFill/>
        <a:ln w="9525">
          <a:solidFill>
            <a:srgbClr val="92D050"/>
          </a:solidFill>
          <a:round/>
          <a:headEnd/>
          <a:tailEnd/>
        </a:ln>
      </xdr:spPr>
    </xdr:sp>
    <xdr:clientData/>
  </xdr:twoCellAnchor>
  <xdr:twoCellAnchor>
    <xdr:from>
      <xdr:col>6</xdr:col>
      <xdr:colOff>0</xdr:colOff>
      <xdr:row>93</xdr:row>
      <xdr:rowOff>25400</xdr:rowOff>
    </xdr:from>
    <xdr:to>
      <xdr:col>6</xdr:col>
      <xdr:colOff>971550</xdr:colOff>
      <xdr:row>93</xdr:row>
      <xdr:rowOff>25400</xdr:rowOff>
    </xdr:to>
    <xdr:sp macro="" textlink="">
      <xdr:nvSpPr>
        <xdr:cNvPr id="5501634" name="Line 299">
          <a:extLst>
            <a:ext uri="{FF2B5EF4-FFF2-40B4-BE49-F238E27FC236}">
              <a16:creationId xmlns:a16="http://schemas.microsoft.com/office/drawing/2014/main" id="{00000000-0008-0000-0700-0000C2F25300}"/>
            </a:ext>
          </a:extLst>
        </xdr:cNvPr>
        <xdr:cNvSpPr>
          <a:spLocks noChangeShapeType="1"/>
        </xdr:cNvSpPr>
      </xdr:nvSpPr>
      <xdr:spPr bwMode="auto">
        <a:xfrm>
          <a:off x="4279900" y="15519400"/>
          <a:ext cx="971550" cy="0"/>
        </a:xfrm>
        <a:prstGeom prst="line">
          <a:avLst/>
        </a:prstGeom>
        <a:noFill/>
        <a:ln w="9525">
          <a:solidFill>
            <a:srgbClr val="92D050"/>
          </a:solidFill>
          <a:round/>
          <a:headEnd/>
          <a:tailEnd/>
        </a:ln>
      </xdr:spPr>
    </xdr:sp>
    <xdr:clientData/>
  </xdr:twoCellAnchor>
  <xdr:twoCellAnchor>
    <xdr:from>
      <xdr:col>6</xdr:col>
      <xdr:colOff>0</xdr:colOff>
      <xdr:row>96</xdr:row>
      <xdr:rowOff>76200</xdr:rowOff>
    </xdr:from>
    <xdr:to>
      <xdr:col>6</xdr:col>
      <xdr:colOff>476250</xdr:colOff>
      <xdr:row>96</xdr:row>
      <xdr:rowOff>76200</xdr:rowOff>
    </xdr:to>
    <xdr:sp macro="" textlink="">
      <xdr:nvSpPr>
        <xdr:cNvPr id="5501635" name="Line 300">
          <a:extLst>
            <a:ext uri="{FF2B5EF4-FFF2-40B4-BE49-F238E27FC236}">
              <a16:creationId xmlns:a16="http://schemas.microsoft.com/office/drawing/2014/main" id="{00000000-0008-0000-0700-0000C3F25300}"/>
            </a:ext>
          </a:extLst>
        </xdr:cNvPr>
        <xdr:cNvSpPr>
          <a:spLocks noChangeShapeType="1"/>
        </xdr:cNvSpPr>
      </xdr:nvSpPr>
      <xdr:spPr bwMode="auto">
        <a:xfrm>
          <a:off x="4279900" y="16052800"/>
          <a:ext cx="476250" cy="0"/>
        </a:xfrm>
        <a:prstGeom prst="line">
          <a:avLst/>
        </a:prstGeom>
        <a:noFill/>
        <a:ln w="9525">
          <a:solidFill>
            <a:srgbClr val="000000"/>
          </a:solidFill>
          <a:round/>
          <a:headEnd/>
          <a:tailEnd/>
        </a:ln>
      </xdr:spPr>
    </xdr:sp>
    <xdr:clientData/>
  </xdr:twoCellAnchor>
  <xdr:twoCellAnchor>
    <xdr:from>
      <xdr:col>7</xdr:col>
      <xdr:colOff>152400</xdr:colOff>
      <xdr:row>103</xdr:row>
      <xdr:rowOff>0</xdr:rowOff>
    </xdr:from>
    <xdr:to>
      <xdr:col>7</xdr:col>
      <xdr:colOff>152400</xdr:colOff>
      <xdr:row>104</xdr:row>
      <xdr:rowOff>12700</xdr:rowOff>
    </xdr:to>
    <xdr:sp macro="" textlink="">
      <xdr:nvSpPr>
        <xdr:cNvPr id="5501636" name="Line 301">
          <a:extLst>
            <a:ext uri="{FF2B5EF4-FFF2-40B4-BE49-F238E27FC236}">
              <a16:creationId xmlns:a16="http://schemas.microsoft.com/office/drawing/2014/main" id="{00000000-0008-0000-0700-0000C4F25300}"/>
            </a:ext>
          </a:extLst>
        </xdr:cNvPr>
        <xdr:cNvSpPr>
          <a:spLocks noChangeShapeType="1"/>
        </xdr:cNvSpPr>
      </xdr:nvSpPr>
      <xdr:spPr bwMode="auto">
        <a:xfrm>
          <a:off x="6292850" y="17138650"/>
          <a:ext cx="0" cy="184150"/>
        </a:xfrm>
        <a:prstGeom prst="line">
          <a:avLst/>
        </a:prstGeom>
        <a:noFill/>
        <a:ln w="9525">
          <a:solidFill>
            <a:srgbClr val="000000"/>
          </a:solidFill>
          <a:round/>
          <a:headEnd/>
          <a:tailEnd/>
        </a:ln>
      </xdr:spPr>
    </xdr:sp>
    <xdr:clientData/>
  </xdr:twoCellAnchor>
  <xdr:twoCellAnchor>
    <xdr:from>
      <xdr:col>6</xdr:col>
      <xdr:colOff>0</xdr:colOff>
      <xdr:row>81</xdr:row>
      <xdr:rowOff>76200</xdr:rowOff>
    </xdr:from>
    <xdr:to>
      <xdr:col>6</xdr:col>
      <xdr:colOff>152400</xdr:colOff>
      <xdr:row>81</xdr:row>
      <xdr:rowOff>76200</xdr:rowOff>
    </xdr:to>
    <xdr:sp macro="" textlink="">
      <xdr:nvSpPr>
        <xdr:cNvPr id="5501637" name="Line 302">
          <a:extLst>
            <a:ext uri="{FF2B5EF4-FFF2-40B4-BE49-F238E27FC236}">
              <a16:creationId xmlns:a16="http://schemas.microsoft.com/office/drawing/2014/main" id="{00000000-0008-0000-0700-0000C5F25300}"/>
            </a:ext>
          </a:extLst>
        </xdr:cNvPr>
        <xdr:cNvSpPr>
          <a:spLocks noChangeShapeType="1"/>
        </xdr:cNvSpPr>
      </xdr:nvSpPr>
      <xdr:spPr bwMode="auto">
        <a:xfrm>
          <a:off x="4279900" y="13601700"/>
          <a:ext cx="152400" cy="0"/>
        </a:xfrm>
        <a:prstGeom prst="line">
          <a:avLst/>
        </a:prstGeom>
        <a:noFill/>
        <a:ln w="9525">
          <a:solidFill>
            <a:srgbClr val="000000"/>
          </a:solidFill>
          <a:round/>
          <a:headEnd/>
          <a:tailEnd/>
        </a:ln>
      </xdr:spPr>
    </xdr:sp>
    <xdr:clientData/>
  </xdr:twoCellAnchor>
  <xdr:twoCellAnchor>
    <xdr:from>
      <xdr:col>6</xdr:col>
      <xdr:colOff>1778000</xdr:colOff>
      <xdr:row>83</xdr:row>
      <xdr:rowOff>82550</xdr:rowOff>
    </xdr:from>
    <xdr:to>
      <xdr:col>9</xdr:col>
      <xdr:colOff>0</xdr:colOff>
      <xdr:row>83</xdr:row>
      <xdr:rowOff>82550</xdr:rowOff>
    </xdr:to>
    <xdr:sp macro="" textlink="">
      <xdr:nvSpPr>
        <xdr:cNvPr id="5501638" name="Line 303">
          <a:extLst>
            <a:ext uri="{FF2B5EF4-FFF2-40B4-BE49-F238E27FC236}">
              <a16:creationId xmlns:a16="http://schemas.microsoft.com/office/drawing/2014/main" id="{00000000-0008-0000-0700-0000C6F25300}"/>
            </a:ext>
          </a:extLst>
        </xdr:cNvPr>
        <xdr:cNvSpPr>
          <a:spLocks noChangeShapeType="1"/>
        </xdr:cNvSpPr>
      </xdr:nvSpPr>
      <xdr:spPr bwMode="auto">
        <a:xfrm flipV="1">
          <a:off x="6057900" y="13944600"/>
          <a:ext cx="1022350" cy="0"/>
        </a:xfrm>
        <a:prstGeom prst="line">
          <a:avLst/>
        </a:prstGeom>
        <a:noFill/>
        <a:ln w="9525">
          <a:solidFill>
            <a:srgbClr val="92D050"/>
          </a:solidFill>
          <a:prstDash val="sysDot"/>
          <a:round/>
          <a:headEnd/>
          <a:tailEnd/>
        </a:ln>
      </xdr:spPr>
    </xdr:sp>
    <xdr:clientData/>
  </xdr:twoCellAnchor>
  <xdr:twoCellAnchor>
    <xdr:from>
      <xdr:col>7</xdr:col>
      <xdr:colOff>190500</xdr:colOff>
      <xdr:row>85</xdr:row>
      <xdr:rowOff>76200</xdr:rowOff>
    </xdr:from>
    <xdr:to>
      <xdr:col>9</xdr:col>
      <xdr:colOff>0</xdr:colOff>
      <xdr:row>85</xdr:row>
      <xdr:rowOff>76200</xdr:rowOff>
    </xdr:to>
    <xdr:sp macro="" textlink="">
      <xdr:nvSpPr>
        <xdr:cNvPr id="5501639" name="Line 304">
          <a:extLst>
            <a:ext uri="{FF2B5EF4-FFF2-40B4-BE49-F238E27FC236}">
              <a16:creationId xmlns:a16="http://schemas.microsoft.com/office/drawing/2014/main" id="{00000000-0008-0000-0700-0000C7F25300}"/>
            </a:ext>
          </a:extLst>
        </xdr:cNvPr>
        <xdr:cNvSpPr>
          <a:spLocks noChangeShapeType="1"/>
        </xdr:cNvSpPr>
      </xdr:nvSpPr>
      <xdr:spPr bwMode="auto">
        <a:xfrm flipV="1">
          <a:off x="6330950" y="14274800"/>
          <a:ext cx="749300" cy="0"/>
        </a:xfrm>
        <a:prstGeom prst="line">
          <a:avLst/>
        </a:prstGeom>
        <a:noFill/>
        <a:ln w="9525">
          <a:solidFill>
            <a:srgbClr val="92D050"/>
          </a:solidFill>
          <a:prstDash val="sysDot"/>
          <a:round/>
          <a:headEnd/>
          <a:tailEnd/>
        </a:ln>
      </xdr:spPr>
    </xdr:sp>
    <xdr:clientData/>
  </xdr:twoCellAnchor>
  <xdr:twoCellAnchor>
    <xdr:from>
      <xdr:col>8</xdr:col>
      <xdr:colOff>44450</xdr:colOff>
      <xdr:row>87</xdr:row>
      <xdr:rowOff>133350</xdr:rowOff>
    </xdr:from>
    <xdr:to>
      <xdr:col>9</xdr:col>
      <xdr:colOff>0</xdr:colOff>
      <xdr:row>87</xdr:row>
      <xdr:rowOff>133350</xdr:rowOff>
    </xdr:to>
    <xdr:sp macro="" textlink="">
      <xdr:nvSpPr>
        <xdr:cNvPr id="5501640" name="Line 305">
          <a:extLst>
            <a:ext uri="{FF2B5EF4-FFF2-40B4-BE49-F238E27FC236}">
              <a16:creationId xmlns:a16="http://schemas.microsoft.com/office/drawing/2014/main" id="{00000000-0008-0000-0700-0000C8F25300}"/>
            </a:ext>
          </a:extLst>
        </xdr:cNvPr>
        <xdr:cNvSpPr>
          <a:spLocks noChangeShapeType="1"/>
        </xdr:cNvSpPr>
      </xdr:nvSpPr>
      <xdr:spPr bwMode="auto">
        <a:xfrm flipV="1">
          <a:off x="6654800" y="14655800"/>
          <a:ext cx="425450" cy="0"/>
        </a:xfrm>
        <a:prstGeom prst="line">
          <a:avLst/>
        </a:prstGeom>
        <a:noFill/>
        <a:ln w="9525">
          <a:solidFill>
            <a:srgbClr val="92D050"/>
          </a:solidFill>
          <a:prstDash val="sysDot"/>
          <a:round/>
          <a:headEnd/>
          <a:tailEnd/>
        </a:ln>
      </xdr:spPr>
    </xdr:sp>
    <xdr:clientData/>
  </xdr:twoCellAnchor>
  <xdr:twoCellAnchor>
    <xdr:from>
      <xdr:col>8</xdr:col>
      <xdr:colOff>488950</xdr:colOff>
      <xdr:row>89</xdr:row>
      <xdr:rowOff>88900</xdr:rowOff>
    </xdr:from>
    <xdr:to>
      <xdr:col>9</xdr:col>
      <xdr:colOff>0</xdr:colOff>
      <xdr:row>89</xdr:row>
      <xdr:rowOff>88900</xdr:rowOff>
    </xdr:to>
    <xdr:sp macro="" textlink="">
      <xdr:nvSpPr>
        <xdr:cNvPr id="5501641" name="Line 307">
          <a:extLst>
            <a:ext uri="{FF2B5EF4-FFF2-40B4-BE49-F238E27FC236}">
              <a16:creationId xmlns:a16="http://schemas.microsoft.com/office/drawing/2014/main" id="{00000000-0008-0000-0700-0000C9F25300}"/>
            </a:ext>
          </a:extLst>
        </xdr:cNvPr>
        <xdr:cNvSpPr>
          <a:spLocks noChangeShapeType="1"/>
        </xdr:cNvSpPr>
      </xdr:nvSpPr>
      <xdr:spPr bwMode="auto">
        <a:xfrm flipV="1">
          <a:off x="7080250" y="14935200"/>
          <a:ext cx="0" cy="0"/>
        </a:xfrm>
        <a:prstGeom prst="line">
          <a:avLst/>
        </a:prstGeom>
        <a:noFill/>
        <a:ln w="9525">
          <a:solidFill>
            <a:srgbClr val="000000"/>
          </a:solidFill>
          <a:round/>
          <a:headEnd/>
          <a:tailEnd/>
        </a:ln>
      </xdr:spPr>
    </xdr:sp>
    <xdr:clientData/>
  </xdr:twoCellAnchor>
  <xdr:twoCellAnchor>
    <xdr:from>
      <xdr:col>8</xdr:col>
      <xdr:colOff>44450</xdr:colOff>
      <xdr:row>91</xdr:row>
      <xdr:rowOff>76200</xdr:rowOff>
    </xdr:from>
    <xdr:to>
      <xdr:col>9</xdr:col>
      <xdr:colOff>12700</xdr:colOff>
      <xdr:row>91</xdr:row>
      <xdr:rowOff>76200</xdr:rowOff>
    </xdr:to>
    <xdr:sp macro="" textlink="">
      <xdr:nvSpPr>
        <xdr:cNvPr id="5501642" name="Line 308">
          <a:extLst>
            <a:ext uri="{FF2B5EF4-FFF2-40B4-BE49-F238E27FC236}">
              <a16:creationId xmlns:a16="http://schemas.microsoft.com/office/drawing/2014/main" id="{00000000-0008-0000-0700-0000CAF25300}"/>
            </a:ext>
          </a:extLst>
        </xdr:cNvPr>
        <xdr:cNvSpPr>
          <a:spLocks noChangeShapeType="1"/>
        </xdr:cNvSpPr>
      </xdr:nvSpPr>
      <xdr:spPr bwMode="auto">
        <a:xfrm flipH="1" flipV="1">
          <a:off x="6654800" y="15252700"/>
          <a:ext cx="438150" cy="0"/>
        </a:xfrm>
        <a:prstGeom prst="line">
          <a:avLst/>
        </a:prstGeom>
        <a:noFill/>
        <a:ln w="9525">
          <a:solidFill>
            <a:srgbClr val="92D050"/>
          </a:solidFill>
          <a:prstDash val="sysDot"/>
          <a:round/>
          <a:headEnd type="none" w="sm" len="sm"/>
          <a:tailEnd type="none" w="sm" len="sm"/>
        </a:ln>
      </xdr:spPr>
    </xdr:sp>
    <xdr:clientData/>
  </xdr:twoCellAnchor>
  <xdr:twoCellAnchor>
    <xdr:from>
      <xdr:col>8</xdr:col>
      <xdr:colOff>488950</xdr:colOff>
      <xdr:row>96</xdr:row>
      <xdr:rowOff>76200</xdr:rowOff>
    </xdr:from>
    <xdr:to>
      <xdr:col>9</xdr:col>
      <xdr:colOff>0</xdr:colOff>
      <xdr:row>96</xdr:row>
      <xdr:rowOff>76200</xdr:rowOff>
    </xdr:to>
    <xdr:sp macro="" textlink="">
      <xdr:nvSpPr>
        <xdr:cNvPr id="5501643" name="Line 309">
          <a:extLst>
            <a:ext uri="{FF2B5EF4-FFF2-40B4-BE49-F238E27FC236}">
              <a16:creationId xmlns:a16="http://schemas.microsoft.com/office/drawing/2014/main" id="{00000000-0008-0000-0700-0000CBF25300}"/>
            </a:ext>
          </a:extLst>
        </xdr:cNvPr>
        <xdr:cNvSpPr>
          <a:spLocks noChangeShapeType="1"/>
        </xdr:cNvSpPr>
      </xdr:nvSpPr>
      <xdr:spPr bwMode="auto">
        <a:xfrm>
          <a:off x="7080250" y="16052800"/>
          <a:ext cx="0" cy="0"/>
        </a:xfrm>
        <a:prstGeom prst="line">
          <a:avLst/>
        </a:prstGeom>
        <a:noFill/>
        <a:ln w="9525">
          <a:solidFill>
            <a:srgbClr val="000000"/>
          </a:solidFill>
          <a:round/>
          <a:headEnd/>
          <a:tailEnd/>
        </a:ln>
      </xdr:spPr>
    </xdr:sp>
    <xdr:clientData/>
  </xdr:twoCellAnchor>
  <xdr:twoCellAnchor>
    <xdr:from>
      <xdr:col>8</xdr:col>
      <xdr:colOff>488950</xdr:colOff>
      <xdr:row>100</xdr:row>
      <xdr:rowOff>88900</xdr:rowOff>
    </xdr:from>
    <xdr:to>
      <xdr:col>9</xdr:col>
      <xdr:colOff>0</xdr:colOff>
      <xdr:row>100</xdr:row>
      <xdr:rowOff>88900</xdr:rowOff>
    </xdr:to>
    <xdr:sp macro="" textlink="">
      <xdr:nvSpPr>
        <xdr:cNvPr id="5501644" name="Line 310">
          <a:extLst>
            <a:ext uri="{FF2B5EF4-FFF2-40B4-BE49-F238E27FC236}">
              <a16:creationId xmlns:a16="http://schemas.microsoft.com/office/drawing/2014/main" id="{00000000-0008-0000-0700-0000CCF25300}"/>
            </a:ext>
          </a:extLst>
        </xdr:cNvPr>
        <xdr:cNvSpPr>
          <a:spLocks noChangeShapeType="1"/>
        </xdr:cNvSpPr>
      </xdr:nvSpPr>
      <xdr:spPr bwMode="auto">
        <a:xfrm>
          <a:off x="7080250" y="16725900"/>
          <a:ext cx="0" cy="0"/>
        </a:xfrm>
        <a:prstGeom prst="line">
          <a:avLst/>
        </a:prstGeom>
        <a:noFill/>
        <a:ln w="9525">
          <a:solidFill>
            <a:srgbClr val="000000"/>
          </a:solidFill>
          <a:round/>
          <a:headEnd/>
          <a:tailEnd/>
        </a:ln>
      </xdr:spPr>
    </xdr:sp>
    <xdr:clientData/>
  </xdr:twoCellAnchor>
  <xdr:twoCellAnchor>
    <xdr:from>
      <xdr:col>8</xdr:col>
      <xdr:colOff>222250</xdr:colOff>
      <xdr:row>89</xdr:row>
      <xdr:rowOff>88900</xdr:rowOff>
    </xdr:from>
    <xdr:to>
      <xdr:col>8</xdr:col>
      <xdr:colOff>463550</xdr:colOff>
      <xdr:row>89</xdr:row>
      <xdr:rowOff>88900</xdr:rowOff>
    </xdr:to>
    <xdr:sp macro="" textlink="">
      <xdr:nvSpPr>
        <xdr:cNvPr id="5501645" name="Line 278">
          <a:extLst>
            <a:ext uri="{FF2B5EF4-FFF2-40B4-BE49-F238E27FC236}">
              <a16:creationId xmlns:a16="http://schemas.microsoft.com/office/drawing/2014/main" id="{00000000-0008-0000-0700-0000CDF25300}"/>
            </a:ext>
          </a:extLst>
        </xdr:cNvPr>
        <xdr:cNvSpPr>
          <a:spLocks noChangeShapeType="1"/>
        </xdr:cNvSpPr>
      </xdr:nvSpPr>
      <xdr:spPr bwMode="auto">
        <a:xfrm>
          <a:off x="6832600" y="14935200"/>
          <a:ext cx="241300" cy="0"/>
        </a:xfrm>
        <a:prstGeom prst="line">
          <a:avLst/>
        </a:prstGeom>
        <a:noFill/>
        <a:ln w="6350">
          <a:solidFill>
            <a:srgbClr val="000000"/>
          </a:solidFill>
          <a:round/>
          <a:headEnd/>
          <a:tailEnd/>
        </a:ln>
      </xdr:spPr>
    </xdr:sp>
    <xdr:clientData/>
  </xdr:twoCellAnchor>
  <xdr:twoCellAnchor>
    <xdr:from>
      <xdr:col>17</xdr:col>
      <xdr:colOff>69850</xdr:colOff>
      <xdr:row>1</xdr:row>
      <xdr:rowOff>12700</xdr:rowOff>
    </xdr:from>
    <xdr:to>
      <xdr:col>19</xdr:col>
      <xdr:colOff>0</xdr:colOff>
      <xdr:row>31</xdr:row>
      <xdr:rowOff>101600</xdr:rowOff>
    </xdr:to>
    <xdr:grpSp>
      <xdr:nvGrpSpPr>
        <xdr:cNvPr id="5501646" name="Group 232">
          <a:extLst>
            <a:ext uri="{FF2B5EF4-FFF2-40B4-BE49-F238E27FC236}">
              <a16:creationId xmlns:a16="http://schemas.microsoft.com/office/drawing/2014/main" id="{00000000-0008-0000-0700-0000CEF25300}"/>
            </a:ext>
          </a:extLst>
        </xdr:cNvPr>
        <xdr:cNvGrpSpPr>
          <a:grpSpLocks/>
        </xdr:cNvGrpSpPr>
      </xdr:nvGrpSpPr>
      <xdr:grpSpPr bwMode="auto">
        <a:xfrm>
          <a:off x="12995275" y="184150"/>
          <a:ext cx="2082800" cy="5127625"/>
          <a:chOff x="3421" y="5379"/>
          <a:chExt cx="2289" cy="5759"/>
        </a:xfrm>
      </xdr:grpSpPr>
      <xdr:grpSp>
        <xdr:nvGrpSpPr>
          <xdr:cNvPr id="5501685" name="Group 233">
            <a:extLst>
              <a:ext uri="{FF2B5EF4-FFF2-40B4-BE49-F238E27FC236}">
                <a16:creationId xmlns:a16="http://schemas.microsoft.com/office/drawing/2014/main" id="{00000000-0008-0000-0700-0000F5F25300}"/>
              </a:ext>
            </a:extLst>
          </xdr:cNvPr>
          <xdr:cNvGrpSpPr>
            <a:grpSpLocks/>
          </xdr:cNvGrpSpPr>
        </xdr:nvGrpSpPr>
        <xdr:grpSpPr bwMode="auto">
          <a:xfrm>
            <a:off x="4047" y="5379"/>
            <a:ext cx="515" cy="4096"/>
            <a:chOff x="4047" y="5379"/>
            <a:chExt cx="515" cy="4096"/>
          </a:xfrm>
        </xdr:grpSpPr>
        <xdr:sp macro="" textlink="">
          <xdr:nvSpPr>
            <xdr:cNvPr id="5501703" name="Arc 234">
              <a:extLst>
                <a:ext uri="{FF2B5EF4-FFF2-40B4-BE49-F238E27FC236}">
                  <a16:creationId xmlns:a16="http://schemas.microsoft.com/office/drawing/2014/main" id="{00000000-0008-0000-0700-000007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704" name="Group 235">
              <a:extLst>
                <a:ext uri="{FF2B5EF4-FFF2-40B4-BE49-F238E27FC236}">
                  <a16:creationId xmlns:a16="http://schemas.microsoft.com/office/drawing/2014/main" id="{00000000-0008-0000-0700-000008F35300}"/>
                </a:ext>
              </a:extLst>
            </xdr:cNvPr>
            <xdr:cNvGrpSpPr>
              <a:grpSpLocks/>
            </xdr:cNvGrpSpPr>
          </xdr:nvGrpSpPr>
          <xdr:grpSpPr bwMode="auto">
            <a:xfrm>
              <a:off x="4047" y="6306"/>
              <a:ext cx="285" cy="3169"/>
              <a:chOff x="4050" y="6306"/>
              <a:chExt cx="285" cy="3169"/>
            </a:xfrm>
          </xdr:grpSpPr>
          <xdr:sp macro="" textlink="">
            <xdr:nvSpPr>
              <xdr:cNvPr id="5501705" name="Line 236">
                <a:extLst>
                  <a:ext uri="{FF2B5EF4-FFF2-40B4-BE49-F238E27FC236}">
                    <a16:creationId xmlns:a16="http://schemas.microsoft.com/office/drawing/2014/main" id="{00000000-0008-0000-0700-000009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706" name="Line 237">
                <a:extLst>
                  <a:ext uri="{FF2B5EF4-FFF2-40B4-BE49-F238E27FC236}">
                    <a16:creationId xmlns:a16="http://schemas.microsoft.com/office/drawing/2014/main" id="{00000000-0008-0000-0700-00000A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07" name="Line 238">
                <a:extLst>
                  <a:ext uri="{FF2B5EF4-FFF2-40B4-BE49-F238E27FC236}">
                    <a16:creationId xmlns:a16="http://schemas.microsoft.com/office/drawing/2014/main" id="{00000000-0008-0000-0700-00000B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08" name="Line 239">
                <a:extLst>
                  <a:ext uri="{FF2B5EF4-FFF2-40B4-BE49-F238E27FC236}">
                    <a16:creationId xmlns:a16="http://schemas.microsoft.com/office/drawing/2014/main" id="{00000000-0008-0000-0700-00000C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09" name="Line 240">
                <a:extLst>
                  <a:ext uri="{FF2B5EF4-FFF2-40B4-BE49-F238E27FC236}">
                    <a16:creationId xmlns:a16="http://schemas.microsoft.com/office/drawing/2014/main" id="{00000000-0008-0000-0700-00000D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grpSp>
        <xdr:nvGrpSpPr>
          <xdr:cNvPr id="5501686" name="Group 241">
            <a:extLst>
              <a:ext uri="{FF2B5EF4-FFF2-40B4-BE49-F238E27FC236}">
                <a16:creationId xmlns:a16="http://schemas.microsoft.com/office/drawing/2014/main" id="{00000000-0008-0000-0700-0000F6F25300}"/>
              </a:ext>
            </a:extLst>
          </xdr:cNvPr>
          <xdr:cNvGrpSpPr>
            <a:grpSpLocks/>
          </xdr:cNvGrpSpPr>
        </xdr:nvGrpSpPr>
        <xdr:grpSpPr bwMode="auto">
          <a:xfrm flipH="1">
            <a:off x="4560" y="5379"/>
            <a:ext cx="515" cy="4096"/>
            <a:chOff x="4047" y="5379"/>
            <a:chExt cx="515" cy="4096"/>
          </a:xfrm>
        </xdr:grpSpPr>
        <xdr:sp macro="" textlink="">
          <xdr:nvSpPr>
            <xdr:cNvPr id="5501696" name="Arc 242">
              <a:extLst>
                <a:ext uri="{FF2B5EF4-FFF2-40B4-BE49-F238E27FC236}">
                  <a16:creationId xmlns:a16="http://schemas.microsoft.com/office/drawing/2014/main" id="{00000000-0008-0000-0700-000000F35300}"/>
                </a:ext>
              </a:extLst>
            </xdr:cNvPr>
            <xdr:cNvSpPr>
              <a:spLocks/>
            </xdr:cNvSpPr>
          </xdr:nvSpPr>
          <xdr:spPr bwMode="auto">
            <a:xfrm flipH="1">
              <a:off x="4201" y="5379"/>
              <a:ext cx="361" cy="96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00B0F0"/>
              </a:solidFill>
              <a:round/>
              <a:headEnd/>
              <a:tailEnd/>
            </a:ln>
          </xdr:spPr>
        </xdr:sp>
        <xdr:grpSp>
          <xdr:nvGrpSpPr>
            <xdr:cNvPr id="5501697" name="Group 243">
              <a:extLst>
                <a:ext uri="{FF2B5EF4-FFF2-40B4-BE49-F238E27FC236}">
                  <a16:creationId xmlns:a16="http://schemas.microsoft.com/office/drawing/2014/main" id="{00000000-0008-0000-0700-000001F35300}"/>
                </a:ext>
              </a:extLst>
            </xdr:cNvPr>
            <xdr:cNvGrpSpPr>
              <a:grpSpLocks/>
            </xdr:cNvGrpSpPr>
          </xdr:nvGrpSpPr>
          <xdr:grpSpPr bwMode="auto">
            <a:xfrm>
              <a:off x="4047" y="6306"/>
              <a:ext cx="285" cy="3169"/>
              <a:chOff x="4050" y="6306"/>
              <a:chExt cx="285" cy="3169"/>
            </a:xfrm>
          </xdr:grpSpPr>
          <xdr:sp macro="" textlink="">
            <xdr:nvSpPr>
              <xdr:cNvPr id="5501698" name="Line 244">
                <a:extLst>
                  <a:ext uri="{FF2B5EF4-FFF2-40B4-BE49-F238E27FC236}">
                    <a16:creationId xmlns:a16="http://schemas.microsoft.com/office/drawing/2014/main" id="{00000000-0008-0000-0700-000002F35300}"/>
                  </a:ext>
                </a:extLst>
              </xdr:cNvPr>
              <xdr:cNvSpPr>
                <a:spLocks noChangeShapeType="1"/>
              </xdr:cNvSpPr>
            </xdr:nvSpPr>
            <xdr:spPr bwMode="auto">
              <a:xfrm flipH="1">
                <a:off x="4202" y="6306"/>
                <a:ext cx="0" cy="936"/>
              </a:xfrm>
              <a:prstGeom prst="line">
                <a:avLst/>
              </a:prstGeom>
              <a:noFill/>
              <a:ln w="9525">
                <a:solidFill>
                  <a:srgbClr val="00B0F0"/>
                </a:solidFill>
                <a:round/>
                <a:headEnd/>
                <a:tailEnd/>
              </a:ln>
            </xdr:spPr>
          </xdr:sp>
          <xdr:sp macro="" textlink="">
            <xdr:nvSpPr>
              <xdr:cNvPr id="5501699" name="Line 245">
                <a:extLst>
                  <a:ext uri="{FF2B5EF4-FFF2-40B4-BE49-F238E27FC236}">
                    <a16:creationId xmlns:a16="http://schemas.microsoft.com/office/drawing/2014/main" id="{00000000-0008-0000-0700-000003F35300}"/>
                  </a:ext>
                </a:extLst>
              </xdr:cNvPr>
              <xdr:cNvSpPr>
                <a:spLocks noChangeShapeType="1"/>
              </xdr:cNvSpPr>
            </xdr:nvSpPr>
            <xdr:spPr bwMode="auto">
              <a:xfrm flipH="1">
                <a:off x="4050" y="7242"/>
                <a:ext cx="152" cy="254"/>
              </a:xfrm>
              <a:prstGeom prst="line">
                <a:avLst/>
              </a:prstGeom>
              <a:noFill/>
              <a:ln w="9525">
                <a:solidFill>
                  <a:srgbClr val="00B0F0"/>
                </a:solidFill>
                <a:round/>
                <a:headEnd/>
                <a:tailEnd/>
              </a:ln>
            </xdr:spPr>
          </xdr:sp>
          <xdr:sp macro="" textlink="">
            <xdr:nvSpPr>
              <xdr:cNvPr id="5501700" name="Line 246">
                <a:extLst>
                  <a:ext uri="{FF2B5EF4-FFF2-40B4-BE49-F238E27FC236}">
                    <a16:creationId xmlns:a16="http://schemas.microsoft.com/office/drawing/2014/main" id="{00000000-0008-0000-0700-000004F35300}"/>
                  </a:ext>
                </a:extLst>
              </xdr:cNvPr>
              <xdr:cNvSpPr>
                <a:spLocks noChangeShapeType="1"/>
              </xdr:cNvSpPr>
            </xdr:nvSpPr>
            <xdr:spPr bwMode="auto">
              <a:xfrm>
                <a:off x="4050" y="7496"/>
                <a:ext cx="0" cy="642"/>
              </a:xfrm>
              <a:prstGeom prst="line">
                <a:avLst/>
              </a:prstGeom>
              <a:noFill/>
              <a:ln w="9525">
                <a:solidFill>
                  <a:srgbClr val="00B0F0"/>
                </a:solidFill>
                <a:round/>
                <a:headEnd/>
                <a:tailEnd/>
              </a:ln>
            </xdr:spPr>
          </xdr:sp>
          <xdr:sp macro="" textlink="">
            <xdr:nvSpPr>
              <xdr:cNvPr id="5501701" name="Line 247">
                <a:extLst>
                  <a:ext uri="{FF2B5EF4-FFF2-40B4-BE49-F238E27FC236}">
                    <a16:creationId xmlns:a16="http://schemas.microsoft.com/office/drawing/2014/main" id="{00000000-0008-0000-0700-000005F35300}"/>
                  </a:ext>
                </a:extLst>
              </xdr:cNvPr>
              <xdr:cNvSpPr>
                <a:spLocks noChangeShapeType="1"/>
              </xdr:cNvSpPr>
            </xdr:nvSpPr>
            <xdr:spPr bwMode="auto">
              <a:xfrm>
                <a:off x="4050" y="8138"/>
                <a:ext cx="285" cy="367"/>
              </a:xfrm>
              <a:prstGeom prst="line">
                <a:avLst/>
              </a:prstGeom>
              <a:noFill/>
              <a:ln w="9525">
                <a:solidFill>
                  <a:srgbClr val="00B0F0"/>
                </a:solidFill>
                <a:round/>
                <a:headEnd/>
                <a:tailEnd/>
              </a:ln>
            </xdr:spPr>
          </xdr:sp>
          <xdr:sp macro="" textlink="">
            <xdr:nvSpPr>
              <xdr:cNvPr id="5501702" name="Line 248">
                <a:extLst>
                  <a:ext uri="{FF2B5EF4-FFF2-40B4-BE49-F238E27FC236}">
                    <a16:creationId xmlns:a16="http://schemas.microsoft.com/office/drawing/2014/main" id="{00000000-0008-0000-0700-000006F35300}"/>
                  </a:ext>
                </a:extLst>
              </xdr:cNvPr>
              <xdr:cNvSpPr>
                <a:spLocks noChangeShapeType="1"/>
              </xdr:cNvSpPr>
            </xdr:nvSpPr>
            <xdr:spPr bwMode="auto">
              <a:xfrm>
                <a:off x="4335" y="8505"/>
                <a:ext cx="0" cy="970"/>
              </a:xfrm>
              <a:prstGeom prst="line">
                <a:avLst/>
              </a:prstGeom>
              <a:noFill/>
              <a:ln w="9525">
                <a:solidFill>
                  <a:srgbClr val="00B0F0"/>
                </a:solidFill>
                <a:round/>
                <a:headEnd/>
                <a:tailEnd/>
              </a:ln>
            </xdr:spPr>
          </xdr:sp>
        </xdr:grpSp>
      </xdr:grpSp>
      <xdr:sp macro="" textlink="">
        <xdr:nvSpPr>
          <xdr:cNvPr id="5501687" name="Line 249">
            <a:extLst>
              <a:ext uri="{FF2B5EF4-FFF2-40B4-BE49-F238E27FC236}">
                <a16:creationId xmlns:a16="http://schemas.microsoft.com/office/drawing/2014/main" id="{00000000-0008-0000-0700-0000F7F25300}"/>
              </a:ext>
            </a:extLst>
          </xdr:cNvPr>
          <xdr:cNvSpPr>
            <a:spLocks noChangeShapeType="1"/>
          </xdr:cNvSpPr>
        </xdr:nvSpPr>
        <xdr:spPr bwMode="auto">
          <a:xfrm>
            <a:off x="4332" y="9310"/>
            <a:ext cx="2" cy="1319"/>
          </a:xfrm>
          <a:prstGeom prst="line">
            <a:avLst/>
          </a:prstGeom>
          <a:noFill/>
          <a:ln w="9525">
            <a:solidFill>
              <a:srgbClr val="00B0F0"/>
            </a:solidFill>
            <a:round/>
            <a:headEnd/>
            <a:tailEnd/>
          </a:ln>
        </xdr:spPr>
      </xdr:sp>
      <xdr:sp macro="" textlink="">
        <xdr:nvSpPr>
          <xdr:cNvPr id="5501688" name="Line 250">
            <a:extLst>
              <a:ext uri="{FF2B5EF4-FFF2-40B4-BE49-F238E27FC236}">
                <a16:creationId xmlns:a16="http://schemas.microsoft.com/office/drawing/2014/main" id="{00000000-0008-0000-0700-0000F8F25300}"/>
              </a:ext>
            </a:extLst>
          </xdr:cNvPr>
          <xdr:cNvSpPr>
            <a:spLocks noChangeShapeType="1"/>
          </xdr:cNvSpPr>
        </xdr:nvSpPr>
        <xdr:spPr bwMode="auto">
          <a:xfrm>
            <a:off x="4790" y="9310"/>
            <a:ext cx="0" cy="1319"/>
          </a:xfrm>
          <a:prstGeom prst="line">
            <a:avLst/>
          </a:prstGeom>
          <a:noFill/>
          <a:ln w="9525">
            <a:solidFill>
              <a:srgbClr val="00B0F0"/>
            </a:solidFill>
            <a:round/>
            <a:headEnd/>
            <a:tailEnd/>
          </a:ln>
        </xdr:spPr>
      </xdr:sp>
      <xdr:sp macro="" textlink="">
        <xdr:nvSpPr>
          <xdr:cNvPr id="5501689" name="Line 251">
            <a:extLst>
              <a:ext uri="{FF2B5EF4-FFF2-40B4-BE49-F238E27FC236}">
                <a16:creationId xmlns:a16="http://schemas.microsoft.com/office/drawing/2014/main" id="{00000000-0008-0000-0700-0000F9F25300}"/>
              </a:ext>
            </a:extLst>
          </xdr:cNvPr>
          <xdr:cNvSpPr>
            <a:spLocks noChangeShapeType="1"/>
          </xdr:cNvSpPr>
        </xdr:nvSpPr>
        <xdr:spPr bwMode="auto">
          <a:xfrm>
            <a:off x="4330" y="10629"/>
            <a:ext cx="458" cy="0"/>
          </a:xfrm>
          <a:prstGeom prst="line">
            <a:avLst/>
          </a:prstGeom>
          <a:noFill/>
          <a:ln w="9525">
            <a:solidFill>
              <a:srgbClr val="00B0F0"/>
            </a:solidFill>
            <a:round/>
            <a:headEnd/>
            <a:tailEnd/>
          </a:ln>
        </xdr:spPr>
      </xdr:sp>
      <xdr:sp macro="" textlink="">
        <xdr:nvSpPr>
          <xdr:cNvPr id="5501690" name="Line 252">
            <a:extLst>
              <a:ext uri="{FF2B5EF4-FFF2-40B4-BE49-F238E27FC236}">
                <a16:creationId xmlns:a16="http://schemas.microsoft.com/office/drawing/2014/main" id="{00000000-0008-0000-0700-0000FAF25300}"/>
              </a:ext>
            </a:extLst>
          </xdr:cNvPr>
          <xdr:cNvSpPr>
            <a:spLocks noChangeShapeType="1"/>
          </xdr:cNvSpPr>
        </xdr:nvSpPr>
        <xdr:spPr bwMode="auto">
          <a:xfrm flipV="1">
            <a:off x="5709" y="10163"/>
            <a:ext cx="1" cy="946"/>
          </a:xfrm>
          <a:prstGeom prst="line">
            <a:avLst/>
          </a:prstGeom>
          <a:noFill/>
          <a:ln w="9525">
            <a:solidFill>
              <a:srgbClr val="00B0F0"/>
            </a:solidFill>
            <a:round/>
            <a:headEnd/>
            <a:tailEnd/>
          </a:ln>
        </xdr:spPr>
      </xdr:sp>
      <xdr:sp macro="" textlink="">
        <xdr:nvSpPr>
          <xdr:cNvPr id="5501691" name="Line 253">
            <a:extLst>
              <a:ext uri="{FF2B5EF4-FFF2-40B4-BE49-F238E27FC236}">
                <a16:creationId xmlns:a16="http://schemas.microsoft.com/office/drawing/2014/main" id="{00000000-0008-0000-0700-0000FBF25300}"/>
              </a:ext>
            </a:extLst>
          </xdr:cNvPr>
          <xdr:cNvSpPr>
            <a:spLocks noChangeShapeType="1"/>
          </xdr:cNvSpPr>
        </xdr:nvSpPr>
        <xdr:spPr bwMode="auto">
          <a:xfrm>
            <a:off x="4796" y="10419"/>
            <a:ext cx="909" cy="712"/>
          </a:xfrm>
          <a:prstGeom prst="line">
            <a:avLst/>
          </a:prstGeom>
          <a:noFill/>
          <a:ln w="9525">
            <a:solidFill>
              <a:srgbClr val="00B0F0"/>
            </a:solidFill>
            <a:round/>
            <a:headEnd/>
            <a:tailEnd/>
          </a:ln>
        </xdr:spPr>
      </xdr:sp>
      <xdr:sp macro="" textlink="">
        <xdr:nvSpPr>
          <xdr:cNvPr id="5501692" name="Line 254">
            <a:extLst>
              <a:ext uri="{FF2B5EF4-FFF2-40B4-BE49-F238E27FC236}">
                <a16:creationId xmlns:a16="http://schemas.microsoft.com/office/drawing/2014/main" id="{00000000-0008-0000-0700-0000FCF25300}"/>
              </a:ext>
            </a:extLst>
          </xdr:cNvPr>
          <xdr:cNvSpPr>
            <a:spLocks noChangeShapeType="1"/>
          </xdr:cNvSpPr>
        </xdr:nvSpPr>
        <xdr:spPr bwMode="auto">
          <a:xfrm flipH="1" flipV="1">
            <a:off x="4804" y="8797"/>
            <a:ext cx="905" cy="1372"/>
          </a:xfrm>
          <a:prstGeom prst="line">
            <a:avLst/>
          </a:prstGeom>
          <a:noFill/>
          <a:ln w="9525">
            <a:solidFill>
              <a:srgbClr val="00B0F0"/>
            </a:solidFill>
            <a:round/>
            <a:headEnd/>
            <a:tailEnd/>
          </a:ln>
        </xdr:spPr>
      </xdr:sp>
      <xdr:sp macro="" textlink="">
        <xdr:nvSpPr>
          <xdr:cNvPr id="5501693" name="Line 255">
            <a:extLst>
              <a:ext uri="{FF2B5EF4-FFF2-40B4-BE49-F238E27FC236}">
                <a16:creationId xmlns:a16="http://schemas.microsoft.com/office/drawing/2014/main" id="{00000000-0008-0000-0700-0000FDF25300}"/>
              </a:ext>
            </a:extLst>
          </xdr:cNvPr>
          <xdr:cNvSpPr>
            <a:spLocks noChangeShapeType="1"/>
          </xdr:cNvSpPr>
        </xdr:nvSpPr>
        <xdr:spPr bwMode="auto">
          <a:xfrm flipH="1" flipV="1">
            <a:off x="3421" y="10178"/>
            <a:ext cx="1" cy="946"/>
          </a:xfrm>
          <a:prstGeom prst="line">
            <a:avLst/>
          </a:prstGeom>
          <a:noFill/>
          <a:ln w="9525">
            <a:solidFill>
              <a:srgbClr val="00B0F0"/>
            </a:solidFill>
            <a:round/>
            <a:headEnd/>
            <a:tailEnd/>
          </a:ln>
        </xdr:spPr>
      </xdr:sp>
      <xdr:sp macro="" textlink="">
        <xdr:nvSpPr>
          <xdr:cNvPr id="5501694" name="Line 256">
            <a:extLst>
              <a:ext uri="{FF2B5EF4-FFF2-40B4-BE49-F238E27FC236}">
                <a16:creationId xmlns:a16="http://schemas.microsoft.com/office/drawing/2014/main" id="{00000000-0008-0000-0700-0000FEF25300}"/>
              </a:ext>
            </a:extLst>
          </xdr:cNvPr>
          <xdr:cNvSpPr>
            <a:spLocks noChangeShapeType="1"/>
          </xdr:cNvSpPr>
        </xdr:nvSpPr>
        <xdr:spPr bwMode="auto">
          <a:xfrm flipH="1">
            <a:off x="3421" y="10426"/>
            <a:ext cx="909" cy="712"/>
          </a:xfrm>
          <a:prstGeom prst="line">
            <a:avLst/>
          </a:prstGeom>
          <a:noFill/>
          <a:ln w="9525">
            <a:solidFill>
              <a:srgbClr val="00B0F0"/>
            </a:solidFill>
            <a:round/>
            <a:headEnd/>
            <a:tailEnd/>
          </a:ln>
        </xdr:spPr>
      </xdr:sp>
      <xdr:sp macro="" textlink="">
        <xdr:nvSpPr>
          <xdr:cNvPr id="5501695" name="Line 257">
            <a:extLst>
              <a:ext uri="{FF2B5EF4-FFF2-40B4-BE49-F238E27FC236}">
                <a16:creationId xmlns:a16="http://schemas.microsoft.com/office/drawing/2014/main" id="{00000000-0008-0000-0700-0000FFF25300}"/>
              </a:ext>
            </a:extLst>
          </xdr:cNvPr>
          <xdr:cNvSpPr>
            <a:spLocks noChangeShapeType="1"/>
          </xdr:cNvSpPr>
        </xdr:nvSpPr>
        <xdr:spPr bwMode="auto">
          <a:xfrm flipV="1">
            <a:off x="3429" y="8804"/>
            <a:ext cx="905" cy="1372"/>
          </a:xfrm>
          <a:prstGeom prst="line">
            <a:avLst/>
          </a:prstGeom>
          <a:noFill/>
          <a:ln w="9525">
            <a:solidFill>
              <a:srgbClr val="00B0F0"/>
            </a:solidFill>
            <a:round/>
            <a:headEnd/>
            <a:tailEnd/>
          </a:ln>
        </xdr:spPr>
      </xdr:sp>
    </xdr:grpSp>
    <xdr:clientData/>
  </xdr:twoCellAnchor>
  <xdr:twoCellAnchor>
    <xdr:from>
      <xdr:col>17</xdr:col>
      <xdr:colOff>831850</xdr:colOff>
      <xdr:row>11</xdr:row>
      <xdr:rowOff>101600</xdr:rowOff>
    </xdr:from>
    <xdr:to>
      <xdr:col>18</xdr:col>
      <xdr:colOff>368300</xdr:colOff>
      <xdr:row>11</xdr:row>
      <xdr:rowOff>101600</xdr:rowOff>
    </xdr:to>
    <xdr:sp macro="" textlink="">
      <xdr:nvSpPr>
        <xdr:cNvPr id="5501647" name="Line 268">
          <a:extLst>
            <a:ext uri="{FF2B5EF4-FFF2-40B4-BE49-F238E27FC236}">
              <a16:creationId xmlns:a16="http://schemas.microsoft.com/office/drawing/2014/main" id="{00000000-0008-0000-0700-0000CFF25300}"/>
            </a:ext>
          </a:extLst>
        </xdr:cNvPr>
        <xdr:cNvSpPr>
          <a:spLocks noChangeShapeType="1"/>
        </xdr:cNvSpPr>
      </xdr:nvSpPr>
      <xdr:spPr bwMode="auto">
        <a:xfrm flipV="1">
          <a:off x="14408150" y="2032000"/>
          <a:ext cx="673100" cy="0"/>
        </a:xfrm>
        <a:prstGeom prst="line">
          <a:avLst/>
        </a:prstGeom>
        <a:noFill/>
        <a:ln w="6350">
          <a:solidFill>
            <a:srgbClr val="000000"/>
          </a:solidFill>
          <a:round/>
          <a:headEnd type="triangle" w="sm" len="lg"/>
          <a:tailEnd type="triangle" w="sm" len="lg"/>
        </a:ln>
      </xdr:spPr>
    </xdr:sp>
    <xdr:clientData/>
  </xdr:twoCellAnchor>
  <xdr:twoCellAnchor>
    <xdr:from>
      <xdr:col>17</xdr:col>
      <xdr:colOff>88900</xdr:colOff>
      <xdr:row>1</xdr:row>
      <xdr:rowOff>12700</xdr:rowOff>
    </xdr:from>
    <xdr:to>
      <xdr:col>19</xdr:col>
      <xdr:colOff>336550</xdr:colOff>
      <xdr:row>1</xdr:row>
      <xdr:rowOff>12700</xdr:rowOff>
    </xdr:to>
    <xdr:sp macro="" textlink="">
      <xdr:nvSpPr>
        <xdr:cNvPr id="5501648" name="Line 269">
          <a:extLst>
            <a:ext uri="{FF2B5EF4-FFF2-40B4-BE49-F238E27FC236}">
              <a16:creationId xmlns:a16="http://schemas.microsoft.com/office/drawing/2014/main" id="{00000000-0008-0000-0700-0000D0F25300}"/>
            </a:ext>
          </a:extLst>
        </xdr:cNvPr>
        <xdr:cNvSpPr>
          <a:spLocks noChangeShapeType="1"/>
        </xdr:cNvSpPr>
      </xdr:nvSpPr>
      <xdr:spPr bwMode="auto">
        <a:xfrm flipV="1">
          <a:off x="13665200" y="184150"/>
          <a:ext cx="2520950" cy="0"/>
        </a:xfrm>
        <a:prstGeom prst="line">
          <a:avLst/>
        </a:prstGeom>
        <a:noFill/>
        <a:ln w="6350">
          <a:solidFill>
            <a:srgbClr val="000000"/>
          </a:solidFill>
          <a:round/>
          <a:headEnd/>
          <a:tailEnd/>
        </a:ln>
      </xdr:spPr>
    </xdr:sp>
    <xdr:clientData/>
  </xdr:twoCellAnchor>
  <xdr:twoCellAnchor>
    <xdr:from>
      <xdr:col>18</xdr:col>
      <xdr:colOff>1054100</xdr:colOff>
      <xdr:row>1</xdr:row>
      <xdr:rowOff>12700</xdr:rowOff>
    </xdr:from>
    <xdr:to>
      <xdr:col>18</xdr:col>
      <xdr:colOff>1054100</xdr:colOff>
      <xdr:row>28</xdr:row>
      <xdr:rowOff>139700</xdr:rowOff>
    </xdr:to>
    <xdr:sp macro="" textlink="">
      <xdr:nvSpPr>
        <xdr:cNvPr id="5501649" name="Line 270">
          <a:extLst>
            <a:ext uri="{FF2B5EF4-FFF2-40B4-BE49-F238E27FC236}">
              <a16:creationId xmlns:a16="http://schemas.microsoft.com/office/drawing/2014/main" id="{00000000-0008-0000-0700-0000D1F25300}"/>
            </a:ext>
          </a:extLst>
        </xdr:cNvPr>
        <xdr:cNvSpPr>
          <a:spLocks noChangeShapeType="1"/>
        </xdr:cNvSpPr>
      </xdr:nvSpPr>
      <xdr:spPr bwMode="auto">
        <a:xfrm>
          <a:off x="15767050" y="184150"/>
          <a:ext cx="0" cy="4705350"/>
        </a:xfrm>
        <a:prstGeom prst="line">
          <a:avLst/>
        </a:prstGeom>
        <a:noFill/>
        <a:ln w="6350">
          <a:solidFill>
            <a:srgbClr val="000000"/>
          </a:solidFill>
          <a:round/>
          <a:headEnd type="triangle" w="sm" len="lg"/>
          <a:tailEnd type="triangle" w="sm" len="lg"/>
        </a:ln>
      </xdr:spPr>
    </xdr:sp>
    <xdr:clientData/>
  </xdr:twoCellAnchor>
  <xdr:twoCellAnchor>
    <xdr:from>
      <xdr:col>17</xdr:col>
      <xdr:colOff>120650</xdr:colOff>
      <xdr:row>10</xdr:row>
      <xdr:rowOff>152400</xdr:rowOff>
    </xdr:from>
    <xdr:to>
      <xdr:col>18</xdr:col>
      <xdr:colOff>412750</xdr:colOff>
      <xdr:row>10</xdr:row>
      <xdr:rowOff>152400</xdr:rowOff>
    </xdr:to>
    <xdr:sp macro="" textlink="">
      <xdr:nvSpPr>
        <xdr:cNvPr id="5501650" name="Line 271">
          <a:extLst>
            <a:ext uri="{FF2B5EF4-FFF2-40B4-BE49-F238E27FC236}">
              <a16:creationId xmlns:a16="http://schemas.microsoft.com/office/drawing/2014/main" id="{00000000-0008-0000-0700-0000D2F25300}"/>
            </a:ext>
          </a:extLst>
        </xdr:cNvPr>
        <xdr:cNvSpPr>
          <a:spLocks noChangeShapeType="1"/>
        </xdr:cNvSpPr>
      </xdr:nvSpPr>
      <xdr:spPr bwMode="auto">
        <a:xfrm>
          <a:off x="13696950" y="1911350"/>
          <a:ext cx="1428750" cy="0"/>
        </a:xfrm>
        <a:prstGeom prst="line">
          <a:avLst/>
        </a:prstGeom>
        <a:noFill/>
        <a:ln w="6350">
          <a:solidFill>
            <a:srgbClr val="000000"/>
          </a:solidFill>
          <a:round/>
          <a:headEnd/>
          <a:tailEnd/>
        </a:ln>
      </xdr:spPr>
    </xdr:sp>
    <xdr:clientData/>
  </xdr:twoCellAnchor>
  <xdr:twoCellAnchor>
    <xdr:from>
      <xdr:col>17</xdr:col>
      <xdr:colOff>152400</xdr:colOff>
      <xdr:row>0</xdr:row>
      <xdr:rowOff>158750</xdr:rowOff>
    </xdr:from>
    <xdr:to>
      <xdr:col>17</xdr:col>
      <xdr:colOff>152400</xdr:colOff>
      <xdr:row>10</xdr:row>
      <xdr:rowOff>139700</xdr:rowOff>
    </xdr:to>
    <xdr:sp macro="" textlink="">
      <xdr:nvSpPr>
        <xdr:cNvPr id="5501651" name="Line 272">
          <a:extLst>
            <a:ext uri="{FF2B5EF4-FFF2-40B4-BE49-F238E27FC236}">
              <a16:creationId xmlns:a16="http://schemas.microsoft.com/office/drawing/2014/main" id="{00000000-0008-0000-0700-0000D3F25300}"/>
            </a:ext>
          </a:extLst>
        </xdr:cNvPr>
        <xdr:cNvSpPr>
          <a:spLocks noChangeShapeType="1"/>
        </xdr:cNvSpPr>
      </xdr:nvSpPr>
      <xdr:spPr bwMode="auto">
        <a:xfrm flipH="1">
          <a:off x="13728700" y="158750"/>
          <a:ext cx="0" cy="1739900"/>
        </a:xfrm>
        <a:prstGeom prst="line">
          <a:avLst/>
        </a:prstGeom>
        <a:noFill/>
        <a:ln w="6350">
          <a:solidFill>
            <a:srgbClr val="000000"/>
          </a:solidFill>
          <a:round/>
          <a:headEnd type="triangle" w="sm" len="lg"/>
          <a:tailEnd type="triangle" w="sm" len="lg"/>
        </a:ln>
      </xdr:spPr>
    </xdr:sp>
    <xdr:clientData/>
  </xdr:twoCellAnchor>
  <xdr:twoCellAnchor>
    <xdr:from>
      <xdr:col>16</xdr:col>
      <xdr:colOff>234950</xdr:colOff>
      <xdr:row>31</xdr:row>
      <xdr:rowOff>95250</xdr:rowOff>
    </xdr:from>
    <xdr:to>
      <xdr:col>17</xdr:col>
      <xdr:colOff>82550</xdr:colOff>
      <xdr:row>31</xdr:row>
      <xdr:rowOff>95250</xdr:rowOff>
    </xdr:to>
    <xdr:sp macro="" textlink="">
      <xdr:nvSpPr>
        <xdr:cNvPr id="5501652" name="Line 277">
          <a:extLst>
            <a:ext uri="{FF2B5EF4-FFF2-40B4-BE49-F238E27FC236}">
              <a16:creationId xmlns:a16="http://schemas.microsoft.com/office/drawing/2014/main" id="{00000000-0008-0000-0700-0000D4F25300}"/>
            </a:ext>
          </a:extLst>
        </xdr:cNvPr>
        <xdr:cNvSpPr>
          <a:spLocks noChangeShapeType="1"/>
        </xdr:cNvSpPr>
      </xdr:nvSpPr>
      <xdr:spPr bwMode="auto">
        <a:xfrm>
          <a:off x="12998450" y="5359400"/>
          <a:ext cx="660400" cy="0"/>
        </a:xfrm>
        <a:prstGeom prst="line">
          <a:avLst/>
        </a:prstGeom>
        <a:noFill/>
        <a:ln w="6350">
          <a:solidFill>
            <a:srgbClr val="000000"/>
          </a:solidFill>
          <a:round/>
          <a:headEnd/>
          <a:tailEnd/>
        </a:ln>
      </xdr:spPr>
    </xdr:sp>
    <xdr:clientData/>
  </xdr:twoCellAnchor>
  <xdr:twoCellAnchor>
    <xdr:from>
      <xdr:col>18</xdr:col>
      <xdr:colOff>196850</xdr:colOff>
      <xdr:row>29</xdr:row>
      <xdr:rowOff>88900</xdr:rowOff>
    </xdr:from>
    <xdr:to>
      <xdr:col>18</xdr:col>
      <xdr:colOff>1035050</xdr:colOff>
      <xdr:row>29</xdr:row>
      <xdr:rowOff>88900</xdr:rowOff>
    </xdr:to>
    <xdr:sp macro="" textlink="">
      <xdr:nvSpPr>
        <xdr:cNvPr id="5501653" name="Line 280">
          <a:extLst>
            <a:ext uri="{FF2B5EF4-FFF2-40B4-BE49-F238E27FC236}">
              <a16:creationId xmlns:a16="http://schemas.microsoft.com/office/drawing/2014/main" id="{00000000-0008-0000-0700-0000D5F25300}"/>
            </a:ext>
          </a:extLst>
        </xdr:cNvPr>
        <xdr:cNvSpPr>
          <a:spLocks noChangeShapeType="1"/>
        </xdr:cNvSpPr>
      </xdr:nvSpPr>
      <xdr:spPr bwMode="auto">
        <a:xfrm>
          <a:off x="14909800" y="5010150"/>
          <a:ext cx="838200" cy="0"/>
        </a:xfrm>
        <a:prstGeom prst="line">
          <a:avLst/>
        </a:prstGeom>
        <a:noFill/>
        <a:ln w="6350">
          <a:solidFill>
            <a:srgbClr val="000000"/>
          </a:solidFill>
          <a:round/>
          <a:headEnd/>
          <a:tailEnd/>
        </a:ln>
      </xdr:spPr>
    </xdr:sp>
    <xdr:clientData/>
  </xdr:twoCellAnchor>
  <xdr:twoCellAnchor>
    <xdr:from>
      <xdr:col>17</xdr:col>
      <xdr:colOff>508000</xdr:colOff>
      <xdr:row>20</xdr:row>
      <xdr:rowOff>0</xdr:rowOff>
    </xdr:from>
    <xdr:to>
      <xdr:col>17</xdr:col>
      <xdr:colOff>508000</xdr:colOff>
      <xdr:row>28</xdr:row>
      <xdr:rowOff>127000</xdr:rowOff>
    </xdr:to>
    <xdr:sp macro="" textlink="">
      <xdr:nvSpPr>
        <xdr:cNvPr id="5501654" name="Line 281">
          <a:extLst>
            <a:ext uri="{FF2B5EF4-FFF2-40B4-BE49-F238E27FC236}">
              <a16:creationId xmlns:a16="http://schemas.microsoft.com/office/drawing/2014/main" id="{00000000-0008-0000-0700-0000D6F25300}"/>
            </a:ext>
          </a:extLst>
        </xdr:cNvPr>
        <xdr:cNvSpPr>
          <a:spLocks noChangeShapeType="1"/>
        </xdr:cNvSpPr>
      </xdr:nvSpPr>
      <xdr:spPr bwMode="auto">
        <a:xfrm flipH="1">
          <a:off x="14084300" y="3422650"/>
          <a:ext cx="0" cy="1454150"/>
        </a:xfrm>
        <a:prstGeom prst="line">
          <a:avLst/>
        </a:prstGeom>
        <a:noFill/>
        <a:ln w="6350">
          <a:solidFill>
            <a:srgbClr val="000000"/>
          </a:solidFill>
          <a:round/>
          <a:headEnd type="triangle" w="sm" len="lg"/>
          <a:tailEnd type="triangle" w="sm" len="lg"/>
        </a:ln>
      </xdr:spPr>
    </xdr:sp>
    <xdr:clientData/>
  </xdr:twoCellAnchor>
  <xdr:twoCellAnchor>
    <xdr:from>
      <xdr:col>16</xdr:col>
      <xdr:colOff>311150</xdr:colOff>
      <xdr:row>27</xdr:row>
      <xdr:rowOff>133350</xdr:rowOff>
    </xdr:from>
    <xdr:to>
      <xdr:col>16</xdr:col>
      <xdr:colOff>323850</xdr:colOff>
      <xdr:row>31</xdr:row>
      <xdr:rowOff>95250</xdr:rowOff>
    </xdr:to>
    <xdr:sp macro="" textlink="">
      <xdr:nvSpPr>
        <xdr:cNvPr id="5501655" name="Line 282">
          <a:extLst>
            <a:ext uri="{FF2B5EF4-FFF2-40B4-BE49-F238E27FC236}">
              <a16:creationId xmlns:a16="http://schemas.microsoft.com/office/drawing/2014/main" id="{00000000-0008-0000-0700-0000D7F25300}"/>
            </a:ext>
          </a:extLst>
        </xdr:cNvPr>
        <xdr:cNvSpPr>
          <a:spLocks noChangeShapeType="1"/>
        </xdr:cNvSpPr>
      </xdr:nvSpPr>
      <xdr:spPr bwMode="auto">
        <a:xfrm flipH="1">
          <a:off x="13074650" y="4711700"/>
          <a:ext cx="12700" cy="647700"/>
        </a:xfrm>
        <a:prstGeom prst="line">
          <a:avLst/>
        </a:prstGeom>
        <a:noFill/>
        <a:ln w="6350">
          <a:solidFill>
            <a:srgbClr val="000000"/>
          </a:solidFill>
          <a:round/>
          <a:headEnd type="triangle" w="sm" len="lg"/>
          <a:tailEnd type="triangle" w="sm" len="lg"/>
        </a:ln>
      </xdr:spPr>
    </xdr:sp>
    <xdr:clientData/>
  </xdr:twoCellAnchor>
  <xdr:twoCellAnchor>
    <xdr:from>
      <xdr:col>16</xdr:col>
      <xdr:colOff>730250</xdr:colOff>
      <xdr:row>20</xdr:row>
      <xdr:rowOff>0</xdr:rowOff>
    </xdr:from>
    <xdr:to>
      <xdr:col>16</xdr:col>
      <xdr:colOff>730250</xdr:colOff>
      <xdr:row>27</xdr:row>
      <xdr:rowOff>133350</xdr:rowOff>
    </xdr:to>
    <xdr:sp macro="" textlink="">
      <xdr:nvSpPr>
        <xdr:cNvPr id="5501656" name="Line 283">
          <a:extLst>
            <a:ext uri="{FF2B5EF4-FFF2-40B4-BE49-F238E27FC236}">
              <a16:creationId xmlns:a16="http://schemas.microsoft.com/office/drawing/2014/main" id="{00000000-0008-0000-0700-0000D8F25300}"/>
            </a:ext>
          </a:extLst>
        </xdr:cNvPr>
        <xdr:cNvSpPr>
          <a:spLocks noChangeShapeType="1"/>
        </xdr:cNvSpPr>
      </xdr:nvSpPr>
      <xdr:spPr bwMode="auto">
        <a:xfrm>
          <a:off x="13493750" y="3422650"/>
          <a:ext cx="0" cy="1289050"/>
        </a:xfrm>
        <a:prstGeom prst="line">
          <a:avLst/>
        </a:prstGeom>
        <a:noFill/>
        <a:ln w="6350">
          <a:solidFill>
            <a:srgbClr val="000000"/>
          </a:solidFill>
          <a:round/>
          <a:headEnd type="triangle" w="sm" len="lg"/>
          <a:tailEnd type="triangle" w="sm" len="lg"/>
        </a:ln>
      </xdr:spPr>
    </xdr:sp>
    <xdr:clientData/>
  </xdr:twoCellAnchor>
  <xdr:twoCellAnchor>
    <xdr:from>
      <xdr:col>17</xdr:col>
      <xdr:colOff>69850</xdr:colOff>
      <xdr:row>31</xdr:row>
      <xdr:rowOff>95250</xdr:rowOff>
    </xdr:from>
    <xdr:to>
      <xdr:col>17</xdr:col>
      <xdr:colOff>69850</xdr:colOff>
      <xdr:row>32</xdr:row>
      <xdr:rowOff>0</xdr:rowOff>
    </xdr:to>
    <xdr:sp macro="" textlink="">
      <xdr:nvSpPr>
        <xdr:cNvPr id="5501657" name="Line 284">
          <a:extLst>
            <a:ext uri="{FF2B5EF4-FFF2-40B4-BE49-F238E27FC236}">
              <a16:creationId xmlns:a16="http://schemas.microsoft.com/office/drawing/2014/main" id="{00000000-0008-0000-0700-0000D9F25300}"/>
            </a:ext>
          </a:extLst>
        </xdr:cNvPr>
        <xdr:cNvSpPr>
          <a:spLocks noChangeShapeType="1"/>
        </xdr:cNvSpPr>
      </xdr:nvSpPr>
      <xdr:spPr bwMode="auto">
        <a:xfrm flipV="1">
          <a:off x="13646150" y="5359400"/>
          <a:ext cx="0" cy="76200"/>
        </a:xfrm>
        <a:prstGeom prst="line">
          <a:avLst/>
        </a:prstGeom>
        <a:noFill/>
        <a:ln w="6350">
          <a:solidFill>
            <a:srgbClr val="000000"/>
          </a:solidFill>
          <a:round/>
          <a:headEnd/>
          <a:tailEnd/>
        </a:ln>
      </xdr:spPr>
    </xdr:sp>
    <xdr:clientData/>
  </xdr:twoCellAnchor>
  <xdr:twoCellAnchor>
    <xdr:from>
      <xdr:col>17</xdr:col>
      <xdr:colOff>946150</xdr:colOff>
      <xdr:row>29</xdr:row>
      <xdr:rowOff>88900</xdr:rowOff>
    </xdr:from>
    <xdr:to>
      <xdr:col>17</xdr:col>
      <xdr:colOff>946150</xdr:colOff>
      <xdr:row>31</xdr:row>
      <xdr:rowOff>158750</xdr:rowOff>
    </xdr:to>
    <xdr:sp macro="" textlink="">
      <xdr:nvSpPr>
        <xdr:cNvPr id="5501658" name="Line 285">
          <a:extLst>
            <a:ext uri="{FF2B5EF4-FFF2-40B4-BE49-F238E27FC236}">
              <a16:creationId xmlns:a16="http://schemas.microsoft.com/office/drawing/2014/main" id="{00000000-0008-0000-0700-0000DAF25300}"/>
            </a:ext>
          </a:extLst>
        </xdr:cNvPr>
        <xdr:cNvSpPr>
          <a:spLocks noChangeShapeType="1"/>
        </xdr:cNvSpPr>
      </xdr:nvSpPr>
      <xdr:spPr bwMode="auto">
        <a:xfrm flipH="1" flipV="1">
          <a:off x="14522450" y="5010150"/>
          <a:ext cx="0" cy="412750"/>
        </a:xfrm>
        <a:prstGeom prst="line">
          <a:avLst/>
        </a:prstGeom>
        <a:noFill/>
        <a:ln w="6350">
          <a:solidFill>
            <a:srgbClr val="000000"/>
          </a:solidFill>
          <a:round/>
          <a:headEnd/>
          <a:tailEnd/>
        </a:ln>
      </xdr:spPr>
    </xdr:sp>
    <xdr:clientData/>
  </xdr:twoCellAnchor>
  <xdr:twoCellAnchor>
    <xdr:from>
      <xdr:col>17</xdr:col>
      <xdr:colOff>88900</xdr:colOff>
      <xdr:row>31</xdr:row>
      <xdr:rowOff>127000</xdr:rowOff>
    </xdr:from>
    <xdr:to>
      <xdr:col>17</xdr:col>
      <xdr:colOff>958850</xdr:colOff>
      <xdr:row>31</xdr:row>
      <xdr:rowOff>127000</xdr:rowOff>
    </xdr:to>
    <xdr:sp macro="" textlink="">
      <xdr:nvSpPr>
        <xdr:cNvPr id="5501659" name="Line 286">
          <a:extLst>
            <a:ext uri="{FF2B5EF4-FFF2-40B4-BE49-F238E27FC236}">
              <a16:creationId xmlns:a16="http://schemas.microsoft.com/office/drawing/2014/main" id="{00000000-0008-0000-0700-0000DBF25300}"/>
            </a:ext>
          </a:extLst>
        </xdr:cNvPr>
        <xdr:cNvSpPr>
          <a:spLocks noChangeShapeType="1"/>
        </xdr:cNvSpPr>
      </xdr:nvSpPr>
      <xdr:spPr bwMode="auto">
        <a:xfrm flipV="1">
          <a:off x="13665200" y="5391150"/>
          <a:ext cx="869950" cy="0"/>
        </a:xfrm>
        <a:prstGeom prst="line">
          <a:avLst/>
        </a:prstGeom>
        <a:noFill/>
        <a:ln w="6350">
          <a:solidFill>
            <a:srgbClr val="000000"/>
          </a:solidFill>
          <a:round/>
          <a:headEnd type="triangle" w="sm" len="lg"/>
          <a:tailEnd type="triangle" w="sm" len="lg"/>
        </a:ln>
      </xdr:spPr>
    </xdr:sp>
    <xdr:clientData/>
  </xdr:twoCellAnchor>
  <xdr:twoCellAnchor>
    <xdr:from>
      <xdr:col>17</xdr:col>
      <xdr:colOff>666750</xdr:colOff>
      <xdr:row>16</xdr:row>
      <xdr:rowOff>57150</xdr:rowOff>
    </xdr:from>
    <xdr:to>
      <xdr:col>18</xdr:col>
      <xdr:colOff>514350</xdr:colOff>
      <xdr:row>16</xdr:row>
      <xdr:rowOff>57150</xdr:rowOff>
    </xdr:to>
    <xdr:sp macro="" textlink="">
      <xdr:nvSpPr>
        <xdr:cNvPr id="5501660" name="Line 287">
          <a:extLst>
            <a:ext uri="{FF2B5EF4-FFF2-40B4-BE49-F238E27FC236}">
              <a16:creationId xmlns:a16="http://schemas.microsoft.com/office/drawing/2014/main" id="{00000000-0008-0000-0700-0000DCF25300}"/>
            </a:ext>
          </a:extLst>
        </xdr:cNvPr>
        <xdr:cNvSpPr>
          <a:spLocks noChangeShapeType="1"/>
        </xdr:cNvSpPr>
      </xdr:nvSpPr>
      <xdr:spPr bwMode="auto">
        <a:xfrm flipV="1">
          <a:off x="14243050" y="2819400"/>
          <a:ext cx="984250" cy="0"/>
        </a:xfrm>
        <a:prstGeom prst="line">
          <a:avLst/>
        </a:prstGeom>
        <a:noFill/>
        <a:ln w="3175">
          <a:solidFill>
            <a:srgbClr val="92D050"/>
          </a:solidFill>
          <a:prstDash val="sysDot"/>
          <a:round/>
          <a:headEnd type="triangle" w="sm" len="sm"/>
          <a:tailEnd type="triangle" w="sm" len="sm"/>
        </a:ln>
      </xdr:spPr>
    </xdr:sp>
    <xdr:clientData/>
  </xdr:twoCellAnchor>
  <xdr:twoCellAnchor>
    <xdr:from>
      <xdr:col>17</xdr:col>
      <xdr:colOff>831850</xdr:colOff>
      <xdr:row>14</xdr:row>
      <xdr:rowOff>127000</xdr:rowOff>
    </xdr:from>
    <xdr:to>
      <xdr:col>19</xdr:col>
      <xdr:colOff>19050</xdr:colOff>
      <xdr:row>14</xdr:row>
      <xdr:rowOff>127000</xdr:rowOff>
    </xdr:to>
    <xdr:sp macro="" textlink="">
      <xdr:nvSpPr>
        <xdr:cNvPr id="5501661" name="Line 289">
          <a:extLst>
            <a:ext uri="{FF2B5EF4-FFF2-40B4-BE49-F238E27FC236}">
              <a16:creationId xmlns:a16="http://schemas.microsoft.com/office/drawing/2014/main" id="{00000000-0008-0000-0700-0000DDF25300}"/>
            </a:ext>
          </a:extLst>
        </xdr:cNvPr>
        <xdr:cNvSpPr>
          <a:spLocks noChangeShapeType="1"/>
        </xdr:cNvSpPr>
      </xdr:nvSpPr>
      <xdr:spPr bwMode="auto">
        <a:xfrm>
          <a:off x="14408150" y="2559050"/>
          <a:ext cx="1460500" cy="0"/>
        </a:xfrm>
        <a:prstGeom prst="line">
          <a:avLst/>
        </a:prstGeom>
        <a:noFill/>
        <a:ln w="6350">
          <a:solidFill>
            <a:srgbClr val="92D050"/>
          </a:solidFill>
          <a:round/>
          <a:headEnd/>
          <a:tailEnd/>
        </a:ln>
      </xdr:spPr>
    </xdr:sp>
    <xdr:clientData/>
  </xdr:twoCellAnchor>
  <xdr:twoCellAnchor>
    <xdr:from>
      <xdr:col>17</xdr:col>
      <xdr:colOff>679450</xdr:colOff>
      <xdr:row>15</xdr:row>
      <xdr:rowOff>127000</xdr:rowOff>
    </xdr:from>
    <xdr:to>
      <xdr:col>19</xdr:col>
      <xdr:colOff>44450</xdr:colOff>
      <xdr:row>15</xdr:row>
      <xdr:rowOff>127000</xdr:rowOff>
    </xdr:to>
    <xdr:sp macro="" textlink="">
      <xdr:nvSpPr>
        <xdr:cNvPr id="5501662" name="Line 290">
          <a:extLst>
            <a:ext uri="{FF2B5EF4-FFF2-40B4-BE49-F238E27FC236}">
              <a16:creationId xmlns:a16="http://schemas.microsoft.com/office/drawing/2014/main" id="{00000000-0008-0000-0700-0000DEF25300}"/>
            </a:ext>
          </a:extLst>
        </xdr:cNvPr>
        <xdr:cNvSpPr>
          <a:spLocks noChangeShapeType="1"/>
        </xdr:cNvSpPr>
      </xdr:nvSpPr>
      <xdr:spPr bwMode="auto">
        <a:xfrm>
          <a:off x="14255750" y="2724150"/>
          <a:ext cx="1638300" cy="0"/>
        </a:xfrm>
        <a:prstGeom prst="line">
          <a:avLst/>
        </a:prstGeom>
        <a:noFill/>
        <a:ln w="6350">
          <a:solidFill>
            <a:srgbClr val="92D050"/>
          </a:solidFill>
          <a:round/>
          <a:headEnd/>
          <a:tailEnd/>
        </a:ln>
      </xdr:spPr>
    </xdr:sp>
    <xdr:clientData/>
  </xdr:twoCellAnchor>
  <xdr:twoCellAnchor>
    <xdr:from>
      <xdr:col>17</xdr:col>
      <xdr:colOff>666750</xdr:colOff>
      <xdr:row>18</xdr:row>
      <xdr:rowOff>69850</xdr:rowOff>
    </xdr:from>
    <xdr:to>
      <xdr:col>19</xdr:col>
      <xdr:colOff>44450</xdr:colOff>
      <xdr:row>18</xdr:row>
      <xdr:rowOff>69850</xdr:rowOff>
    </xdr:to>
    <xdr:sp macro="" textlink="">
      <xdr:nvSpPr>
        <xdr:cNvPr id="5501663" name="Line 291">
          <a:extLst>
            <a:ext uri="{FF2B5EF4-FFF2-40B4-BE49-F238E27FC236}">
              <a16:creationId xmlns:a16="http://schemas.microsoft.com/office/drawing/2014/main" id="{00000000-0008-0000-0700-0000DFF25300}"/>
            </a:ext>
          </a:extLst>
        </xdr:cNvPr>
        <xdr:cNvSpPr>
          <a:spLocks noChangeShapeType="1"/>
        </xdr:cNvSpPr>
      </xdr:nvSpPr>
      <xdr:spPr bwMode="auto">
        <a:xfrm>
          <a:off x="14243050" y="3162300"/>
          <a:ext cx="1651000" cy="0"/>
        </a:xfrm>
        <a:prstGeom prst="line">
          <a:avLst/>
        </a:prstGeom>
        <a:noFill/>
        <a:ln w="6350">
          <a:solidFill>
            <a:srgbClr val="92D050"/>
          </a:solidFill>
          <a:round/>
          <a:headEnd/>
          <a:tailEnd/>
        </a:ln>
      </xdr:spPr>
    </xdr:sp>
    <xdr:clientData/>
  </xdr:twoCellAnchor>
  <xdr:twoCellAnchor>
    <xdr:from>
      <xdr:col>17</xdr:col>
      <xdr:colOff>946150</xdr:colOff>
      <xdr:row>19</xdr:row>
      <xdr:rowOff>139700</xdr:rowOff>
    </xdr:from>
    <xdr:to>
      <xdr:col>19</xdr:col>
      <xdr:colOff>12700</xdr:colOff>
      <xdr:row>19</xdr:row>
      <xdr:rowOff>139700</xdr:rowOff>
    </xdr:to>
    <xdr:sp macro="" textlink="">
      <xdr:nvSpPr>
        <xdr:cNvPr id="5501664" name="Line 292">
          <a:extLst>
            <a:ext uri="{FF2B5EF4-FFF2-40B4-BE49-F238E27FC236}">
              <a16:creationId xmlns:a16="http://schemas.microsoft.com/office/drawing/2014/main" id="{00000000-0008-0000-0700-0000E0F25300}"/>
            </a:ext>
          </a:extLst>
        </xdr:cNvPr>
        <xdr:cNvSpPr>
          <a:spLocks noChangeShapeType="1"/>
        </xdr:cNvSpPr>
      </xdr:nvSpPr>
      <xdr:spPr bwMode="auto">
        <a:xfrm>
          <a:off x="14522450" y="3397250"/>
          <a:ext cx="1339850" cy="0"/>
        </a:xfrm>
        <a:prstGeom prst="line">
          <a:avLst/>
        </a:prstGeom>
        <a:noFill/>
        <a:ln w="6350">
          <a:solidFill>
            <a:srgbClr val="92D050"/>
          </a:solidFill>
          <a:round/>
          <a:headEnd/>
          <a:tailEnd/>
        </a:ln>
      </xdr:spPr>
    </xdr:sp>
    <xdr:clientData/>
  </xdr:twoCellAnchor>
  <xdr:twoCellAnchor>
    <xdr:from>
      <xdr:col>17</xdr:col>
      <xdr:colOff>1136650</xdr:colOff>
      <xdr:row>1</xdr:row>
      <xdr:rowOff>0</xdr:rowOff>
    </xdr:from>
    <xdr:to>
      <xdr:col>18</xdr:col>
      <xdr:colOff>0</xdr:colOff>
      <xdr:row>14</xdr:row>
      <xdr:rowOff>127000</xdr:rowOff>
    </xdr:to>
    <xdr:sp macro="" textlink="">
      <xdr:nvSpPr>
        <xdr:cNvPr id="5501665" name="Line 293">
          <a:extLst>
            <a:ext uri="{FF2B5EF4-FFF2-40B4-BE49-F238E27FC236}">
              <a16:creationId xmlns:a16="http://schemas.microsoft.com/office/drawing/2014/main" id="{00000000-0008-0000-0700-0000E1F25300}"/>
            </a:ext>
          </a:extLst>
        </xdr:cNvPr>
        <xdr:cNvSpPr>
          <a:spLocks noChangeShapeType="1"/>
        </xdr:cNvSpPr>
      </xdr:nvSpPr>
      <xdr:spPr bwMode="auto">
        <a:xfrm flipH="1">
          <a:off x="14712950" y="171450"/>
          <a:ext cx="0" cy="2387600"/>
        </a:xfrm>
        <a:prstGeom prst="line">
          <a:avLst/>
        </a:prstGeom>
        <a:noFill/>
        <a:ln w="9525">
          <a:solidFill>
            <a:srgbClr val="92D050"/>
          </a:solidFill>
          <a:prstDash val="sysDot"/>
          <a:round/>
          <a:headEnd type="triangle" w="sm" len="sm"/>
          <a:tailEnd type="triangle" w="sm" len="sm"/>
        </a:ln>
      </xdr:spPr>
    </xdr:sp>
    <xdr:clientData/>
  </xdr:twoCellAnchor>
  <xdr:twoCellAnchor>
    <xdr:from>
      <xdr:col>18</xdr:col>
      <xdr:colOff>190500</xdr:colOff>
      <xdr:row>1</xdr:row>
      <xdr:rowOff>0</xdr:rowOff>
    </xdr:from>
    <xdr:to>
      <xdr:col>18</xdr:col>
      <xdr:colOff>190500</xdr:colOff>
      <xdr:row>18</xdr:row>
      <xdr:rowOff>69850</xdr:rowOff>
    </xdr:to>
    <xdr:sp macro="" textlink="">
      <xdr:nvSpPr>
        <xdr:cNvPr id="5501666" name="Line 294">
          <a:extLst>
            <a:ext uri="{FF2B5EF4-FFF2-40B4-BE49-F238E27FC236}">
              <a16:creationId xmlns:a16="http://schemas.microsoft.com/office/drawing/2014/main" id="{00000000-0008-0000-0700-0000E2F25300}"/>
            </a:ext>
          </a:extLst>
        </xdr:cNvPr>
        <xdr:cNvSpPr>
          <a:spLocks noChangeShapeType="1"/>
        </xdr:cNvSpPr>
      </xdr:nvSpPr>
      <xdr:spPr bwMode="auto">
        <a:xfrm>
          <a:off x="14903450" y="171450"/>
          <a:ext cx="0" cy="2990850"/>
        </a:xfrm>
        <a:prstGeom prst="line">
          <a:avLst/>
        </a:prstGeom>
        <a:noFill/>
        <a:ln w="9525">
          <a:solidFill>
            <a:srgbClr val="92D050"/>
          </a:solidFill>
          <a:prstDash val="sysDot"/>
          <a:round/>
          <a:headEnd type="triangle" w="sm" len="sm"/>
          <a:tailEnd type="triangle" w="sm" len="sm"/>
        </a:ln>
      </xdr:spPr>
    </xdr:sp>
    <xdr:clientData/>
  </xdr:twoCellAnchor>
  <xdr:twoCellAnchor>
    <xdr:from>
      <xdr:col>19</xdr:col>
      <xdr:colOff>19050</xdr:colOff>
      <xdr:row>14</xdr:row>
      <xdr:rowOff>127000</xdr:rowOff>
    </xdr:from>
    <xdr:to>
      <xdr:col>19</xdr:col>
      <xdr:colOff>19050</xdr:colOff>
      <xdr:row>15</xdr:row>
      <xdr:rowOff>127000</xdr:rowOff>
    </xdr:to>
    <xdr:sp macro="" textlink="">
      <xdr:nvSpPr>
        <xdr:cNvPr id="5501667" name="Line 295">
          <a:extLst>
            <a:ext uri="{FF2B5EF4-FFF2-40B4-BE49-F238E27FC236}">
              <a16:creationId xmlns:a16="http://schemas.microsoft.com/office/drawing/2014/main" id="{00000000-0008-0000-0700-0000E3F25300}"/>
            </a:ext>
          </a:extLst>
        </xdr:cNvPr>
        <xdr:cNvSpPr>
          <a:spLocks noChangeShapeType="1"/>
        </xdr:cNvSpPr>
      </xdr:nvSpPr>
      <xdr:spPr bwMode="auto">
        <a:xfrm>
          <a:off x="15868650" y="2559050"/>
          <a:ext cx="0" cy="165100"/>
        </a:xfrm>
        <a:prstGeom prst="line">
          <a:avLst/>
        </a:prstGeom>
        <a:noFill/>
        <a:ln w="3175">
          <a:solidFill>
            <a:srgbClr val="92D050"/>
          </a:solidFill>
          <a:prstDash val="sysDot"/>
          <a:round/>
          <a:headEnd type="triangle" w="sm" len="sm"/>
          <a:tailEnd type="triangle" w="sm" len="sm"/>
        </a:ln>
      </xdr:spPr>
    </xdr:sp>
    <xdr:clientData/>
  </xdr:twoCellAnchor>
  <xdr:twoCellAnchor>
    <xdr:from>
      <xdr:col>19</xdr:col>
      <xdr:colOff>12700</xdr:colOff>
      <xdr:row>18</xdr:row>
      <xdr:rowOff>69850</xdr:rowOff>
    </xdr:from>
    <xdr:to>
      <xdr:col>19</xdr:col>
      <xdr:colOff>12700</xdr:colOff>
      <xdr:row>19</xdr:row>
      <xdr:rowOff>139700</xdr:rowOff>
    </xdr:to>
    <xdr:sp macro="" textlink="">
      <xdr:nvSpPr>
        <xdr:cNvPr id="5501668" name="Line 296">
          <a:extLst>
            <a:ext uri="{FF2B5EF4-FFF2-40B4-BE49-F238E27FC236}">
              <a16:creationId xmlns:a16="http://schemas.microsoft.com/office/drawing/2014/main" id="{00000000-0008-0000-0700-0000E4F25300}"/>
            </a:ext>
          </a:extLst>
        </xdr:cNvPr>
        <xdr:cNvSpPr>
          <a:spLocks noChangeShapeType="1"/>
        </xdr:cNvSpPr>
      </xdr:nvSpPr>
      <xdr:spPr bwMode="auto">
        <a:xfrm>
          <a:off x="15862300" y="3162300"/>
          <a:ext cx="0" cy="234950"/>
        </a:xfrm>
        <a:prstGeom prst="line">
          <a:avLst/>
        </a:prstGeom>
        <a:noFill/>
        <a:ln w="9525">
          <a:solidFill>
            <a:srgbClr val="92D050"/>
          </a:solidFill>
          <a:prstDash val="sysDot"/>
          <a:round/>
          <a:headEnd type="triangle" w="sm" len="sm"/>
          <a:tailEnd type="triangle" w="sm" len="sm"/>
        </a:ln>
      </xdr:spPr>
    </xdr:sp>
    <xdr:clientData/>
  </xdr:twoCellAnchor>
  <xdr:twoCellAnchor>
    <xdr:from>
      <xdr:col>17</xdr:col>
      <xdr:colOff>0</xdr:colOff>
      <xdr:row>11</xdr:row>
      <xdr:rowOff>101600</xdr:rowOff>
    </xdr:from>
    <xdr:to>
      <xdr:col>17</xdr:col>
      <xdr:colOff>838200</xdr:colOff>
      <xdr:row>11</xdr:row>
      <xdr:rowOff>101600</xdr:rowOff>
    </xdr:to>
    <xdr:sp macro="" textlink="">
      <xdr:nvSpPr>
        <xdr:cNvPr id="5501669" name="Line 297">
          <a:extLst>
            <a:ext uri="{FF2B5EF4-FFF2-40B4-BE49-F238E27FC236}">
              <a16:creationId xmlns:a16="http://schemas.microsoft.com/office/drawing/2014/main" id="{00000000-0008-0000-0700-0000E5F25300}"/>
            </a:ext>
          </a:extLst>
        </xdr:cNvPr>
        <xdr:cNvSpPr>
          <a:spLocks noChangeShapeType="1"/>
        </xdr:cNvSpPr>
      </xdr:nvSpPr>
      <xdr:spPr bwMode="auto">
        <a:xfrm>
          <a:off x="13576300" y="2032000"/>
          <a:ext cx="838200" cy="0"/>
        </a:xfrm>
        <a:prstGeom prst="line">
          <a:avLst/>
        </a:prstGeom>
        <a:noFill/>
        <a:ln w="9525">
          <a:solidFill>
            <a:srgbClr val="000000"/>
          </a:solidFill>
          <a:round/>
          <a:headEnd/>
          <a:tailEnd/>
        </a:ln>
      </xdr:spPr>
    </xdr:sp>
    <xdr:clientData/>
  </xdr:twoCellAnchor>
  <xdr:twoCellAnchor>
    <xdr:from>
      <xdr:col>17</xdr:col>
      <xdr:colOff>0</xdr:colOff>
      <xdr:row>16</xdr:row>
      <xdr:rowOff>69850</xdr:rowOff>
    </xdr:from>
    <xdr:to>
      <xdr:col>17</xdr:col>
      <xdr:colOff>679450</xdr:colOff>
      <xdr:row>16</xdr:row>
      <xdr:rowOff>69850</xdr:rowOff>
    </xdr:to>
    <xdr:sp macro="" textlink="">
      <xdr:nvSpPr>
        <xdr:cNvPr id="5501670" name="Line 298">
          <a:extLst>
            <a:ext uri="{FF2B5EF4-FFF2-40B4-BE49-F238E27FC236}">
              <a16:creationId xmlns:a16="http://schemas.microsoft.com/office/drawing/2014/main" id="{00000000-0008-0000-0700-0000E6F25300}"/>
            </a:ext>
          </a:extLst>
        </xdr:cNvPr>
        <xdr:cNvSpPr>
          <a:spLocks noChangeShapeType="1"/>
        </xdr:cNvSpPr>
      </xdr:nvSpPr>
      <xdr:spPr bwMode="auto">
        <a:xfrm>
          <a:off x="13576300" y="2832100"/>
          <a:ext cx="679450" cy="0"/>
        </a:xfrm>
        <a:prstGeom prst="line">
          <a:avLst/>
        </a:prstGeom>
        <a:noFill/>
        <a:ln w="9525">
          <a:solidFill>
            <a:srgbClr val="92D050"/>
          </a:solidFill>
          <a:round/>
          <a:headEnd/>
          <a:tailEnd/>
        </a:ln>
      </xdr:spPr>
    </xdr:sp>
    <xdr:clientData/>
  </xdr:twoCellAnchor>
  <xdr:twoCellAnchor>
    <xdr:from>
      <xdr:col>17</xdr:col>
      <xdr:colOff>514350</xdr:colOff>
      <xdr:row>31</xdr:row>
      <xdr:rowOff>127000</xdr:rowOff>
    </xdr:from>
    <xdr:to>
      <xdr:col>17</xdr:col>
      <xdr:colOff>514350</xdr:colOff>
      <xdr:row>33</xdr:row>
      <xdr:rowOff>95250</xdr:rowOff>
    </xdr:to>
    <xdr:sp macro="" textlink="">
      <xdr:nvSpPr>
        <xdr:cNvPr id="5501671" name="Line 301">
          <a:extLst>
            <a:ext uri="{FF2B5EF4-FFF2-40B4-BE49-F238E27FC236}">
              <a16:creationId xmlns:a16="http://schemas.microsoft.com/office/drawing/2014/main" id="{00000000-0008-0000-0700-0000E7F25300}"/>
            </a:ext>
          </a:extLst>
        </xdr:cNvPr>
        <xdr:cNvSpPr>
          <a:spLocks noChangeShapeType="1"/>
        </xdr:cNvSpPr>
      </xdr:nvSpPr>
      <xdr:spPr bwMode="auto">
        <a:xfrm flipH="1">
          <a:off x="14090650" y="5391150"/>
          <a:ext cx="0" cy="311150"/>
        </a:xfrm>
        <a:prstGeom prst="line">
          <a:avLst/>
        </a:prstGeom>
        <a:noFill/>
        <a:ln w="9525">
          <a:solidFill>
            <a:srgbClr val="000000"/>
          </a:solidFill>
          <a:round/>
          <a:headEnd/>
          <a:tailEnd/>
        </a:ln>
      </xdr:spPr>
    </xdr:sp>
    <xdr:clientData/>
  </xdr:twoCellAnchor>
  <xdr:twoCellAnchor>
    <xdr:from>
      <xdr:col>17</xdr:col>
      <xdr:colOff>0</xdr:colOff>
      <xdr:row>2</xdr:row>
      <xdr:rowOff>76200</xdr:rowOff>
    </xdr:from>
    <xdr:to>
      <xdr:col>17</xdr:col>
      <xdr:colOff>152400</xdr:colOff>
      <xdr:row>2</xdr:row>
      <xdr:rowOff>76200</xdr:rowOff>
    </xdr:to>
    <xdr:sp macro="" textlink="">
      <xdr:nvSpPr>
        <xdr:cNvPr id="5501672" name="Line 302">
          <a:extLst>
            <a:ext uri="{FF2B5EF4-FFF2-40B4-BE49-F238E27FC236}">
              <a16:creationId xmlns:a16="http://schemas.microsoft.com/office/drawing/2014/main" id="{00000000-0008-0000-0700-0000E8F25300}"/>
            </a:ext>
          </a:extLst>
        </xdr:cNvPr>
        <xdr:cNvSpPr>
          <a:spLocks noChangeShapeType="1"/>
        </xdr:cNvSpPr>
      </xdr:nvSpPr>
      <xdr:spPr bwMode="auto">
        <a:xfrm>
          <a:off x="13576300" y="419100"/>
          <a:ext cx="152400" cy="0"/>
        </a:xfrm>
        <a:prstGeom prst="line">
          <a:avLst/>
        </a:prstGeom>
        <a:noFill/>
        <a:ln w="9525">
          <a:solidFill>
            <a:srgbClr val="000000"/>
          </a:solidFill>
          <a:round/>
          <a:headEnd/>
          <a:tailEnd/>
        </a:ln>
      </xdr:spPr>
    </xdr:sp>
    <xdr:clientData/>
  </xdr:twoCellAnchor>
  <xdr:twoCellAnchor>
    <xdr:from>
      <xdr:col>17</xdr:col>
      <xdr:colOff>1771650</xdr:colOff>
      <xdr:row>10</xdr:row>
      <xdr:rowOff>88900</xdr:rowOff>
    </xdr:from>
    <xdr:to>
      <xdr:col>20</xdr:col>
      <xdr:colOff>0</xdr:colOff>
      <xdr:row>10</xdr:row>
      <xdr:rowOff>88900</xdr:rowOff>
    </xdr:to>
    <xdr:sp macro="" textlink="">
      <xdr:nvSpPr>
        <xdr:cNvPr id="5501673" name="Line 303">
          <a:extLst>
            <a:ext uri="{FF2B5EF4-FFF2-40B4-BE49-F238E27FC236}">
              <a16:creationId xmlns:a16="http://schemas.microsoft.com/office/drawing/2014/main" id="{00000000-0008-0000-0700-0000E9F25300}"/>
            </a:ext>
          </a:extLst>
        </xdr:cNvPr>
        <xdr:cNvSpPr>
          <a:spLocks noChangeShapeType="1"/>
        </xdr:cNvSpPr>
      </xdr:nvSpPr>
      <xdr:spPr bwMode="auto">
        <a:xfrm flipV="1">
          <a:off x="14712950" y="1847850"/>
          <a:ext cx="1949450" cy="0"/>
        </a:xfrm>
        <a:prstGeom prst="line">
          <a:avLst/>
        </a:prstGeom>
        <a:noFill/>
        <a:ln w="9525">
          <a:solidFill>
            <a:srgbClr val="92D050"/>
          </a:solidFill>
          <a:prstDash val="sysDot"/>
          <a:round/>
          <a:headEnd/>
          <a:tailEnd/>
        </a:ln>
      </xdr:spPr>
    </xdr:sp>
    <xdr:clientData/>
  </xdr:twoCellAnchor>
  <xdr:twoCellAnchor>
    <xdr:from>
      <xdr:col>18</xdr:col>
      <xdr:colOff>190500</xdr:colOff>
      <xdr:row>12</xdr:row>
      <xdr:rowOff>76200</xdr:rowOff>
    </xdr:from>
    <xdr:to>
      <xdr:col>20</xdr:col>
      <xdr:colOff>0</xdr:colOff>
      <xdr:row>12</xdr:row>
      <xdr:rowOff>76200</xdr:rowOff>
    </xdr:to>
    <xdr:sp macro="" textlink="">
      <xdr:nvSpPr>
        <xdr:cNvPr id="5501674" name="Line 304">
          <a:extLst>
            <a:ext uri="{FF2B5EF4-FFF2-40B4-BE49-F238E27FC236}">
              <a16:creationId xmlns:a16="http://schemas.microsoft.com/office/drawing/2014/main" id="{00000000-0008-0000-0700-0000EAF25300}"/>
            </a:ext>
          </a:extLst>
        </xdr:cNvPr>
        <xdr:cNvSpPr>
          <a:spLocks noChangeShapeType="1"/>
        </xdr:cNvSpPr>
      </xdr:nvSpPr>
      <xdr:spPr bwMode="auto">
        <a:xfrm flipV="1">
          <a:off x="14903450" y="2178050"/>
          <a:ext cx="1758950" cy="0"/>
        </a:xfrm>
        <a:prstGeom prst="line">
          <a:avLst/>
        </a:prstGeom>
        <a:noFill/>
        <a:ln w="9525">
          <a:solidFill>
            <a:srgbClr val="92D050"/>
          </a:solidFill>
          <a:prstDash val="sysDot"/>
          <a:round/>
          <a:headEnd/>
          <a:tailEnd/>
        </a:ln>
      </xdr:spPr>
    </xdr:sp>
    <xdr:clientData/>
  </xdr:twoCellAnchor>
  <xdr:twoCellAnchor>
    <xdr:from>
      <xdr:col>19</xdr:col>
      <xdr:colOff>19050</xdr:colOff>
      <xdr:row>15</xdr:row>
      <xdr:rowOff>44450</xdr:rowOff>
    </xdr:from>
    <xdr:to>
      <xdr:col>19</xdr:col>
      <xdr:colOff>787400</xdr:colOff>
      <xdr:row>15</xdr:row>
      <xdr:rowOff>44450</xdr:rowOff>
    </xdr:to>
    <xdr:sp macro="" textlink="">
      <xdr:nvSpPr>
        <xdr:cNvPr id="5501675" name="Line 305">
          <a:extLst>
            <a:ext uri="{FF2B5EF4-FFF2-40B4-BE49-F238E27FC236}">
              <a16:creationId xmlns:a16="http://schemas.microsoft.com/office/drawing/2014/main" id="{00000000-0008-0000-0700-0000EBF25300}"/>
            </a:ext>
          </a:extLst>
        </xdr:cNvPr>
        <xdr:cNvSpPr>
          <a:spLocks noChangeShapeType="1"/>
        </xdr:cNvSpPr>
      </xdr:nvSpPr>
      <xdr:spPr bwMode="auto">
        <a:xfrm flipV="1">
          <a:off x="15868650" y="2641600"/>
          <a:ext cx="768350" cy="0"/>
        </a:xfrm>
        <a:prstGeom prst="line">
          <a:avLst/>
        </a:prstGeom>
        <a:noFill/>
        <a:ln w="9525">
          <a:solidFill>
            <a:srgbClr val="92D050"/>
          </a:solidFill>
          <a:prstDash val="sysDot"/>
          <a:round/>
          <a:headEnd/>
          <a:tailEnd/>
        </a:ln>
      </xdr:spPr>
    </xdr:sp>
    <xdr:clientData/>
  </xdr:twoCellAnchor>
  <xdr:twoCellAnchor>
    <xdr:from>
      <xdr:col>19</xdr:col>
      <xdr:colOff>19050</xdr:colOff>
      <xdr:row>19</xdr:row>
      <xdr:rowOff>25400</xdr:rowOff>
    </xdr:from>
    <xdr:to>
      <xdr:col>19</xdr:col>
      <xdr:colOff>806450</xdr:colOff>
      <xdr:row>19</xdr:row>
      <xdr:rowOff>25400</xdr:rowOff>
    </xdr:to>
    <xdr:sp macro="" textlink="">
      <xdr:nvSpPr>
        <xdr:cNvPr id="5501676" name="Line 308">
          <a:extLst>
            <a:ext uri="{FF2B5EF4-FFF2-40B4-BE49-F238E27FC236}">
              <a16:creationId xmlns:a16="http://schemas.microsoft.com/office/drawing/2014/main" id="{00000000-0008-0000-0700-0000ECF25300}"/>
            </a:ext>
          </a:extLst>
        </xdr:cNvPr>
        <xdr:cNvSpPr>
          <a:spLocks noChangeShapeType="1"/>
        </xdr:cNvSpPr>
      </xdr:nvSpPr>
      <xdr:spPr bwMode="auto">
        <a:xfrm flipH="1" flipV="1">
          <a:off x="15868650" y="3282950"/>
          <a:ext cx="787400" cy="0"/>
        </a:xfrm>
        <a:prstGeom prst="line">
          <a:avLst/>
        </a:prstGeom>
        <a:noFill/>
        <a:ln w="9525">
          <a:solidFill>
            <a:srgbClr val="92D050"/>
          </a:solidFill>
          <a:prstDash val="sysDot"/>
          <a:round/>
          <a:headEnd type="none" w="sm" len="sm"/>
          <a:tailEnd type="none" w="sm" len="sm"/>
        </a:ln>
      </xdr:spPr>
    </xdr:sp>
    <xdr:clientData/>
  </xdr:twoCellAnchor>
  <xdr:twoCellAnchor>
    <xdr:from>
      <xdr:col>15</xdr:col>
      <xdr:colOff>812800</xdr:colOff>
      <xdr:row>28</xdr:row>
      <xdr:rowOff>88900</xdr:rowOff>
    </xdr:from>
    <xdr:to>
      <xdr:col>16</xdr:col>
      <xdr:colOff>323850</xdr:colOff>
      <xdr:row>28</xdr:row>
      <xdr:rowOff>88900</xdr:rowOff>
    </xdr:to>
    <xdr:sp macro="" textlink="">
      <xdr:nvSpPr>
        <xdr:cNvPr id="5501677" name="Line 310">
          <a:extLst>
            <a:ext uri="{FF2B5EF4-FFF2-40B4-BE49-F238E27FC236}">
              <a16:creationId xmlns:a16="http://schemas.microsoft.com/office/drawing/2014/main" id="{00000000-0008-0000-0700-0000EDF25300}"/>
            </a:ext>
          </a:extLst>
        </xdr:cNvPr>
        <xdr:cNvSpPr>
          <a:spLocks noChangeShapeType="1"/>
        </xdr:cNvSpPr>
      </xdr:nvSpPr>
      <xdr:spPr bwMode="auto">
        <a:xfrm>
          <a:off x="12763500" y="4838700"/>
          <a:ext cx="323850" cy="0"/>
        </a:xfrm>
        <a:prstGeom prst="line">
          <a:avLst/>
        </a:prstGeom>
        <a:noFill/>
        <a:ln w="9525">
          <a:solidFill>
            <a:srgbClr val="000000"/>
          </a:solidFill>
          <a:round/>
          <a:headEnd/>
          <a:tailEnd/>
        </a:ln>
      </xdr:spPr>
    </xdr:sp>
    <xdr:clientData/>
  </xdr:twoCellAnchor>
  <xdr:twoCellAnchor>
    <xdr:from>
      <xdr:col>16</xdr:col>
      <xdr:colOff>234950</xdr:colOff>
      <xdr:row>27</xdr:row>
      <xdr:rowOff>127000</xdr:rowOff>
    </xdr:from>
    <xdr:to>
      <xdr:col>17</xdr:col>
      <xdr:colOff>69850</xdr:colOff>
      <xdr:row>27</xdr:row>
      <xdr:rowOff>127000</xdr:rowOff>
    </xdr:to>
    <xdr:sp macro="" textlink="">
      <xdr:nvSpPr>
        <xdr:cNvPr id="5501678" name="Line 277">
          <a:extLst>
            <a:ext uri="{FF2B5EF4-FFF2-40B4-BE49-F238E27FC236}">
              <a16:creationId xmlns:a16="http://schemas.microsoft.com/office/drawing/2014/main" id="{00000000-0008-0000-0700-0000EEF25300}"/>
            </a:ext>
          </a:extLst>
        </xdr:cNvPr>
        <xdr:cNvSpPr>
          <a:spLocks noChangeShapeType="1"/>
        </xdr:cNvSpPr>
      </xdr:nvSpPr>
      <xdr:spPr bwMode="auto">
        <a:xfrm>
          <a:off x="12998450" y="4705350"/>
          <a:ext cx="647700" cy="0"/>
        </a:xfrm>
        <a:prstGeom prst="line">
          <a:avLst/>
        </a:prstGeom>
        <a:noFill/>
        <a:ln w="6350">
          <a:solidFill>
            <a:srgbClr val="000000"/>
          </a:solidFill>
          <a:round/>
          <a:headEnd/>
          <a:tailEnd/>
        </a:ln>
      </xdr:spPr>
    </xdr:sp>
    <xdr:clientData/>
  </xdr:twoCellAnchor>
  <xdr:twoCellAnchor>
    <xdr:from>
      <xdr:col>17</xdr:col>
      <xdr:colOff>412750</xdr:colOff>
      <xdr:row>28</xdr:row>
      <xdr:rowOff>127000</xdr:rowOff>
    </xdr:from>
    <xdr:to>
      <xdr:col>19</xdr:col>
      <xdr:colOff>82550</xdr:colOff>
      <xdr:row>28</xdr:row>
      <xdr:rowOff>127000</xdr:rowOff>
    </xdr:to>
    <xdr:sp macro="" textlink="">
      <xdr:nvSpPr>
        <xdr:cNvPr id="5501679" name="Line 280">
          <a:extLst>
            <a:ext uri="{FF2B5EF4-FFF2-40B4-BE49-F238E27FC236}">
              <a16:creationId xmlns:a16="http://schemas.microsoft.com/office/drawing/2014/main" id="{00000000-0008-0000-0700-0000EFF25300}"/>
            </a:ext>
          </a:extLst>
        </xdr:cNvPr>
        <xdr:cNvSpPr>
          <a:spLocks noChangeShapeType="1"/>
        </xdr:cNvSpPr>
      </xdr:nvSpPr>
      <xdr:spPr bwMode="auto">
        <a:xfrm flipV="1">
          <a:off x="13989050" y="4876800"/>
          <a:ext cx="1943100" cy="0"/>
        </a:xfrm>
        <a:prstGeom prst="line">
          <a:avLst/>
        </a:prstGeom>
        <a:noFill/>
        <a:ln w="6350">
          <a:solidFill>
            <a:srgbClr val="000000"/>
          </a:solidFill>
          <a:round/>
          <a:headEnd/>
          <a:tailEnd/>
        </a:ln>
      </xdr:spPr>
    </xdr:sp>
    <xdr:clientData/>
  </xdr:twoCellAnchor>
  <xdr:twoCellAnchor>
    <xdr:from>
      <xdr:col>18</xdr:col>
      <xdr:colOff>165100</xdr:colOff>
      <xdr:row>30</xdr:row>
      <xdr:rowOff>44450</xdr:rowOff>
    </xdr:from>
    <xdr:to>
      <xdr:col>18</xdr:col>
      <xdr:colOff>927100</xdr:colOff>
      <xdr:row>30</xdr:row>
      <xdr:rowOff>44450</xdr:rowOff>
    </xdr:to>
    <xdr:sp macro="" textlink="">
      <xdr:nvSpPr>
        <xdr:cNvPr id="5501680" name="Line 280">
          <a:extLst>
            <a:ext uri="{FF2B5EF4-FFF2-40B4-BE49-F238E27FC236}">
              <a16:creationId xmlns:a16="http://schemas.microsoft.com/office/drawing/2014/main" id="{00000000-0008-0000-0700-0000F0F25300}"/>
            </a:ext>
          </a:extLst>
        </xdr:cNvPr>
        <xdr:cNvSpPr>
          <a:spLocks noChangeShapeType="1"/>
        </xdr:cNvSpPr>
      </xdr:nvSpPr>
      <xdr:spPr bwMode="auto">
        <a:xfrm>
          <a:off x="14878050" y="5137150"/>
          <a:ext cx="762000" cy="0"/>
        </a:xfrm>
        <a:prstGeom prst="line">
          <a:avLst/>
        </a:prstGeom>
        <a:noFill/>
        <a:ln w="6350">
          <a:solidFill>
            <a:srgbClr val="000000"/>
          </a:solidFill>
          <a:round/>
          <a:headEnd/>
          <a:tailEnd/>
        </a:ln>
      </xdr:spPr>
    </xdr:sp>
    <xdr:clientData/>
  </xdr:twoCellAnchor>
  <xdr:twoCellAnchor>
    <xdr:from>
      <xdr:col>17</xdr:col>
      <xdr:colOff>1047750</xdr:colOff>
      <xdr:row>20</xdr:row>
      <xdr:rowOff>0</xdr:rowOff>
    </xdr:from>
    <xdr:to>
      <xdr:col>18</xdr:col>
      <xdr:colOff>158750</xdr:colOff>
      <xdr:row>30</xdr:row>
      <xdr:rowOff>44450</xdr:rowOff>
    </xdr:to>
    <xdr:sp macro="" textlink="">
      <xdr:nvSpPr>
        <xdr:cNvPr id="5501681" name="Rectangle 139">
          <a:extLst>
            <a:ext uri="{FF2B5EF4-FFF2-40B4-BE49-F238E27FC236}">
              <a16:creationId xmlns:a16="http://schemas.microsoft.com/office/drawing/2014/main" id="{00000000-0008-0000-0700-0000F1F25300}"/>
            </a:ext>
          </a:extLst>
        </xdr:cNvPr>
        <xdr:cNvSpPr>
          <a:spLocks noChangeArrowheads="1"/>
        </xdr:cNvSpPr>
      </xdr:nvSpPr>
      <xdr:spPr bwMode="auto">
        <a:xfrm>
          <a:off x="14624050" y="3422650"/>
          <a:ext cx="247650" cy="1714500"/>
        </a:xfrm>
        <a:prstGeom prst="rect">
          <a:avLst/>
        </a:prstGeom>
        <a:noFill/>
        <a:ln w="9525" algn="ctr">
          <a:solidFill>
            <a:srgbClr val="00B0F0"/>
          </a:solidFill>
          <a:prstDash val="sysDash"/>
          <a:round/>
          <a:headEnd/>
          <a:tailEnd/>
        </a:ln>
      </xdr:spPr>
    </xdr:sp>
    <xdr:clientData/>
  </xdr:twoCellAnchor>
  <xdr:twoCellAnchor>
    <xdr:from>
      <xdr:col>18</xdr:col>
      <xdr:colOff>927100</xdr:colOff>
      <xdr:row>1</xdr:row>
      <xdr:rowOff>12700</xdr:rowOff>
    </xdr:from>
    <xdr:to>
      <xdr:col>18</xdr:col>
      <xdr:colOff>927100</xdr:colOff>
      <xdr:row>29</xdr:row>
      <xdr:rowOff>69850</xdr:rowOff>
    </xdr:to>
    <xdr:sp macro="" textlink="">
      <xdr:nvSpPr>
        <xdr:cNvPr id="5501682" name="Line 270">
          <a:extLst>
            <a:ext uri="{FF2B5EF4-FFF2-40B4-BE49-F238E27FC236}">
              <a16:creationId xmlns:a16="http://schemas.microsoft.com/office/drawing/2014/main" id="{00000000-0008-0000-0700-0000F2F25300}"/>
            </a:ext>
          </a:extLst>
        </xdr:cNvPr>
        <xdr:cNvSpPr>
          <a:spLocks noChangeShapeType="1"/>
        </xdr:cNvSpPr>
      </xdr:nvSpPr>
      <xdr:spPr bwMode="auto">
        <a:xfrm flipH="1">
          <a:off x="15640050" y="184150"/>
          <a:ext cx="0" cy="4806950"/>
        </a:xfrm>
        <a:prstGeom prst="line">
          <a:avLst/>
        </a:prstGeom>
        <a:noFill/>
        <a:ln w="6350">
          <a:solidFill>
            <a:srgbClr val="000000"/>
          </a:solidFill>
          <a:round/>
          <a:headEnd type="triangle" w="sm" len="lg"/>
          <a:tailEnd type="triangle" w="sm" len="lg"/>
        </a:ln>
      </xdr:spPr>
    </xdr:sp>
    <xdr:clientData/>
  </xdr:twoCellAnchor>
  <xdr:twoCellAnchor>
    <xdr:from>
      <xdr:col>17</xdr:col>
      <xdr:colOff>12700</xdr:colOff>
      <xdr:row>33</xdr:row>
      <xdr:rowOff>95250</xdr:rowOff>
    </xdr:from>
    <xdr:to>
      <xdr:col>17</xdr:col>
      <xdr:colOff>520700</xdr:colOff>
      <xdr:row>33</xdr:row>
      <xdr:rowOff>95250</xdr:rowOff>
    </xdr:to>
    <xdr:sp macro="" textlink="">
      <xdr:nvSpPr>
        <xdr:cNvPr id="5501683" name="Line 301">
          <a:extLst>
            <a:ext uri="{FF2B5EF4-FFF2-40B4-BE49-F238E27FC236}">
              <a16:creationId xmlns:a16="http://schemas.microsoft.com/office/drawing/2014/main" id="{00000000-0008-0000-0700-0000F3F25300}"/>
            </a:ext>
          </a:extLst>
        </xdr:cNvPr>
        <xdr:cNvSpPr>
          <a:spLocks noChangeShapeType="1"/>
        </xdr:cNvSpPr>
      </xdr:nvSpPr>
      <xdr:spPr bwMode="auto">
        <a:xfrm>
          <a:off x="13589000" y="5702300"/>
          <a:ext cx="508000" cy="0"/>
        </a:xfrm>
        <a:prstGeom prst="line">
          <a:avLst/>
        </a:prstGeom>
        <a:noFill/>
        <a:ln w="9525">
          <a:solidFill>
            <a:srgbClr val="000000"/>
          </a:solidFill>
          <a:round/>
          <a:headEnd/>
          <a:tailEnd/>
        </a:ln>
      </xdr:spPr>
    </xdr:sp>
    <xdr:clientData/>
  </xdr:twoCellAnchor>
  <xdr:twoCellAnchor>
    <xdr:from>
      <xdr:col>18</xdr:col>
      <xdr:colOff>787400</xdr:colOff>
      <xdr:row>1</xdr:row>
      <xdr:rowOff>19050</xdr:rowOff>
    </xdr:from>
    <xdr:to>
      <xdr:col>18</xdr:col>
      <xdr:colOff>787400</xdr:colOff>
      <xdr:row>30</xdr:row>
      <xdr:rowOff>38100</xdr:rowOff>
    </xdr:to>
    <xdr:sp macro="" textlink="">
      <xdr:nvSpPr>
        <xdr:cNvPr id="5501684" name="Line 270">
          <a:extLst>
            <a:ext uri="{FF2B5EF4-FFF2-40B4-BE49-F238E27FC236}">
              <a16:creationId xmlns:a16="http://schemas.microsoft.com/office/drawing/2014/main" id="{00000000-0008-0000-0700-0000F4F25300}"/>
            </a:ext>
          </a:extLst>
        </xdr:cNvPr>
        <xdr:cNvSpPr>
          <a:spLocks noChangeShapeType="1"/>
        </xdr:cNvSpPr>
      </xdr:nvSpPr>
      <xdr:spPr bwMode="auto">
        <a:xfrm>
          <a:off x="15500350" y="190500"/>
          <a:ext cx="0" cy="4940300"/>
        </a:xfrm>
        <a:prstGeom prst="line">
          <a:avLst/>
        </a:prstGeom>
        <a:noFill/>
        <a:ln w="6350">
          <a:solidFill>
            <a:srgbClr val="000000"/>
          </a:solidFill>
          <a:round/>
          <a:headEnd type="triangle" w="sm" len="lg"/>
          <a:tailEnd type="triangle" w="sm" len="lg"/>
        </a:ln>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omments" Target="../comments1.xml"/><Relationship Id="rId2" Type="http://schemas.openxmlformats.org/officeDocument/2006/relationships/drawing" Target="../drawings/drawing1.xml"/><Relationship Id="rId16" Type="http://schemas.openxmlformats.org/officeDocument/2006/relationships/ctrlProp" Target="../ctrlProps/ctrlProp13.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6.xml"/><Relationship Id="rId3" Type="http://schemas.openxmlformats.org/officeDocument/2006/relationships/vmlDrawing" Target="../drawings/vmlDrawing2.vml"/><Relationship Id="rId7" Type="http://schemas.openxmlformats.org/officeDocument/2006/relationships/ctrlProp" Target="../ctrlProps/ctrlProp15.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14.xml"/><Relationship Id="rId11" Type="http://schemas.openxmlformats.org/officeDocument/2006/relationships/comments" Target="../comments2.xml"/><Relationship Id="rId5" Type="http://schemas.openxmlformats.org/officeDocument/2006/relationships/image" Target="../media/image6.emf"/><Relationship Id="rId10" Type="http://schemas.openxmlformats.org/officeDocument/2006/relationships/ctrlProp" Target="../ctrlProps/ctrlProp18.xml"/><Relationship Id="rId4" Type="http://schemas.openxmlformats.org/officeDocument/2006/relationships/oleObject" Target="../embeddings/oleObject1.bin"/><Relationship Id="rId9" Type="http://schemas.openxmlformats.org/officeDocument/2006/relationships/ctrlProp" Target="../ctrlProps/ctrlProp17.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2.bin"/><Relationship Id="rId21" Type="http://schemas.openxmlformats.org/officeDocument/2006/relationships/image" Target="../media/image14.emf"/><Relationship Id="rId42" Type="http://schemas.openxmlformats.org/officeDocument/2006/relationships/oleObject" Target="../embeddings/oleObject20.bin"/><Relationship Id="rId47" Type="http://schemas.openxmlformats.org/officeDocument/2006/relationships/image" Target="../media/image27.emf"/><Relationship Id="rId63" Type="http://schemas.openxmlformats.org/officeDocument/2006/relationships/image" Target="../media/image35.emf"/><Relationship Id="rId68" Type="http://schemas.openxmlformats.org/officeDocument/2006/relationships/oleObject" Target="../embeddings/oleObject33.bin"/><Relationship Id="rId16" Type="http://schemas.openxmlformats.org/officeDocument/2006/relationships/oleObject" Target="../embeddings/oleObject7.bin"/><Relationship Id="rId11" Type="http://schemas.openxmlformats.org/officeDocument/2006/relationships/image" Target="../media/image9.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22.emf"/><Relationship Id="rId40" Type="http://schemas.openxmlformats.org/officeDocument/2006/relationships/oleObject" Target="../embeddings/oleObject19.bin"/><Relationship Id="rId45" Type="http://schemas.openxmlformats.org/officeDocument/2006/relationships/image" Target="../media/image26.emf"/><Relationship Id="rId53" Type="http://schemas.openxmlformats.org/officeDocument/2006/relationships/image" Target="../media/image30.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5" Type="http://schemas.openxmlformats.org/officeDocument/2006/relationships/vmlDrawing" Target="../drawings/vmlDrawing3.vml"/><Relationship Id="rId61" Type="http://schemas.openxmlformats.org/officeDocument/2006/relationships/image" Target="../media/image34.emf"/><Relationship Id="rId19" Type="http://schemas.openxmlformats.org/officeDocument/2006/relationships/image" Target="../media/image1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7.emf"/><Relationship Id="rId30" Type="http://schemas.openxmlformats.org/officeDocument/2006/relationships/oleObject" Target="../embeddings/oleObject14.bin"/><Relationship Id="rId35" Type="http://schemas.openxmlformats.org/officeDocument/2006/relationships/image" Target="../media/image21.emf"/><Relationship Id="rId43" Type="http://schemas.openxmlformats.org/officeDocument/2006/relationships/image" Target="../media/image25.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8.emf"/><Relationship Id="rId77" Type="http://schemas.openxmlformats.org/officeDocument/2006/relationships/image" Target="../media/image42.emf"/><Relationship Id="rId8" Type="http://schemas.openxmlformats.org/officeDocument/2006/relationships/oleObject" Target="../embeddings/oleObject3.bin"/><Relationship Id="rId51" Type="http://schemas.openxmlformats.org/officeDocument/2006/relationships/image" Target="../media/image29.emf"/><Relationship Id="rId72" Type="http://schemas.openxmlformats.org/officeDocument/2006/relationships/oleObject" Target="../embeddings/oleObject35.bin"/><Relationship Id="rId3" Type="http://schemas.openxmlformats.org/officeDocument/2006/relationships/printerSettings" Target="../printerSettings/printerSettings5.bin"/><Relationship Id="rId12" Type="http://schemas.openxmlformats.org/officeDocument/2006/relationships/oleObject" Target="../embeddings/oleObject5.bin"/><Relationship Id="rId17" Type="http://schemas.openxmlformats.org/officeDocument/2006/relationships/image" Target="../media/image12.emf"/><Relationship Id="rId25" Type="http://schemas.openxmlformats.org/officeDocument/2006/relationships/image" Target="../media/image16.emf"/><Relationship Id="rId33" Type="http://schemas.openxmlformats.org/officeDocument/2006/relationships/image" Target="../media/image20.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33.emf"/><Relationship Id="rId67" Type="http://schemas.openxmlformats.org/officeDocument/2006/relationships/image" Target="../media/image37.emf"/><Relationship Id="rId20" Type="http://schemas.openxmlformats.org/officeDocument/2006/relationships/oleObject" Target="../embeddings/oleObject9.bin"/><Relationship Id="rId41" Type="http://schemas.openxmlformats.org/officeDocument/2006/relationships/image" Target="../media/image24.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41.emf"/><Relationship Id="rId1" Type="http://schemas.openxmlformats.org/officeDocument/2006/relationships/hyperlink" Target="http://en.wikipedia.org/wiki/Template:Numerical_integrators" TargetMode="External"/><Relationship Id="rId6" Type="http://schemas.openxmlformats.org/officeDocument/2006/relationships/oleObject" Target="../embeddings/oleObject2.bin"/><Relationship Id="rId15" Type="http://schemas.openxmlformats.org/officeDocument/2006/relationships/image" Target="../media/image11.emf"/><Relationship Id="rId23" Type="http://schemas.openxmlformats.org/officeDocument/2006/relationships/image" Target="../media/image15.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8.emf"/><Relationship Id="rId57" Type="http://schemas.openxmlformats.org/officeDocument/2006/relationships/image" Target="../media/image32.emf"/><Relationship Id="rId10" Type="http://schemas.openxmlformats.org/officeDocument/2006/relationships/oleObject" Target="../embeddings/oleObject4.bin"/><Relationship Id="rId31" Type="http://schemas.openxmlformats.org/officeDocument/2006/relationships/image" Target="../media/image19.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6.emf"/><Relationship Id="rId73" Type="http://schemas.openxmlformats.org/officeDocument/2006/relationships/image" Target="../media/image40.emf"/><Relationship Id="rId4" Type="http://schemas.openxmlformats.org/officeDocument/2006/relationships/drawing" Target="../drawings/drawing5.xml"/><Relationship Id="rId9" Type="http://schemas.openxmlformats.org/officeDocument/2006/relationships/image" Target="../media/image8.emf"/><Relationship Id="rId13" Type="http://schemas.openxmlformats.org/officeDocument/2006/relationships/image" Target="../media/image10.emf"/><Relationship Id="rId18" Type="http://schemas.openxmlformats.org/officeDocument/2006/relationships/oleObject" Target="../embeddings/oleObject8.bin"/><Relationship Id="rId39" Type="http://schemas.openxmlformats.org/officeDocument/2006/relationships/image" Target="../media/image23.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31.emf"/><Relationship Id="rId76" Type="http://schemas.openxmlformats.org/officeDocument/2006/relationships/oleObject" Target="../embeddings/oleObject37.bin"/><Relationship Id="rId7" Type="http://schemas.openxmlformats.org/officeDocument/2006/relationships/image" Target="../media/image7.emf"/><Relationship Id="rId71" Type="http://schemas.openxmlformats.org/officeDocument/2006/relationships/image" Target="../media/image39.emf"/><Relationship Id="rId2" Type="http://schemas.openxmlformats.org/officeDocument/2006/relationships/hyperlink" Target="http://www.planete-sciences.org/espace/basedoc/" TargetMode="External"/><Relationship Id="rId29" Type="http://schemas.openxmlformats.org/officeDocument/2006/relationships/image" Target="../media/image18.emf"/></Relationships>
</file>

<file path=xl/worksheets/_rels/sheet6.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vmlDrawing" Target="../drawings/vmlDrawing4.vml"/><Relationship Id="rId7" Type="http://schemas.openxmlformats.org/officeDocument/2006/relationships/ctrlProp" Target="../ctrlProps/ctrlProp20.xml"/><Relationship Id="rId2" Type="http://schemas.openxmlformats.org/officeDocument/2006/relationships/drawing" Target="../drawings/drawing6.xml"/><Relationship Id="rId1" Type="http://schemas.openxmlformats.org/officeDocument/2006/relationships/printerSettings" Target="../printerSettings/printerSettings6.bin"/><Relationship Id="rId6" Type="http://schemas.openxmlformats.org/officeDocument/2006/relationships/ctrlProp" Target="../ctrlProps/ctrlProp19.xml"/><Relationship Id="rId5" Type="http://schemas.openxmlformats.org/officeDocument/2006/relationships/image" Target="../media/image43.emf"/><Relationship Id="rId4" Type="http://schemas.openxmlformats.org/officeDocument/2006/relationships/oleObject" Target="../embeddings/oleObject38.bin"/></Relationships>
</file>

<file path=xl/worksheets/_rels/sheet7.xml.rels><?xml version="1.0" encoding="UTF-8" standalone="yes"?>
<Relationships xmlns="http://schemas.openxmlformats.org/package/2006/relationships"><Relationship Id="rId3" Type="http://schemas.openxmlformats.org/officeDocument/2006/relationships/hyperlink" Target="http://creativecommons.org/licenses/by-sa/3.0/" TargetMode="External"/><Relationship Id="rId7" Type="http://schemas.openxmlformats.org/officeDocument/2006/relationships/comments" Target="../comments4.xml"/><Relationship Id="rId2" Type="http://schemas.openxmlformats.org/officeDocument/2006/relationships/hyperlink" Target="mailto:espace@planete-sciences.org" TargetMode="External"/><Relationship Id="rId1" Type="http://schemas.openxmlformats.org/officeDocument/2006/relationships/hyperlink" Target="http://www.planete-sciences.org/espace/basedoc/" TargetMode="External"/><Relationship Id="rId6" Type="http://schemas.openxmlformats.org/officeDocument/2006/relationships/vmlDrawing" Target="../drawings/vmlDrawing5.vm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pageSetUpPr fitToPage="1"/>
  </sheetPr>
  <dimension ref="A1:W361"/>
  <sheetViews>
    <sheetView showGridLines="0" tabSelected="1" zoomScale="115" zoomScaleNormal="115" zoomScaleSheetLayoutView="100" workbookViewId="0">
      <selection activeCell="W15" sqref="W15"/>
    </sheetView>
  </sheetViews>
  <sheetFormatPr baseColWidth="10" defaultColWidth="11.42578125" defaultRowHeight="12.75" x14ac:dyDescent="0.2"/>
  <cols>
    <col min="1" max="1" width="2.140625" style="24" customWidth="1"/>
    <col min="2" max="2" width="16.140625" style="24" customWidth="1"/>
    <col min="3" max="3" width="12.85546875" style="31" customWidth="1"/>
    <col min="4" max="4" width="12.85546875" style="24" customWidth="1"/>
    <col min="5" max="5" width="4.140625" style="89" customWidth="1"/>
    <col min="6" max="6" width="10.140625" style="26" bestFit="1" customWidth="1"/>
    <col min="7" max="7" width="10" style="26" bestFit="1" customWidth="1"/>
    <col min="8" max="9" width="8.5703125" style="26" customWidth="1"/>
    <col min="10" max="10" width="5.42578125" style="24" customWidth="1"/>
    <col min="11" max="11" width="2.140625" style="24" customWidth="1"/>
    <col min="12" max="12" width="17" style="24" customWidth="1"/>
    <col min="13" max="13" width="8.5703125" style="24" customWidth="1"/>
    <col min="14" max="15" width="4.140625" style="24" customWidth="1"/>
    <col min="16" max="16" width="8.5703125" style="24" customWidth="1"/>
    <col min="17" max="18" width="2.140625" style="24" customWidth="1"/>
    <col min="19" max="16384" width="11.42578125" style="24"/>
  </cols>
  <sheetData>
    <row r="1" spans="1:20" ht="12.75" customHeight="1" x14ac:dyDescent="0.2">
      <c r="A1" s="19"/>
      <c r="B1" s="20"/>
      <c r="C1" s="21"/>
      <c r="D1" s="20"/>
      <c r="E1" s="88"/>
      <c r="F1" s="22"/>
      <c r="G1" s="22"/>
      <c r="H1" s="22"/>
      <c r="I1" s="22"/>
      <c r="J1" s="20"/>
      <c r="K1" s="20"/>
      <c r="L1" s="20"/>
      <c r="M1" s="20"/>
      <c r="N1" s="20"/>
      <c r="O1" s="20"/>
      <c r="P1" s="20"/>
      <c r="Q1" s="23"/>
    </row>
    <row r="2" spans="1:20" ht="12.75" customHeight="1" x14ac:dyDescent="0.2">
      <c r="A2" s="25"/>
      <c r="C2" s="558" t="s">
        <v>53</v>
      </c>
      <c r="D2" s="558"/>
      <c r="L2" s="147" t="str">
        <f>"Language/Langue"</f>
        <v>Language/Langue</v>
      </c>
      <c r="M2" s="583" t="s">
        <v>1</v>
      </c>
      <c r="N2" s="583"/>
      <c r="O2" s="583"/>
      <c r="P2" s="584"/>
      <c r="Q2" s="27"/>
    </row>
    <row r="3" spans="1:20" ht="12.75" customHeight="1" x14ac:dyDescent="0.2">
      <c r="A3" s="25"/>
      <c r="C3" s="558"/>
      <c r="D3" s="558"/>
      <c r="L3" s="591"/>
      <c r="M3" s="591"/>
      <c r="N3" s="45"/>
      <c r="Q3" s="27"/>
    </row>
    <row r="4" spans="1:20" ht="12.75" customHeight="1" x14ac:dyDescent="0.2">
      <c r="A4" s="25"/>
      <c r="C4" s="559" t="str">
        <f>IF(Lang="Français","Stabilité de fusée à ailerons",IF(Lang="English","Stability for rocket with fins",""))</f>
        <v>Stabilité de fusée à ailerons</v>
      </c>
      <c r="D4" s="559"/>
      <c r="L4" s="33"/>
      <c r="M4" s="583" t="s">
        <v>571</v>
      </c>
      <c r="N4" s="583"/>
      <c r="O4" s="583"/>
      <c r="P4" s="584"/>
      <c r="Q4" s="27"/>
    </row>
    <row r="5" spans="1:20" ht="12.75" customHeight="1" x14ac:dyDescent="0.25">
      <c r="A5" s="25"/>
      <c r="B5" s="28"/>
      <c r="C5" s="540"/>
      <c r="D5" s="540"/>
      <c r="L5" s="33"/>
      <c r="M5" s="565" t="s">
        <v>156</v>
      </c>
      <c r="N5" s="566"/>
      <c r="O5" s="594" t="s">
        <v>157</v>
      </c>
      <c r="P5" s="594"/>
      <c r="Q5" s="29"/>
    </row>
    <row r="6" spans="1:20" ht="12.75" customHeight="1" thickBot="1" x14ac:dyDescent="0.25">
      <c r="A6" s="25"/>
      <c r="B6" s="87"/>
      <c r="C6" s="553" t="str">
        <f>IF(Lang="Français","Remplir les cases jaunes",IF(Lang="English","Fill-in yellow cells only",""))</f>
        <v>Remplir les cases jaunes</v>
      </c>
      <c r="D6" s="553"/>
      <c r="L6" s="139" t="str">
        <f>IF(Lang="Français","Longueur      'L'",IF(Lang="English","Length      'L'",""))</f>
        <v>Longueur      'L'</v>
      </c>
      <c r="M6" s="554">
        <v>50</v>
      </c>
      <c r="N6" s="555"/>
      <c r="O6" s="575">
        <v>0</v>
      </c>
      <c r="P6" s="575"/>
      <c r="Q6" s="29"/>
    </row>
    <row r="7" spans="1:20" ht="12.75" customHeight="1" thickTop="1" thickBot="1" x14ac:dyDescent="0.25">
      <c r="A7" s="25"/>
      <c r="B7" s="31"/>
      <c r="C7" s="561" t="str">
        <f>IF(Lang="Français","Fusée",IF(Lang="English","Rocket",""))</f>
        <v>Fusée</v>
      </c>
      <c r="D7" s="562"/>
      <c r="L7" s="139" t="str">
        <f>IF(Lang="Français","Diamètre     'D1'",IF(Lang="English","Diameter 'D1'",""))</f>
        <v>Diamètre     'D1'</v>
      </c>
      <c r="M7" s="554">
        <v>84</v>
      </c>
      <c r="N7" s="555"/>
      <c r="O7" s="575">
        <v>0</v>
      </c>
      <c r="P7" s="575"/>
      <c r="Q7" s="29"/>
    </row>
    <row r="8" spans="1:20" ht="12.75" customHeight="1" thickTop="1" x14ac:dyDescent="0.2">
      <c r="A8" s="25"/>
      <c r="B8" s="138" t="str">
        <f>IF(Lang="Français","Nom",IF(Lang="English","Name",""))</f>
        <v>Nom</v>
      </c>
      <c r="C8" s="556" t="s">
        <v>572</v>
      </c>
      <c r="D8" s="556"/>
      <c r="E8" s="90"/>
      <c r="K8" s="33"/>
      <c r="L8" s="139" t="str">
        <f>IF(Lang="Français","Diamètre     'D2'",IF(Lang="English","Diameter 'D2'",""))</f>
        <v>Diamètre     'D2'</v>
      </c>
      <c r="M8" s="554">
        <v>104</v>
      </c>
      <c r="N8" s="555"/>
      <c r="O8" s="575">
        <v>0</v>
      </c>
      <c r="P8" s="575"/>
      <c r="Q8" s="29"/>
    </row>
    <row r="9" spans="1:20" ht="12.75" customHeight="1" x14ac:dyDescent="0.2">
      <c r="A9" s="25"/>
      <c r="B9" s="138" t="s">
        <v>4</v>
      </c>
      <c r="C9" s="557" t="s">
        <v>569</v>
      </c>
      <c r="D9" s="557"/>
      <c r="E9" s="90"/>
      <c r="K9" s="33"/>
      <c r="L9" s="139" t="str">
        <f>IF(Lang="Français","Implantation 'x'",IF(Lang="English","Basement 'x'",""))</f>
        <v>Implantation 'x'</v>
      </c>
      <c r="M9" s="554">
        <v>1250</v>
      </c>
      <c r="N9" s="555"/>
      <c r="O9" s="575">
        <v>0</v>
      </c>
      <c r="P9" s="575"/>
      <c r="Q9" s="29"/>
    </row>
    <row r="10" spans="1:20" ht="12.75" customHeight="1" x14ac:dyDescent="0.2">
      <c r="A10" s="25"/>
      <c r="B10" s="138" t="s">
        <v>563</v>
      </c>
      <c r="C10" s="537" t="str">
        <f>IF((LEFT(Type_fusee,4)="Mini"),"MF",(IF((RIGHT(Type_fusee,1)="."),"FX","")))</f>
        <v>FX</v>
      </c>
      <c r="D10" s="538">
        <v>0</v>
      </c>
      <c r="E10" s="539" t="str">
        <f>IF(C10="","",C10&amp;D10)</f>
        <v>FX0</v>
      </c>
      <c r="K10" s="33"/>
      <c r="Q10" s="29"/>
    </row>
    <row r="11" spans="1:20" ht="12.75" customHeight="1" x14ac:dyDescent="0.2">
      <c r="A11" s="25"/>
      <c r="B11" s="139" t="s">
        <v>54</v>
      </c>
      <c r="C11" s="563" t="s">
        <v>568</v>
      </c>
      <c r="D11" s="564"/>
      <c r="E11" s="90"/>
      <c r="K11" s="33"/>
      <c r="L11" s="107"/>
      <c r="M11" s="224" t="str">
        <f>IF(Lang="Français","Propu plein",IF(Lang="English","Loaded Motor",""))</f>
        <v>Propu plein</v>
      </c>
      <c r="N11" s="592" t="str">
        <f>IF(Lang="Français","Propu vide",IF(Lang="English","Empty Motor",""))</f>
        <v>Propu vide</v>
      </c>
      <c r="O11" s="593"/>
      <c r="P11" s="224" t="str">
        <f>IF(Lang="Français","Sans propu",IF(Lang="English","Without M",""))</f>
        <v>Sans propu</v>
      </c>
      <c r="Q11" s="29"/>
      <c r="S11" s="385"/>
      <c r="T11" s="386" t="str">
        <f>IF(Lang="Français","Propulseur",IF(Lang="English","Motor",""))</f>
        <v>Propulseur</v>
      </c>
    </row>
    <row r="12" spans="1:20" ht="12.75" customHeight="1" x14ac:dyDescent="0.2">
      <c r="A12" s="25"/>
      <c r="B12" s="139" t="str">
        <f>IF(Lang="Français","Masse",IF(Lang="English","Weight",""))</f>
        <v>Masse</v>
      </c>
      <c r="C12" s="222">
        <v>6500</v>
      </c>
      <c r="D12" s="34" t="s">
        <v>423</v>
      </c>
      <c r="L12" s="108" t="str">
        <f>IF(Lang="Français","Masse propu",IF(Lang="English","Motor Mass",""))</f>
        <v>Masse propu</v>
      </c>
      <c r="M12" s="109">
        <f ca="1">MpropuPlein</f>
        <v>1.6319999999999999</v>
      </c>
      <c r="N12" s="587">
        <f ca="1">MpropuVide</f>
        <v>0.65</v>
      </c>
      <c r="O12" s="588"/>
      <c r="P12" s="110" t="s">
        <v>14</v>
      </c>
      <c r="Q12" s="29"/>
      <c r="S12" s="386" t="str">
        <f>IF(Lang="Français","Haut",IF(Lang="English","Top",""))</f>
        <v>Haut</v>
      </c>
      <c r="T12" s="387">
        <f ca="1">XpropuRef-Long_propu</f>
        <v>1662</v>
      </c>
    </row>
    <row r="13" spans="1:20" ht="12.75" customHeight="1" x14ac:dyDescent="0.2">
      <c r="A13" s="25"/>
      <c r="B13" s="139" t="str">
        <f>IF(Lang="Français","Centre de Masse",IF(Lang="English","Center of Mass",""))</f>
        <v>Centre de Masse</v>
      </c>
      <c r="C13" s="35">
        <v>1150</v>
      </c>
      <c r="D13" s="34" t="s">
        <v>423</v>
      </c>
      <c r="L13" s="108" t="str">
        <f>IF(Lang="Français","CdM propu",IF(Lang="English","Motor CoM",""))</f>
        <v>CdM propu</v>
      </c>
      <c r="M13" s="111">
        <f ca="1">XpropuPlein</f>
        <v>250</v>
      </c>
      <c r="N13" s="585">
        <f ca="1">XpropuVide</f>
        <v>240</v>
      </c>
      <c r="O13" s="586"/>
      <c r="P13" s="110" t="s">
        <v>14</v>
      </c>
      <c r="Q13" s="29"/>
      <c r="S13" s="386" t="str">
        <f>IF(Lang="Français","Longueur",IF(Lang="English","Length",""))</f>
        <v>Longueur</v>
      </c>
      <c r="T13" s="387">
        <f ca="1">Long_propu</f>
        <v>488</v>
      </c>
    </row>
    <row r="14" spans="1:20" ht="12.6" customHeight="1" x14ac:dyDescent="0.2">
      <c r="A14" s="25"/>
      <c r="B14" s="139" t="str">
        <f>IF(Lang="Français","Longueur totale",IF(Lang="English","Total length",""))</f>
        <v>Longueur totale</v>
      </c>
      <c r="C14" s="554">
        <v>2150</v>
      </c>
      <c r="D14" s="555"/>
      <c r="L14" s="108" t="str">
        <f>IF(Lang="Français","Masse fusée",IF(Lang="English","Rocket Mass",""))</f>
        <v>Masse fusée</v>
      </c>
      <c r="M14" s="112">
        <f ca="1">MasseSans+MpropuPlein</f>
        <v>8.1319999999999997</v>
      </c>
      <c r="N14" s="567">
        <f ca="1">MasseSans+MpropuVide</f>
        <v>7.15</v>
      </c>
      <c r="O14" s="568"/>
      <c r="P14" s="109">
        <f>IF(OR(D12="sans propu",D12="without motor"),C12/1000,IF(OR(D12="avec propu vide",D12="with empty motor"),C12/1000-MpropuVide,IF(OR(D12="avec propu plein",D12="with loaded motor"),C12/1000-MpropuPlein,"Erreur")))</f>
        <v>6.5</v>
      </c>
      <c r="Q14" s="29"/>
      <c r="S14" s="386" t="str">
        <f>IF(Lang="Français","Bas",IF(Lang="English","Base",""))</f>
        <v>Bas</v>
      </c>
      <c r="T14" s="387">
        <f>XpropuRef</f>
        <v>2150</v>
      </c>
    </row>
    <row r="15" spans="1:20" ht="12.75" customHeight="1" x14ac:dyDescent="0.2">
      <c r="A15" s="25"/>
      <c r="B15" s="139" t="str">
        <f>IF(Lang="Français","Diamètre Réf.",IF(Lang="English","Ref. Diameter",""))</f>
        <v>Diamètre Réf.</v>
      </c>
      <c r="C15" s="554">
        <v>94</v>
      </c>
      <c r="D15" s="555"/>
      <c r="L15" s="175" t="str">
        <f>IF(Lang="Français","CdM fusée",IF(Lang="English","Rocket CoM",""))</f>
        <v>CdM fusée</v>
      </c>
      <c r="M15" s="176">
        <f ca="1">(XcgSans*MasseSans+(XpropuRef-Long_propu+XpropuPlein)*MpropuPlein)/MassePlein</f>
        <v>1302.9247417609445</v>
      </c>
      <c r="N15" s="569">
        <f ca="1">(XcgSans*MasseSans+(XpropuRef-Long_propu+XpropuVide)*MpropuVide)/MasseVide</f>
        <v>1218.3636363636363</v>
      </c>
      <c r="O15" s="570"/>
      <c r="P15" s="113">
        <f>IF(OR(D13="sans propu",D13="without motor"),C13,IF(OR(D13="avec propu vide",D13="with empty motor"),(C13*MasseVide-(XpropuRef-Long_propu+XpropuVide)*MpropuVide)/MasseSans,IF(OR(D13="avec propu plein",D13="with loaded motor"),(C13*MassePlein-(XpropuRef-Long_propu+XpropuPlein)*MpropuPlein)/MasseSans,"Erreur")))</f>
        <v>1150</v>
      </c>
      <c r="Q15" s="29"/>
    </row>
    <row r="16" spans="1:20" ht="12.75" customHeight="1" thickBot="1" x14ac:dyDescent="0.25">
      <c r="A16" s="25"/>
      <c r="D16" s="31"/>
      <c r="L16" s="94"/>
      <c r="M16" s="94"/>
      <c r="N16" s="94"/>
      <c r="O16" s="94"/>
      <c r="P16" s="94"/>
      <c r="Q16" s="29"/>
      <c r="S16" s="385"/>
      <c r="T16" s="386" t="str">
        <f>IF(RIGHT(Type_masquage,1)=",",IF(Lang="Français","Ailerons","Fins"),IF(Lang="Français","Ailerons bas","Lower Fins"))</f>
        <v>Ailerons bas</v>
      </c>
    </row>
    <row r="17" spans="1:20" ht="12.75" customHeight="1" thickTop="1" thickBot="1" x14ac:dyDescent="0.25">
      <c r="A17" s="25"/>
      <c r="C17" s="542" t="str">
        <f>IF(Lang="Français","Propulseur",IF(Lang="English","Motor",""))</f>
        <v>Propulseur</v>
      </c>
      <c r="D17" s="543"/>
      <c r="L17" s="114"/>
      <c r="M17" s="571" t="s">
        <v>55</v>
      </c>
      <c r="N17" s="572"/>
      <c r="O17" s="595" t="s">
        <v>65</v>
      </c>
      <c r="P17" s="595"/>
      <c r="Q17" s="29"/>
      <c r="S17" s="386" t="str">
        <f>IF(Lang="Français","Haut","Top")</f>
        <v>Haut</v>
      </c>
      <c r="T17" s="387">
        <f>X_ail-m_ail</f>
        <v>1970</v>
      </c>
    </row>
    <row r="18" spans="1:20" ht="12.75" customHeight="1" thickTop="1" x14ac:dyDescent="0.2">
      <c r="A18" s="25"/>
      <c r="B18" s="139" t="s">
        <v>54</v>
      </c>
      <c r="C18" s="544" t="s">
        <v>552</v>
      </c>
      <c r="D18" s="545"/>
      <c r="K18" s="37"/>
      <c r="L18" s="108" t="str">
        <f>IF(Lang="Français","Coiffe",IF(Lang="English","Nose Cone",""))</f>
        <v>Coiffe</v>
      </c>
      <c r="M18" s="547">
        <f>IF(LEFT(Forme_ogive,5)="Parab",1/2*Long_ogive,IF(LEFT(Forme_ogive,4)="Ogiv",7/15*Long_ogive,IF(LEFT(Forme_ogive,3)="Con",2/3*Long_ogive)))</f>
        <v>183.33333333333331</v>
      </c>
      <c r="N18" s="548"/>
      <c r="O18" s="546">
        <f>2*POWER(D_og/D_ref, 2)</f>
        <v>1.5971027614305113</v>
      </c>
      <c r="P18" s="546"/>
      <c r="Q18" s="29"/>
      <c r="S18" s="386" t="str">
        <f>IF(Lang="Français","Emplanture","Root edge")</f>
        <v>Emplanture</v>
      </c>
      <c r="T18" s="387">
        <f>m_ail</f>
        <v>180</v>
      </c>
    </row>
    <row r="19" spans="1:20" ht="12.75" customHeight="1" x14ac:dyDescent="0.2">
      <c r="A19" s="25"/>
      <c r="B19" s="139" t="str">
        <f>IF(Lang="Français","Position du bas",IF(Lang="English","Basement",""))</f>
        <v>Position du bas</v>
      </c>
      <c r="C19" s="575">
        <v>2150</v>
      </c>
      <c r="D19" s="575"/>
      <c r="L19" s="108" t="str">
        <f>IF(Lang="Français","Ailerons",IF(Lang="English","Fins",""))</f>
        <v>Ailerons</v>
      </c>
      <c r="M19" s="547">
        <f>(XCpa*Cnail-0.5*XCpi*Cni)/Cnai</f>
        <v>2075.7603054555625</v>
      </c>
      <c r="N19" s="548"/>
      <c r="O19" s="549">
        <f>Cnail-Cni/2</f>
        <v>6.0003889398956209</v>
      </c>
      <c r="P19" s="550"/>
      <c r="Q19" s="29"/>
      <c r="S19" s="386" t="str">
        <f>IF(Lang="Français","Bas","Base")</f>
        <v>Bas</v>
      </c>
      <c r="T19" s="387">
        <f>X_ail</f>
        <v>2150</v>
      </c>
    </row>
    <row r="20" spans="1:20" ht="12.75" customHeight="1" thickBot="1" x14ac:dyDescent="0.25">
      <c r="A20" s="25"/>
      <c r="B20" s="428" t="str">
        <f>IF(Propu="Cariacou","Cariacou :"," ")</f>
        <v xml:space="preserve"> </v>
      </c>
      <c r="C20" s="576" t="str">
        <f>IF(Propu="Pandora (Pro24-6G)",IF(Lang="Français","C'Space Seulement",IF(Lang="English","C'Space only","")),"")</f>
        <v/>
      </c>
      <c r="D20" s="576"/>
      <c r="L20" s="108" t="str">
        <f>IF(Lang="Français","Ail bas entier",IF(Lang="English","Total Lower Fins",""))</f>
        <v>Ail bas entier</v>
      </c>
      <c r="M20" s="547">
        <f>X_ail-m_ail+p_ail*(m_ail+2*n_ail)/(3*(m_ail+n_ail))+(m_ail+n_ail-m_ail*n_ail/(m_ail+n_ail))/6</f>
        <v>2073.8461538461538</v>
      </c>
      <c r="N20" s="548"/>
      <c r="O20" s="546">
        <f>4*Q_ail*POWER((E_ail/D_ref),2)*(1+D_ail/(2*E_ail+D_ail))/(1+SQRT(1+POWER(2*f_ail/(m_ail+n_ail),2)))</f>
        <v>11.308318597213635</v>
      </c>
      <c r="P20" s="546"/>
      <c r="Q20" s="29"/>
    </row>
    <row r="21" spans="1:20" ht="12.75" customHeight="1" thickTop="1" thickBot="1" x14ac:dyDescent="0.25">
      <c r="A21" s="25"/>
      <c r="B21" s="30"/>
      <c r="C21" s="551" t="str">
        <f>IF(Lang="Français","Coiffe",IF(Lang="English","Nose Cone",""))</f>
        <v>Coiffe</v>
      </c>
      <c r="D21" s="552"/>
      <c r="L21" s="108" t="str">
        <f>IF(Lang="Français","Ailerons haut",IF(Lang="English","Upper Fins",""))</f>
        <v>Ailerons haut</v>
      </c>
      <c r="M21" s="547">
        <f>IF(LEFT(Type_masquage,1)="M",0, X_can-m_can+p_can*(m_can+2*n_can)/(3*(m_can+n_can))+(m_can+n_can-m_can*n_can/(m_can+n_can))/6)</f>
        <v>1173.846153846154</v>
      </c>
      <c r="N21" s="548"/>
      <c r="O21" s="546">
        <f>IF(LEFT(Type_masquage,1)="M",0, 4*Q_can*POWER((E_can/D_ref),2)*(1+D_can/(2*E_can+D_can))/(1+SQRT(1+POWER(2*f_can/(m_can+n_can),2))))</f>
        <v>11.123201172710166</v>
      </c>
      <c r="P21" s="546"/>
      <c r="Q21" s="29"/>
    </row>
    <row r="22" spans="1:20" ht="12.75" customHeight="1" thickTop="1" x14ac:dyDescent="0.2">
      <c r="A22" s="25"/>
      <c r="B22" s="139" t="str">
        <f>IF(Lang="Français","Forme",IF(Lang="English","Shape",""))</f>
        <v>Forme</v>
      </c>
      <c r="C22" s="577" t="s">
        <v>570</v>
      </c>
      <c r="D22" s="578"/>
      <c r="L22" s="108" t="str">
        <f>IF(Lang="Français","Partie masquée",IF(Lang="English","Interation zone",""))</f>
        <v>Partie masquée</v>
      </c>
      <c r="M22" s="560">
        <f>IF(LEFT(Type_masquage,1)="B", X_int-m_int+p_int*(m_int+2*n_int)/(3*(m_int+n_int))+(m_int+n_int-m_int*n_int/(m_int+n_int))/6, 0 )</f>
        <v>2071.6822867853793</v>
      </c>
      <c r="N22" s="560"/>
      <c r="O22" s="549">
        <f>IF(LEFT(Type_masquage,1)="B", 4*Q_int*POWER((E_int/D_ref),2)*(1+D_int/(2*E_int+D_int))/(1+SQRT(1+POWER(2*f_int/(m_int+n_int),2))), 0 )</f>
        <v>10.615859314636028</v>
      </c>
      <c r="P22" s="550"/>
      <c r="Q22" s="29"/>
    </row>
    <row r="23" spans="1:20" ht="12.75" customHeight="1" x14ac:dyDescent="0.2">
      <c r="A23" s="25"/>
      <c r="B23" s="139" t="str">
        <f>IF(Lang="Français","Hauteur",IF(Lang="English","Heigth",""))</f>
        <v>Hauteur</v>
      </c>
      <c r="C23" s="554">
        <v>275</v>
      </c>
      <c r="D23" s="555"/>
      <c r="L23" s="108" t="s">
        <v>156</v>
      </c>
      <c r="M23" s="547">
        <f>IF(OR(RIGHT(Nb_diam,1)=",",D2j=0),0, X_j+l_j/3*(1+1/(1+D1j/D2j)) )</f>
        <v>1275.886524822695</v>
      </c>
      <c r="N23" s="548"/>
      <c r="O23" s="546">
        <f>IF(OR(RIGHT(Nb_diam,1)=",",D2j=0),0,2*(POWER(D2j/D_ref,2)-POWER(D1j/D_ref,2)))</f>
        <v>0.8510638297872346</v>
      </c>
      <c r="P23" s="546"/>
      <c r="Q23" s="29"/>
    </row>
    <row r="24" spans="1:20" ht="12.75" customHeight="1" thickBot="1" x14ac:dyDescent="0.25">
      <c r="A24" s="25"/>
      <c r="B24" s="139" t="str">
        <f>IF(Lang="Français","Diamètre",IF(Lang="English","Diameter",""))</f>
        <v>Diamètre</v>
      </c>
      <c r="C24" s="554">
        <v>84</v>
      </c>
      <c r="D24" s="555"/>
      <c r="L24" s="108" t="s">
        <v>157</v>
      </c>
      <c r="M24" s="547">
        <f>IF( OR(RIGHT(Nb_diam,1)=",",D2r=0), 0, X_r+l_r/3*(1+1/(1+D1r/D2r)) )</f>
        <v>0</v>
      </c>
      <c r="N24" s="548"/>
      <c r="O24" s="546">
        <f>IF( OR(RIGHT(Nb_diam,1)=",",D2r=0), 0, 2*(POWER(D2r/D_ref,2)-POWER(D1r/D_ref,2)) )</f>
        <v>0</v>
      </c>
      <c r="P24" s="546"/>
      <c r="Q24" s="29"/>
    </row>
    <row r="25" spans="1:20" ht="12.75" customHeight="1" thickBot="1" x14ac:dyDescent="0.25">
      <c r="A25" s="25"/>
      <c r="E25" s="180" t="s">
        <v>151</v>
      </c>
      <c r="L25" s="38"/>
      <c r="M25" s="38"/>
      <c r="N25" s="38"/>
      <c r="Q25" s="29"/>
      <c r="R25" s="38"/>
      <c r="S25" s="388" t="str">
        <f ca="1">IF(AND(Portee_balistique&gt;200,LEFT(Type_propu,3)="Min"),IF(Lang="Français","Fusée trop lègère !","Rocket too light"),"")</f>
        <v/>
      </c>
    </row>
    <row r="26" spans="1:20" ht="12.75" customHeight="1" thickTop="1" thickBot="1" x14ac:dyDescent="0.25">
      <c r="A26" s="25"/>
      <c r="B26" s="30"/>
      <c r="C26" s="178" t="str">
        <f>IF(LEFT(Type_masquage,1)="M",IF(Lang="Français","Ailerons","Fins"),IF(Lang="Français","Ailerons bas","Lower Fins"))</f>
        <v>Ailerons bas</v>
      </c>
      <c r="D26" s="179" t="str">
        <f>IF(Lang="Français","Ailerons haut",IF(Lang="English","Upper Fins",""))</f>
        <v>Ailerons haut</v>
      </c>
      <c r="F26" s="39">
        <f ca="1">TODAY()</f>
        <v>45862</v>
      </c>
      <c r="G26" s="137" t="s">
        <v>62</v>
      </c>
      <c r="H26" s="541" t="str">
        <f>IF(Lang="Français","Résultats",IF(Lang="English","Results",""))</f>
        <v>Résultats</v>
      </c>
      <c r="I26" s="541"/>
      <c r="J26" s="137" t="s">
        <v>63</v>
      </c>
      <c r="K26" s="32"/>
      <c r="L26" s="38"/>
      <c r="M26" s="38"/>
      <c r="N26" s="38"/>
      <c r="Q26" s="29"/>
      <c r="R26" s="38"/>
      <c r="S26" s="388" t="str">
        <f ca="1">IF(AND(Vsortie_de_rampe&lt;18, OR(LEFT(Type_fusee,1)=",",LEFT(Type_fusee,4)="Mini",LEFT(Type_fusee,1)="R")),IF(Lang="Français","Fusée trop lourde ou rampe trop courte !","Rocket too heavy or launch pad too small!"),"")</f>
        <v/>
      </c>
    </row>
    <row r="27" spans="1:20" ht="12.75" customHeight="1" thickTop="1" x14ac:dyDescent="0.2">
      <c r="A27" s="25"/>
      <c r="B27" s="30"/>
      <c r="C27" s="573" t="s">
        <v>425</v>
      </c>
      <c r="D27" s="574"/>
      <c r="E27" s="146">
        <f>m_ail</f>
        <v>180</v>
      </c>
      <c r="F27" s="105" t="s">
        <v>64</v>
      </c>
      <c r="G27" s="104">
        <f>IF(RIGHT(Type_fusee,1)=".",10, IF(OR(LEFT(Type_fusee,1)="R",LEFT(Type_fusee,1)=",",LEFT(Type_fusee,4)="Mini"),10, IF(LEFT(Type_fusee,5)="Micro",10, IF(RIGHT(Type_fusee,1)=" ",1))))</f>
        <v>10</v>
      </c>
      <c r="H27" s="589">
        <f>Long_tot/D_ref</f>
        <v>22.872340425531913</v>
      </c>
      <c r="I27" s="590"/>
      <c r="J27" s="104">
        <f>IF(RIGHT(Type_fusee,1)=".",35, IF(OR(LEFT(Type_fusee,1)="R",LEFT(Type_fusee,1)=",",LEFT(Type_fusee,4)="Mini"),20, IF(LEFT(Type_fusee,5)="Micro",30, IF(RIGHT(Type_fusee,1)=" ",100))))</f>
        <v>35</v>
      </c>
      <c r="K27" s="32"/>
      <c r="L27" s="38"/>
      <c r="M27" s="38"/>
      <c r="N27" s="38"/>
      <c r="Q27" s="29"/>
      <c r="R27" s="38"/>
      <c r="S27" s="388" t="str">
        <f>IF(Finesse&lt;CritFinessemin, IF(Lang="Français","Fusée trop courte !","Rocket too short!"), "" ) &amp; IF(Finesse&gt;CritFinessemax, IF(Lang="Français","Fusée trop longue !","Rocket too long!"), "" )</f>
        <v/>
      </c>
    </row>
    <row r="28" spans="1:20" ht="12.75" customHeight="1" x14ac:dyDescent="0.2">
      <c r="A28" s="25"/>
      <c r="B28" s="524" t="str">
        <f>IF(Lang="Français"," Emplanture  'm'",IF(Lang="English"," Root edge  'm'",""))</f>
        <v xml:space="preserve"> Emplanture  'm'</v>
      </c>
      <c r="C28" s="177">
        <v>180</v>
      </c>
      <c r="D28" s="177">
        <v>180</v>
      </c>
      <c r="E28" s="146">
        <f>n_ail+(m_ail-n_ail)*(1-E_int/E_ail)</f>
        <v>84.545454545454547</v>
      </c>
      <c r="F28" s="105" t="str">
        <f>IF(Lang="Français","Portance","Lift")</f>
        <v>Portance</v>
      </c>
      <c r="G28" s="104">
        <f>IF(RIGHT(Type_fusee,1)=".",15,IF(OR(LEFT(Type_fusee,1)="R",LEFT(Type_fusee,1)=",",LEFT(Type_fusee,4)="Mini"),15, IF(LEFT(Type_fusee,5)="Micro",15, IF(RIGHT(Type_fusee,1)=" ",15))))</f>
        <v>15</v>
      </c>
      <c r="H28" s="508">
        <f>Cnai+Cnc+Cno+Cnj+Cnr</f>
        <v>19.571756703823535</v>
      </c>
      <c r="I28" s="508">
        <f>Cnail+Cnc+Cno+Cnj+Cnr</f>
        <v>24.879686361141552</v>
      </c>
      <c r="J28" s="104">
        <f>IF(RIGHT(Type_fusee,1)=".",40, IF(OR(LEFT(Type_fusee,1)="R",LEFT(Type_fusee,1)=",",LEFT(Type_fusee,4)="Mini"),30, IF(LEFT(Type_fusee,5)="Micro",30, IF(RIGHT(Type_fusee,1)=" ",30))))</f>
        <v>40</v>
      </c>
      <c r="K28" s="32"/>
      <c r="L28" s="38"/>
      <c r="M28" s="38"/>
      <c r="N28" s="38"/>
      <c r="Q28" s="29"/>
      <c r="R28" s="38"/>
      <c r="S28" s="388" t="str">
        <f>IF(Cn&lt;CritCnmin, IF(Lang="Français","Ailerons trop petits !","Fins too small!"), "" ) &amp; IF(Cn&gt;CritCnmax, IF(Lang="Français","Ailerons trop grands !","Fins too big!"), "" )</f>
        <v/>
      </c>
    </row>
    <row r="29" spans="1:20" ht="12.75" customHeight="1" x14ac:dyDescent="0.2">
      <c r="A29" s="25"/>
      <c r="B29" s="524" t="str">
        <f>IF(Lang="Français"," Saumon       'n'",IF(Lang="English"," Tip edge    'n'",""))</f>
        <v xml:space="preserve"> Saumon       'n'</v>
      </c>
      <c r="C29" s="35">
        <v>80</v>
      </c>
      <c r="D29" s="35">
        <v>80</v>
      </c>
      <c r="E29" s="146">
        <f>p_ail*E_int/E_ail</f>
        <v>152.72727272727272</v>
      </c>
      <c r="F29" s="515" t="str">
        <f>IF(Lang="Français","MargeStat.","StatMargin")</f>
        <v>MargeStat.</v>
      </c>
      <c r="G29" s="510">
        <f>IF(RIGHT(Type_fusee,1)=".",2, IF(OR(LEFT(Type_fusee,1)="R",LEFT(Type_fusee,1)=",",LEFT(Type_fusee,4)="Mini"),1.5, IF(LEFT(Type_fusee,5)="Micro",1, IF(RIGHT(Type_fusee,1)=" ",1))))</f>
        <v>2</v>
      </c>
      <c r="H29" s="97">
        <f ca="1">(XCp-XcgPlein)/D_ref</f>
        <v>0.75577484454785981</v>
      </c>
      <c r="I29" s="98">
        <f ca="1">(XCp0-XcgVide)/D_ref</f>
        <v>3.2389056118297503</v>
      </c>
      <c r="J29" s="510">
        <f>IF(RIGHT(Type_fusee,1)=".",6, IF(OR(LEFT(Type_fusee,1)="R",LEFT(Type_fusee,1)=",",LEFT(Type_fusee,4)="Mini"),6, IF(LEFT(Type_fusee,5)="Micro",3, IF(RIGHT(Type_fusee,1)=" ",3))))</f>
        <v>6</v>
      </c>
      <c r="K29" s="32"/>
      <c r="Q29" s="29"/>
      <c r="R29" s="38"/>
      <c r="S29" s="388" t="str">
        <f ca="1">IF(MS_min&lt;CritMsmin, IF(Lang="Français","Abaisser les ailerons ou rehausser le CdM !","Lower the fins or move up the center of mass!"), "" ) &amp; IF(MS_max&gt;CritMsmax, IF(Lang="Français","Rehausser les ailerons ou abaisser le CdM !","Move up the fins or lower the center of mass!"), "" )</f>
        <v>Abaisser les ailerons ou rehausser le CdM !</v>
      </c>
    </row>
    <row r="30" spans="1:20" ht="12.75" customHeight="1" x14ac:dyDescent="0.2">
      <c r="A30" s="25"/>
      <c r="B30" s="524" t="str">
        <f>IF(Lang="Français"," Flèche          'p'"," Offset         'p'")</f>
        <v xml:space="preserve"> Flèche          'p'</v>
      </c>
      <c r="C30" s="35">
        <v>160</v>
      </c>
      <c r="D30" s="35">
        <v>160</v>
      </c>
      <c r="E30" s="146">
        <f>IF(D_can/2+E_can&lt;=D_ail/2,0, IF(D_can/2+E_can&gt;=D_ail/2+E_ail,E_ail,  D_can/2+E_can - D_ail/2  ) )</f>
        <v>105</v>
      </c>
      <c r="F30" s="516" t="str">
        <f>IF(Lang="Français","Couple","Torque")</f>
        <v>Couple</v>
      </c>
      <c r="G30" s="511">
        <f>IF(RIGHT(Type_fusee,1)=".",40, IF(OR(LEFT(Type_fusee,1)="R",LEFT(Type_fusee,1)=",",LEFT(Type_fusee,4)="Mini"),30, IF(LEFT(Type_fusee,5)="Micro",15, IF(RIGHT(Type_fusee,1)=" ",15))))</f>
        <v>40</v>
      </c>
      <c r="H30" s="99">
        <f ca="1">MS_min*Cn</f>
        <v>14.791841380360765</v>
      </c>
      <c r="I30" s="96">
        <f ca="1">MS_max*Cn0</f>
        <v>80.582955775665468</v>
      </c>
      <c r="J30" s="511">
        <f>IF(RIGHT(Type_fusee,1)=".",100, IF(OR(LEFT(Type_fusee,1)="R",LEFT(Type_fusee,1)=",",LEFT(Type_fusee,4)="Mini"),100, IF(LEFT(Type_fusee,5)="Micro",100, IF(RIGHT(Type_fusee,1)=" ",90))))</f>
        <v>100</v>
      </c>
      <c r="K30" s="32"/>
      <c r="Q30" s="29"/>
      <c r="R30" s="38"/>
      <c r="S30" s="388" t="str">
        <f ca="1">IF(MS_Cn_min&lt;CritMsCnmin, IF(Lang="Français","Ailerons trop petits ou trop haut /CdM !","Fins too small or too high /CoM!"), "" ) &amp; IF(MS_Cn_max&gt;CritMsCnmax, IF(Lang="Français","Ailerons trop grands ou trop bas  /CdM !","Fins too big or too low / CoM!"), "" )</f>
        <v>Ailerons trop petits ou trop haut /CdM !</v>
      </c>
    </row>
    <row r="31" spans="1:20" ht="12.75" customHeight="1" x14ac:dyDescent="0.2">
      <c r="A31" s="25"/>
      <c r="B31" s="524" t="str">
        <f>IF(Lang="Français"," Envergure     'E'",IF(Lang="English"," Span          'E'",""))</f>
        <v xml:space="preserve"> Envergure     'E'</v>
      </c>
      <c r="C31" s="35">
        <v>110</v>
      </c>
      <c r="D31" s="35">
        <v>110</v>
      </c>
      <c r="E31" s="146">
        <f>ep_ail</f>
        <v>4</v>
      </c>
      <c r="F31" s="106" t="s">
        <v>55</v>
      </c>
      <c r="G31" s="103"/>
      <c r="H31" s="509">
        <f>(Cnai*XCpai+Cnc*XCpc+Cnj*XCpj+Cnr*XCpr+Cno*XCpo)/(Cnai+Cnc+Cnr+Cnj+Cno)</f>
        <v>1373.9675771484433</v>
      </c>
      <c r="I31" s="509">
        <f>(Cnail*XCpa+Cnc*XCpc+Cnj*XCpj+Cnr*XCpr+Cno*XCpo)/(Cnail+Cnc+Cnr+Cnj+Cno)</f>
        <v>1522.8207638756328</v>
      </c>
      <c r="J31" s="102"/>
      <c r="K31" s="32"/>
      <c r="Q31" s="29"/>
      <c r="R31" s="38"/>
      <c r="S31" s="388"/>
    </row>
    <row r="32" spans="1:20" ht="12.75" customHeight="1" x14ac:dyDescent="0.2">
      <c r="A32" s="25"/>
      <c r="B32" s="525" t="str">
        <f>IF(Lang="Français"," Epaisseur     'ep'",IF(Lang="English"," Thickness  'ep'",""))</f>
        <v xml:space="preserve"> Epaisseur     'ep'</v>
      </c>
      <c r="C32" s="35">
        <v>4</v>
      </c>
      <c r="D32" s="35">
        <v>4</v>
      </c>
      <c r="E32" s="146">
        <f>IF(Q_ail=Q_can,Q_ail,FALSE)</f>
        <v>4</v>
      </c>
      <c r="F32" s="106" t="s">
        <v>66</v>
      </c>
      <c r="G32" s="103"/>
      <c r="H32" s="100">
        <f ca="1">(XCp-XcgPlein)/Long_tot*100</f>
        <v>3.3043179249999453</v>
      </c>
      <c r="I32" s="101">
        <f ca="1">(XCp-XcgVide)/Long_tot*100</f>
        <v>7.2373925946421878</v>
      </c>
      <c r="J32" s="102"/>
      <c r="K32" s="32"/>
      <c r="Q32" s="29"/>
      <c r="R32" s="38"/>
    </row>
    <row r="33" spans="1:23" ht="12.75" customHeight="1" x14ac:dyDescent="0.2">
      <c r="A33" s="25"/>
      <c r="B33" s="524" t="str">
        <f>IF(Lang="Français"," Nombre            ",IF(Lang="English"," Number of fins",""))</f>
        <v xml:space="preserve"> Nombre            </v>
      </c>
      <c r="C33" s="36">
        <v>4</v>
      </c>
      <c r="D33" s="36">
        <v>4</v>
      </c>
      <c r="E33" s="146">
        <f>X_ail</f>
        <v>2150</v>
      </c>
      <c r="G33" s="24"/>
      <c r="H33" s="579" t="str">
        <f ca="1">IF(AND(CritCnmin&lt;Cn,Cn0&lt;CritCnmax,CritMsmin&lt;MS_min,MS_max&lt;CritMsmax,CritMsCnmin&lt;MS_Cn_min,MS_Cn_max&lt;CritMsCnmax),"STABLE",IF(OR(Cn&lt;CritCnmin,MS_min&lt;CritMsmin,MS_Cn_min&lt;CritMsCnmin),"INSTABLE",IF(Lang="Français","SURSTABLE","OVERSTABLE")))</f>
        <v>INSTABLE</v>
      </c>
      <c r="I33" s="580"/>
      <c r="J33" s="31"/>
      <c r="K33" s="32"/>
      <c r="Q33" s="29"/>
      <c r="R33" s="38"/>
    </row>
    <row r="34" spans="1:23" ht="12.75" customHeight="1" x14ac:dyDescent="0.2">
      <c r="A34" s="25"/>
      <c r="B34" s="524" t="str">
        <f>IF(Lang="Français"," Position du bas",IF(Lang="English"," Basement",""))</f>
        <v xml:space="preserve"> Position du bas</v>
      </c>
      <c r="C34" s="35">
        <v>2150</v>
      </c>
      <c r="D34" s="35">
        <v>1250</v>
      </c>
      <c r="E34" s="146">
        <f>D_ail</f>
        <v>104</v>
      </c>
      <c r="G34" s="24"/>
      <c r="H34" s="581"/>
      <c r="I34" s="582"/>
      <c r="K34" s="32"/>
      <c r="Q34" s="29"/>
      <c r="R34" s="38"/>
    </row>
    <row r="35" spans="1:23" ht="12.75" customHeight="1" x14ac:dyDescent="0.2">
      <c r="A35" s="25"/>
      <c r="B35" s="524" t="str">
        <f>IF(Lang="Français"," Diamètre         ",IF(Lang="English"," Diameter at Fins",""))</f>
        <v xml:space="preserve"> Diamètre         </v>
      </c>
      <c r="C35" s="35">
        <v>104</v>
      </c>
      <c r="D35" s="35">
        <f>D_ref</f>
        <v>94</v>
      </c>
      <c r="E35" s="146">
        <f>SQRT(POWER(p_int+n_int/2-m_int/2,2)+POWER(E_int,2))</f>
        <v>148.49242404917499</v>
      </c>
      <c r="K35" s="32"/>
      <c r="Q35" s="29"/>
      <c r="R35" s="38"/>
      <c r="W35" s="24" t="str">
        <f>RIGHT(Type_fusee,1="R")</f>
        <v/>
      </c>
    </row>
    <row r="36" spans="1:23" ht="12.75" customHeight="1" x14ac:dyDescent="0.2">
      <c r="A36" s="25"/>
      <c r="B36" s="524" t="str">
        <f>IF(Lang="Français"," Ligne mi-corde f",IF(Lang="English"," Mid-chord line f",""))</f>
        <v xml:space="preserve"> Ligne mi-corde f</v>
      </c>
      <c r="C36" s="145">
        <f>SQRT(POWER(p_ail+n_ail/2-m_ail/2,2)+POWER(E_ail,2))</f>
        <v>155.56349186104046</v>
      </c>
      <c r="D36" s="145">
        <f>SQRT(POWER(p_can+n_can/2-m_can/2,2)+POWER(E_can,2))</f>
        <v>155.56349186104046</v>
      </c>
      <c r="E36" s="536"/>
      <c r="K36" s="32"/>
      <c r="Q36" s="29"/>
      <c r="R36" s="38"/>
    </row>
    <row r="37" spans="1:23" ht="12.75" customHeight="1" thickBot="1" x14ac:dyDescent="0.25">
      <c r="A37" s="40"/>
      <c r="B37" s="182" t="str">
        <f>IF(Lang="Français","Commentaire libre :",IF(Lang="English","Free comment:",""))</f>
        <v>Commentaire libre :</v>
      </c>
      <c r="C37" s="41"/>
      <c r="D37" s="42"/>
      <c r="E37" s="91"/>
      <c r="F37" s="67"/>
      <c r="G37" s="67"/>
      <c r="H37" s="67"/>
      <c r="I37" s="67"/>
      <c r="J37" s="42"/>
      <c r="K37" s="42"/>
      <c r="L37" s="389" t="s">
        <v>270</v>
      </c>
      <c r="M37" s="392" t="str">
        <f>IF(ROUND(SUM(Propu!5:1228),0)=437735,"propu OK","propu NOK")</f>
        <v>propu OK</v>
      </c>
      <c r="N37" s="391" t="str">
        <f>IF(Lang="Français","fichier initial","Initial file")</f>
        <v>fichier initial</v>
      </c>
      <c r="O37" s="392"/>
      <c r="P37" s="390"/>
      <c r="Q37" s="291" t="s">
        <v>567</v>
      </c>
      <c r="R37" s="43"/>
    </row>
    <row r="39" spans="1:23" x14ac:dyDescent="0.2">
      <c r="L39" s="226" t="str">
        <f>IF(Lang="Français","Maintenant que votre fusée est stable, vérifiez sa trajectoire via la feuille","Now your rocket is stable, check its trajectory on sheet")</f>
        <v>Maintenant que votre fusée est stable, vérifiez sa trajectoire via la feuille</v>
      </c>
      <c r="M39" s="481" t="s">
        <v>180</v>
      </c>
    </row>
    <row r="40" spans="1:23" x14ac:dyDescent="0.2">
      <c r="H40" s="87"/>
      <c r="O40" s="26"/>
      <c r="P40" s="26"/>
      <c r="S40" s="506"/>
    </row>
    <row r="41" spans="1:23" x14ac:dyDescent="0.2">
      <c r="F41" s="24"/>
      <c r="H41" s="43"/>
      <c r="I41" s="44"/>
      <c r="J41" s="43"/>
      <c r="N41" s="43"/>
      <c r="Q41" s="43"/>
      <c r="R41" s="43"/>
    </row>
    <row r="42" spans="1:23" x14ac:dyDescent="0.2">
      <c r="F42" s="24"/>
      <c r="G42" s="503"/>
      <c r="H42" s="504"/>
      <c r="I42" s="44"/>
      <c r="J42" s="43"/>
      <c r="N42" s="43"/>
      <c r="Q42" s="43"/>
      <c r="R42" s="43"/>
    </row>
    <row r="43" spans="1:23" x14ac:dyDescent="0.2">
      <c r="F43" s="24"/>
      <c r="H43" s="43"/>
      <c r="I43" s="44"/>
      <c r="J43" s="43"/>
      <c r="N43" s="43"/>
      <c r="Q43" s="43"/>
      <c r="R43" s="43"/>
    </row>
    <row r="44" spans="1:23" x14ac:dyDescent="0.2">
      <c r="F44" s="24"/>
      <c r="H44" s="43"/>
      <c r="I44" s="44"/>
      <c r="J44" s="43"/>
      <c r="N44" s="43"/>
      <c r="Q44" s="43"/>
      <c r="R44" s="43"/>
    </row>
    <row r="45" spans="1:23" x14ac:dyDescent="0.2">
      <c r="F45" s="24"/>
      <c r="H45" s="43"/>
      <c r="I45" s="44"/>
      <c r="J45" s="43"/>
      <c r="N45" s="43"/>
      <c r="Q45" s="43"/>
      <c r="R45" s="43"/>
    </row>
    <row r="46" spans="1:23" x14ac:dyDescent="0.2">
      <c r="F46" s="24"/>
      <c r="H46" s="43"/>
      <c r="I46" s="44"/>
      <c r="J46" s="43"/>
      <c r="N46" s="43"/>
      <c r="Q46" s="43"/>
      <c r="R46" s="43"/>
    </row>
    <row r="47" spans="1:23" x14ac:dyDescent="0.2">
      <c r="F47" s="24"/>
      <c r="H47" s="43"/>
      <c r="I47" s="44"/>
      <c r="J47" s="43"/>
      <c r="L47" s="43"/>
      <c r="M47" s="43"/>
      <c r="N47" s="43"/>
      <c r="Q47" s="43"/>
      <c r="R47" s="43"/>
    </row>
    <row r="48" spans="1:23" x14ac:dyDescent="0.2">
      <c r="F48" s="24"/>
      <c r="H48" s="43"/>
      <c r="I48" s="44"/>
      <c r="J48" s="43"/>
      <c r="L48" s="43"/>
      <c r="M48" s="43"/>
      <c r="N48" s="43"/>
      <c r="Q48" s="43"/>
      <c r="R48" s="43"/>
    </row>
    <row r="49" spans="2:18" x14ac:dyDescent="0.2">
      <c r="F49" s="24"/>
      <c r="H49" s="43"/>
      <c r="I49" s="44"/>
      <c r="J49" s="43"/>
      <c r="L49" s="43"/>
      <c r="M49" s="43"/>
      <c r="N49" s="43"/>
      <c r="Q49" s="43"/>
      <c r="R49" s="43"/>
    </row>
    <row r="50" spans="2:18" x14ac:dyDescent="0.2">
      <c r="F50" s="24"/>
      <c r="H50" s="43"/>
      <c r="I50" s="44"/>
      <c r="J50" s="43"/>
      <c r="L50" s="43"/>
      <c r="M50" s="43"/>
      <c r="N50" s="43"/>
      <c r="Q50" s="43"/>
      <c r="R50" s="43"/>
    </row>
    <row r="51" spans="2:18" x14ac:dyDescent="0.2">
      <c r="F51" s="24"/>
      <c r="H51" s="43"/>
      <c r="I51" s="44"/>
      <c r="J51" s="43"/>
      <c r="L51" s="43"/>
      <c r="M51" s="43"/>
      <c r="N51" s="43"/>
      <c r="Q51" s="43"/>
      <c r="R51" s="43"/>
    </row>
    <row r="52" spans="2:18" x14ac:dyDescent="0.2">
      <c r="F52" s="24"/>
      <c r="H52" s="43"/>
      <c r="I52" s="44"/>
      <c r="J52" s="43"/>
      <c r="L52" s="43"/>
      <c r="M52" s="43"/>
      <c r="N52" s="43"/>
      <c r="Q52" s="43"/>
      <c r="R52" s="43"/>
    </row>
    <row r="53" spans="2:18" x14ac:dyDescent="0.2">
      <c r="H53" s="43"/>
      <c r="I53" s="44"/>
      <c r="J53" s="43"/>
      <c r="L53" s="43"/>
      <c r="M53" s="43"/>
      <c r="N53" s="43"/>
      <c r="Q53" s="43"/>
      <c r="R53" s="43"/>
    </row>
    <row r="54" spans="2:18" x14ac:dyDescent="0.2">
      <c r="H54" s="43"/>
      <c r="I54" s="44"/>
      <c r="J54" s="43"/>
      <c r="L54" s="43"/>
      <c r="M54" s="43"/>
      <c r="N54" s="43"/>
      <c r="Q54" s="43"/>
      <c r="R54" s="43"/>
    </row>
    <row r="55" spans="2:18" x14ac:dyDescent="0.2">
      <c r="H55" s="43"/>
      <c r="I55" s="44"/>
      <c r="J55" s="43"/>
      <c r="L55" s="43"/>
      <c r="M55" s="43"/>
      <c r="N55" s="43"/>
      <c r="Q55" s="43"/>
      <c r="R55" s="43"/>
    </row>
    <row r="56" spans="2:18" x14ac:dyDescent="0.2">
      <c r="H56" s="43"/>
      <c r="I56" s="44"/>
      <c r="J56" s="43"/>
      <c r="L56" s="43"/>
      <c r="M56" s="43"/>
      <c r="N56" s="43"/>
      <c r="Q56" s="43"/>
      <c r="R56" s="43"/>
    </row>
    <row r="57" spans="2:18" x14ac:dyDescent="0.2">
      <c r="C57" s="24"/>
      <c r="H57" s="43"/>
      <c r="I57" s="44"/>
      <c r="J57" s="43"/>
      <c r="L57" s="43"/>
      <c r="M57" s="43"/>
      <c r="N57" s="43"/>
      <c r="Q57" s="43"/>
      <c r="R57" s="43"/>
    </row>
    <row r="58" spans="2:18" x14ac:dyDescent="0.2">
      <c r="H58" s="43"/>
      <c r="I58" s="44"/>
      <c r="J58" s="43"/>
      <c r="L58" s="43"/>
      <c r="M58" s="43"/>
      <c r="N58" s="43"/>
      <c r="Q58" s="43"/>
      <c r="R58" s="43"/>
    </row>
    <row r="59" spans="2:18" x14ac:dyDescent="0.2">
      <c r="B59" s="31"/>
      <c r="H59" s="43"/>
      <c r="I59" s="44"/>
      <c r="J59" s="43"/>
      <c r="L59" s="43"/>
      <c r="M59" s="43"/>
      <c r="N59" s="43"/>
      <c r="Q59" s="43"/>
      <c r="R59" s="43"/>
    </row>
    <row r="60" spans="2:18" x14ac:dyDescent="0.2">
      <c r="B60" s="31"/>
      <c r="H60" s="43"/>
      <c r="I60" s="44"/>
      <c r="J60" s="43"/>
      <c r="L60" s="43"/>
      <c r="M60" s="43"/>
      <c r="N60" s="43"/>
      <c r="Q60" s="43"/>
      <c r="R60" s="43"/>
    </row>
    <row r="61" spans="2:18" x14ac:dyDescent="0.2">
      <c r="B61" s="31"/>
      <c r="H61" s="43"/>
      <c r="I61" s="44"/>
      <c r="J61" s="43"/>
      <c r="L61" s="43"/>
      <c r="M61" s="43"/>
      <c r="N61" s="43"/>
      <c r="Q61" s="43"/>
      <c r="R61" s="43"/>
    </row>
    <row r="62" spans="2:18" x14ac:dyDescent="0.2">
      <c r="B62" s="31"/>
      <c r="H62" s="43"/>
      <c r="I62" s="44"/>
      <c r="J62" s="43"/>
      <c r="L62" s="43"/>
      <c r="M62" s="43"/>
      <c r="N62" s="43"/>
      <c r="Q62" s="43"/>
      <c r="R62" s="43"/>
    </row>
    <row r="63" spans="2:18" x14ac:dyDescent="0.2">
      <c r="B63" s="31"/>
      <c r="H63" s="43"/>
      <c r="I63" s="44"/>
      <c r="J63" s="43"/>
      <c r="L63" s="43"/>
      <c r="M63" s="43"/>
      <c r="N63" s="43"/>
      <c r="Q63" s="43"/>
      <c r="R63" s="43"/>
    </row>
    <row r="64" spans="2:18" x14ac:dyDescent="0.2">
      <c r="B64" s="31"/>
      <c r="H64" s="43"/>
      <c r="I64" s="44"/>
      <c r="J64" s="43"/>
      <c r="L64" s="43"/>
      <c r="M64" s="43"/>
      <c r="N64" s="43"/>
      <c r="Q64" s="43"/>
      <c r="R64" s="43"/>
    </row>
    <row r="65" spans="2:18" x14ac:dyDescent="0.2">
      <c r="B65" s="31"/>
      <c r="H65" s="43"/>
      <c r="I65" s="44"/>
      <c r="J65" s="43"/>
      <c r="L65" s="43"/>
      <c r="M65" s="43"/>
      <c r="N65" s="43"/>
      <c r="Q65" s="43"/>
      <c r="R65" s="43"/>
    </row>
    <row r="66" spans="2:18" x14ac:dyDescent="0.2">
      <c r="B66" s="31"/>
      <c r="H66" s="43"/>
      <c r="I66" s="44"/>
      <c r="J66" s="43"/>
      <c r="L66" s="43"/>
      <c r="M66" s="43"/>
      <c r="N66" s="43"/>
      <c r="Q66" s="43"/>
      <c r="R66" s="43"/>
    </row>
    <row r="67" spans="2:18" x14ac:dyDescent="0.2">
      <c r="B67" s="31"/>
      <c r="H67" s="43"/>
      <c r="I67" s="44"/>
      <c r="J67" s="43"/>
      <c r="L67" s="43"/>
      <c r="M67" s="43"/>
      <c r="N67" s="43"/>
      <c r="Q67" s="43"/>
      <c r="R67" s="43"/>
    </row>
    <row r="68" spans="2:18" x14ac:dyDescent="0.2">
      <c r="C68" s="24"/>
      <c r="H68" s="43"/>
      <c r="I68" s="44"/>
      <c r="J68" s="43"/>
      <c r="L68" s="43"/>
      <c r="M68" s="43"/>
      <c r="N68" s="43"/>
      <c r="Q68" s="43"/>
      <c r="R68" s="43"/>
    </row>
    <row r="69" spans="2:18" x14ac:dyDescent="0.2">
      <c r="C69" s="24"/>
      <c r="H69" s="43"/>
      <c r="I69" s="44"/>
      <c r="J69" s="43"/>
      <c r="L69" s="43"/>
      <c r="M69" s="43"/>
      <c r="N69" s="43"/>
      <c r="Q69" s="43"/>
      <c r="R69" s="43"/>
    </row>
    <row r="70" spans="2:18" x14ac:dyDescent="0.2">
      <c r="C70" s="24"/>
      <c r="H70" s="43"/>
      <c r="I70" s="44"/>
      <c r="J70" s="43"/>
      <c r="L70" s="43"/>
      <c r="M70" s="43"/>
      <c r="N70" s="43"/>
      <c r="Q70" s="43"/>
      <c r="R70" s="43"/>
    </row>
    <row r="71" spans="2:18" x14ac:dyDescent="0.2">
      <c r="C71" s="24"/>
      <c r="H71" s="43"/>
      <c r="I71" s="44"/>
      <c r="J71" s="43"/>
      <c r="L71" s="43"/>
      <c r="M71" s="43"/>
      <c r="N71" s="43"/>
      <c r="Q71" s="43"/>
      <c r="R71" s="43"/>
    </row>
    <row r="72" spans="2:18" x14ac:dyDescent="0.2">
      <c r="C72" s="24"/>
      <c r="H72" s="43"/>
      <c r="I72" s="44"/>
      <c r="J72" s="43"/>
      <c r="L72" s="43"/>
      <c r="M72" s="43"/>
      <c r="N72" s="43"/>
      <c r="Q72" s="43"/>
      <c r="R72" s="43"/>
    </row>
    <row r="73" spans="2:18" x14ac:dyDescent="0.2">
      <c r="C73" s="24"/>
      <c r="H73" s="43"/>
      <c r="I73" s="44"/>
      <c r="J73" s="43"/>
      <c r="L73" s="43"/>
      <c r="M73" s="43"/>
      <c r="N73" s="43"/>
      <c r="Q73" s="43"/>
      <c r="R73" s="43"/>
    </row>
    <row r="74" spans="2:18" x14ac:dyDescent="0.2">
      <c r="C74" s="24"/>
      <c r="H74" s="43"/>
      <c r="I74" s="44"/>
      <c r="J74" s="43"/>
      <c r="L74" s="43"/>
      <c r="M74" s="43"/>
      <c r="N74" s="43"/>
      <c r="Q74" s="43"/>
      <c r="R74" s="43"/>
    </row>
    <row r="75" spans="2:18" x14ac:dyDescent="0.2">
      <c r="C75" s="24"/>
      <c r="H75" s="43"/>
      <c r="I75" s="44"/>
      <c r="J75" s="43"/>
      <c r="L75" s="43"/>
      <c r="M75" s="43"/>
      <c r="N75" s="43"/>
      <c r="Q75" s="43"/>
      <c r="R75" s="43"/>
    </row>
    <row r="76" spans="2:18" x14ac:dyDescent="0.2">
      <c r="C76" s="24"/>
      <c r="H76" s="43"/>
      <c r="I76" s="44"/>
      <c r="J76" s="43"/>
      <c r="L76" s="43"/>
      <c r="M76" s="43"/>
      <c r="N76" s="43"/>
      <c r="Q76" s="43"/>
      <c r="R76" s="43"/>
    </row>
    <row r="77" spans="2:18" x14ac:dyDescent="0.2">
      <c r="C77" s="24"/>
      <c r="H77" s="43"/>
      <c r="I77" s="44"/>
      <c r="J77" s="43"/>
      <c r="L77" s="43"/>
      <c r="M77" s="43"/>
      <c r="N77" s="43"/>
      <c r="Q77" s="43"/>
      <c r="R77" s="43"/>
    </row>
    <row r="78" spans="2:18" x14ac:dyDescent="0.2">
      <c r="C78" s="24"/>
      <c r="H78" s="43"/>
      <c r="I78" s="44"/>
      <c r="J78" s="43"/>
      <c r="L78" s="43"/>
      <c r="M78" s="43"/>
      <c r="N78" s="43"/>
      <c r="Q78" s="43"/>
      <c r="R78" s="43"/>
    </row>
    <row r="79" spans="2:18" x14ac:dyDescent="0.2">
      <c r="C79" s="24"/>
      <c r="H79" s="43"/>
      <c r="I79" s="44"/>
      <c r="J79" s="43"/>
      <c r="L79" s="43"/>
      <c r="M79" s="43"/>
      <c r="N79" s="43"/>
      <c r="Q79" s="43"/>
      <c r="R79" s="43"/>
    </row>
    <row r="80" spans="2:18" x14ac:dyDescent="0.2">
      <c r="C80" s="24"/>
      <c r="H80" s="43"/>
      <c r="I80" s="44"/>
      <c r="J80" s="43"/>
      <c r="L80" s="43"/>
      <c r="M80" s="43"/>
      <c r="N80" s="43"/>
      <c r="Q80" s="43"/>
      <c r="R80" s="43"/>
    </row>
    <row r="81" spans="2:18" x14ac:dyDescent="0.2">
      <c r="C81" s="24"/>
      <c r="H81" s="43"/>
      <c r="I81" s="44"/>
      <c r="J81" s="43"/>
      <c r="L81" s="43"/>
      <c r="M81" s="43"/>
      <c r="N81" s="43"/>
      <c r="Q81" s="43"/>
      <c r="R81" s="43"/>
    </row>
    <row r="82" spans="2:18" x14ac:dyDescent="0.2">
      <c r="C82" s="24"/>
      <c r="H82" s="43"/>
      <c r="I82" s="44"/>
      <c r="J82" s="43"/>
      <c r="L82" s="43"/>
      <c r="M82" s="43"/>
      <c r="N82" s="43"/>
      <c r="Q82" s="43"/>
      <c r="R82" s="43"/>
    </row>
    <row r="83" spans="2:18" x14ac:dyDescent="0.2">
      <c r="C83" s="24"/>
      <c r="H83" s="43"/>
      <c r="I83" s="44"/>
      <c r="J83" s="43"/>
      <c r="L83" s="43"/>
      <c r="M83" s="43"/>
      <c r="N83" s="43"/>
      <c r="Q83" s="43"/>
      <c r="R83" s="43"/>
    </row>
    <row r="84" spans="2:18" x14ac:dyDescent="0.2">
      <c r="C84" s="24"/>
      <c r="H84" s="43"/>
      <c r="I84" s="44"/>
      <c r="J84" s="43"/>
      <c r="L84" s="43"/>
      <c r="M84" s="43"/>
      <c r="N84" s="43"/>
      <c r="Q84" s="43"/>
      <c r="R84" s="43"/>
    </row>
    <row r="85" spans="2:18" x14ac:dyDescent="0.2">
      <c r="C85" s="24"/>
      <c r="H85" s="43"/>
      <c r="I85" s="44"/>
      <c r="J85" s="43"/>
      <c r="L85" s="43"/>
      <c r="M85" s="43"/>
      <c r="N85" s="43"/>
      <c r="Q85" s="43"/>
      <c r="R85" s="43"/>
    </row>
    <row r="86" spans="2:18" x14ac:dyDescent="0.2">
      <c r="C86" s="24"/>
      <c r="H86" s="43"/>
      <c r="I86" s="44"/>
      <c r="J86" s="43"/>
      <c r="L86" s="43"/>
      <c r="M86" s="43"/>
      <c r="N86" s="43"/>
      <c r="Q86" s="43"/>
      <c r="R86" s="43"/>
    </row>
    <row r="87" spans="2:18" x14ac:dyDescent="0.2">
      <c r="C87" s="24"/>
      <c r="H87" s="43"/>
      <c r="I87" s="44"/>
      <c r="J87" s="43"/>
      <c r="L87" s="43"/>
      <c r="M87" s="43"/>
      <c r="N87" s="43"/>
      <c r="Q87" s="43"/>
      <c r="R87" s="43"/>
    </row>
    <row r="88" spans="2:18" x14ac:dyDescent="0.2">
      <c r="C88" s="24"/>
      <c r="H88" s="43"/>
      <c r="I88" s="44"/>
      <c r="J88" s="43"/>
      <c r="L88" s="43"/>
      <c r="M88" s="43"/>
      <c r="N88" s="43"/>
      <c r="Q88" s="43"/>
      <c r="R88" s="43"/>
    </row>
    <row r="89" spans="2:18" x14ac:dyDescent="0.2">
      <c r="C89" s="24"/>
      <c r="H89" s="43"/>
      <c r="I89" s="44"/>
      <c r="J89" s="43"/>
      <c r="L89" s="43"/>
      <c r="M89" s="43"/>
      <c r="N89" s="43"/>
      <c r="Q89" s="43"/>
      <c r="R89" s="43"/>
    </row>
    <row r="90" spans="2:18" x14ac:dyDescent="0.2">
      <c r="C90" s="24"/>
      <c r="H90" s="43"/>
      <c r="I90" s="44"/>
      <c r="J90" s="43"/>
      <c r="L90" s="43"/>
      <c r="M90" s="43"/>
      <c r="N90" s="43"/>
      <c r="Q90" s="43"/>
      <c r="R90" s="43"/>
    </row>
    <row r="91" spans="2:18" x14ac:dyDescent="0.2">
      <c r="C91" s="24"/>
      <c r="H91" s="43"/>
      <c r="I91" s="44"/>
      <c r="J91" s="43"/>
      <c r="L91" s="43"/>
      <c r="M91" s="43"/>
      <c r="N91" s="43"/>
      <c r="Q91" s="43"/>
      <c r="R91" s="43"/>
    </row>
    <row r="92" spans="2:18" x14ac:dyDescent="0.2">
      <c r="B92" s="24" t="str">
        <f>IF(Lang="Français","Textes pour les listes déroulantes et graphiques :",IF(Lang="English","Texts for drop-down lists &amp; graphics :",""))</f>
        <v>Textes pour les listes déroulantes et graphiques :</v>
      </c>
      <c r="H92" s="43"/>
      <c r="I92" s="44"/>
      <c r="J92" s="43"/>
      <c r="L92" s="43"/>
      <c r="M92" s="43"/>
      <c r="N92" s="43"/>
      <c r="Q92" s="43"/>
      <c r="R92" s="43"/>
    </row>
    <row r="93" spans="2:18" x14ac:dyDescent="0.2">
      <c r="H93" s="43"/>
      <c r="I93" s="44"/>
      <c r="J93" s="43"/>
      <c r="L93" s="43"/>
      <c r="M93" s="43"/>
      <c r="N93" s="43"/>
      <c r="Q93" s="43"/>
      <c r="R93" s="43"/>
    </row>
    <row r="94" spans="2:18" x14ac:dyDescent="0.2">
      <c r="B94" s="26" t="s">
        <v>1</v>
      </c>
      <c r="H94" s="43"/>
      <c r="I94" s="44"/>
      <c r="J94" s="43"/>
      <c r="L94" s="43"/>
      <c r="M94" s="43"/>
      <c r="N94" s="43"/>
      <c r="Q94" s="43"/>
      <c r="R94" s="43"/>
    </row>
    <row r="95" spans="2:18" x14ac:dyDescent="0.2">
      <c r="B95" s="26" t="s">
        <v>67</v>
      </c>
      <c r="H95" s="43"/>
      <c r="I95" s="44"/>
      <c r="J95" s="43"/>
      <c r="L95" s="43"/>
      <c r="M95" s="43"/>
      <c r="N95" s="43"/>
      <c r="Q95" s="43"/>
      <c r="R95" s="43"/>
    </row>
    <row r="96" spans="2:18" x14ac:dyDescent="0.2">
      <c r="B96" s="26"/>
      <c r="H96" s="43"/>
      <c r="I96" s="44"/>
      <c r="J96" s="43"/>
      <c r="L96" s="43"/>
      <c r="M96" s="43"/>
      <c r="N96" s="43"/>
      <c r="Q96" s="43"/>
      <c r="R96" s="43"/>
    </row>
    <row r="97" spans="2:18" x14ac:dyDescent="0.2">
      <c r="B97" s="26" t="str">
        <f>IF(Lang="Français","Fusée à eau  ",IF(Lang="English","Water-rocket  ",""))</f>
        <v xml:space="preserve">Fusée à eau  </v>
      </c>
      <c r="H97" s="43"/>
      <c r="I97" s="44"/>
      <c r="J97" s="43"/>
      <c r="L97" s="43"/>
      <c r="M97" s="43"/>
      <c r="N97" s="43"/>
      <c r="Q97" s="43"/>
      <c r="R97" s="43"/>
    </row>
    <row r="98" spans="2:18" x14ac:dyDescent="0.2">
      <c r="B98" s="26" t="str">
        <f>IF(Lang="Français","Microfusée",IF(Lang="English","Micro-rocket",""))</f>
        <v>Microfusée</v>
      </c>
      <c r="H98" s="43"/>
      <c r="I98" s="44"/>
      <c r="J98" s="43"/>
      <c r="L98" s="43"/>
      <c r="M98" s="43"/>
      <c r="N98" s="43"/>
      <c r="Q98" s="43"/>
      <c r="R98" s="43"/>
    </row>
    <row r="99" spans="2:18" x14ac:dyDescent="0.2">
      <c r="B99" s="26" t="str">
        <f>IF(Lang="Français","Minifusée",IF(Lang="English","Mini-rocket",""))</f>
        <v>Minifusée</v>
      </c>
      <c r="H99" s="43"/>
      <c r="I99" s="44"/>
      <c r="J99" s="43"/>
      <c r="L99" s="43"/>
      <c r="M99" s="43"/>
      <c r="N99" s="43"/>
      <c r="Q99" s="43"/>
      <c r="R99" s="43"/>
    </row>
    <row r="100" spans="2:18" x14ac:dyDescent="0.2">
      <c r="B100" s="26" t="str">
        <f>IF(Lang="Français","Fusée expérimentale.",IF(Lang="English","Experimental Rocket.",""))</f>
        <v>Fusée expérimentale.</v>
      </c>
      <c r="H100" s="43"/>
      <c r="I100" s="44"/>
      <c r="J100" s="43"/>
      <c r="L100" s="43"/>
      <c r="M100" s="43"/>
      <c r="N100" s="43"/>
      <c r="Q100" s="43"/>
      <c r="R100" s="43"/>
    </row>
    <row r="101" spans="2:18" x14ac:dyDescent="0.2">
      <c r="B101" s="26" t="s">
        <v>398</v>
      </c>
      <c r="H101" s="43"/>
      <c r="I101" s="44"/>
      <c r="J101" s="43"/>
      <c r="L101" s="43"/>
      <c r="M101" s="43"/>
      <c r="N101" s="43"/>
      <c r="Q101" s="43"/>
      <c r="R101" s="43"/>
    </row>
    <row r="102" spans="2:18" x14ac:dyDescent="0.2">
      <c r="B102" s="26"/>
      <c r="H102" s="43"/>
      <c r="I102" s="44"/>
      <c r="J102" s="43"/>
      <c r="L102" s="43"/>
      <c r="M102" s="43"/>
      <c r="N102" s="43"/>
      <c r="Q102" s="43"/>
      <c r="R102" s="43"/>
    </row>
    <row r="103" spans="2:18" x14ac:dyDescent="0.2">
      <c r="B103" s="26" t="str">
        <f>IF(Lang="Français","sans propu",IF(Lang="English","without motor",""))</f>
        <v>sans propu</v>
      </c>
      <c r="H103" s="43"/>
      <c r="I103" s="44"/>
      <c r="J103" s="43"/>
      <c r="L103" s="43"/>
      <c r="M103" s="43"/>
      <c r="N103" s="43"/>
      <c r="Q103" s="43"/>
      <c r="R103" s="43"/>
    </row>
    <row r="104" spans="2:18" x14ac:dyDescent="0.2">
      <c r="B104" s="26" t="str">
        <f>IF(Lang="Français","avec propu vide",IF(Lang="English","with empty motor",""))</f>
        <v>avec propu vide</v>
      </c>
      <c r="H104" s="43"/>
      <c r="I104" s="44"/>
      <c r="J104" s="43"/>
      <c r="L104" s="43"/>
      <c r="M104" s="43"/>
      <c r="N104" s="43"/>
      <c r="Q104" s="43"/>
      <c r="R104" s="43"/>
    </row>
    <row r="105" spans="2:18" x14ac:dyDescent="0.2">
      <c r="B105" s="26" t="str">
        <f>IF(Lang="Français","avec propu plein",IF(Lang="English","with loaded motor",""))</f>
        <v>avec propu plein</v>
      </c>
      <c r="H105" s="43"/>
      <c r="I105" s="44"/>
      <c r="J105" s="43"/>
      <c r="L105" s="43"/>
      <c r="M105" s="43"/>
      <c r="N105" s="43"/>
      <c r="Q105" s="43"/>
      <c r="R105" s="43"/>
    </row>
    <row r="106" spans="2:18" x14ac:dyDescent="0.2">
      <c r="B106" s="26"/>
      <c r="H106" s="43"/>
      <c r="I106" s="44"/>
      <c r="J106" s="43"/>
      <c r="L106" s="43"/>
      <c r="M106" s="43"/>
      <c r="N106" s="43"/>
      <c r="Q106" s="43"/>
      <c r="R106" s="43"/>
    </row>
    <row r="107" spans="2:18" x14ac:dyDescent="0.2">
      <c r="B107" s="26" t="str">
        <f>IF(Lang="Français","Parabolique (arrondie)",IF(Lang="English","Parabola (rounded)",""))</f>
        <v>Parabolique (arrondie)</v>
      </c>
      <c r="H107" s="43"/>
      <c r="I107" s="44"/>
      <c r="J107" s="43"/>
      <c r="L107" s="43"/>
      <c r="M107" s="43"/>
      <c r="N107" s="43"/>
      <c r="Q107" s="43"/>
      <c r="R107" s="43"/>
    </row>
    <row r="108" spans="2:18" x14ac:dyDescent="0.2">
      <c r="B108" s="26" t="str">
        <f>IF(Lang="Français","Ogivale (pointue)",IF(Lang="English","Ogive (sharp)",""))</f>
        <v>Ogivale (pointue)</v>
      </c>
      <c r="H108" s="43"/>
      <c r="I108" s="44"/>
      <c r="J108" s="43"/>
      <c r="L108" s="43"/>
      <c r="M108" s="43"/>
      <c r="N108" s="43"/>
      <c r="Q108" s="43"/>
      <c r="R108" s="43"/>
    </row>
    <row r="109" spans="2:18" x14ac:dyDescent="0.2">
      <c r="B109" s="26" t="str">
        <f>IF(Lang="Français","Conique (droite)",IF(Lang="English","Cone (straight)",""))</f>
        <v>Conique (droite)</v>
      </c>
      <c r="H109" s="43"/>
      <c r="I109" s="44"/>
      <c r="J109" s="43"/>
      <c r="L109" s="43"/>
      <c r="M109" s="43"/>
      <c r="N109" s="43"/>
      <c r="Q109" s="43"/>
      <c r="R109" s="43"/>
    </row>
    <row r="110" spans="2:18" x14ac:dyDescent="0.2">
      <c r="B110" s="38"/>
      <c r="H110" s="43"/>
      <c r="I110" s="44"/>
      <c r="J110" s="43"/>
      <c r="L110" s="43"/>
      <c r="M110" s="43"/>
      <c r="N110" s="43"/>
      <c r="Q110" s="43"/>
      <c r="R110" s="43"/>
    </row>
    <row r="111" spans="2:18" x14ac:dyDescent="0.2">
      <c r="B111" s="38" t="s">
        <v>424</v>
      </c>
      <c r="H111" s="43"/>
      <c r="I111" s="44"/>
      <c r="J111" s="43"/>
      <c r="L111" s="43"/>
      <c r="M111" s="43"/>
      <c r="N111" s="43"/>
      <c r="Q111" s="43"/>
      <c r="R111" s="43"/>
    </row>
    <row r="112" spans="2:18" x14ac:dyDescent="0.2">
      <c r="B112" s="38" t="s">
        <v>425</v>
      </c>
      <c r="H112" s="43"/>
      <c r="I112" s="44"/>
      <c r="J112" s="43"/>
      <c r="L112" s="43"/>
      <c r="M112" s="43"/>
      <c r="N112" s="43"/>
      <c r="Q112" s="43"/>
      <c r="R112" s="43"/>
    </row>
    <row r="113" spans="2:18" x14ac:dyDescent="0.2">
      <c r="B113" s="38"/>
      <c r="H113" s="43"/>
      <c r="I113" s="44"/>
      <c r="J113" s="43"/>
      <c r="L113" s="43"/>
      <c r="M113" s="43"/>
      <c r="N113" s="43"/>
      <c r="Q113" s="43"/>
      <c r="R113" s="43"/>
    </row>
    <row r="114" spans="2:18" x14ac:dyDescent="0.2">
      <c r="B114" s="38" t="str">
        <f>IF(Lang="Français","Fusée mono-diamètre,",IF(Lang="English","Mono-diameter rocket,",""))</f>
        <v>Fusée mono-diamètre,</v>
      </c>
      <c r="H114" s="43"/>
      <c r="I114" s="44"/>
      <c r="J114" s="43"/>
      <c r="L114" s="43"/>
      <c r="M114" s="43"/>
      <c r="N114" s="43"/>
      <c r="Q114" s="43"/>
      <c r="R114" s="43"/>
    </row>
    <row r="115" spans="2:18" x14ac:dyDescent="0.2">
      <c r="B115" s="38" t="str">
        <f>IF(Lang="Français","Plusieurs diamètres.",IF(Lang="English","Many diameters rocket.",""))</f>
        <v>Plusieurs diamètres.</v>
      </c>
      <c r="H115" s="43"/>
      <c r="I115" s="44"/>
      <c r="J115" s="43"/>
      <c r="L115" s="43"/>
      <c r="M115" s="43"/>
      <c r="N115" s="43"/>
      <c r="Q115" s="43"/>
      <c r="R115" s="43"/>
    </row>
    <row r="116" spans="2:18" x14ac:dyDescent="0.2">
      <c r="B116" s="38"/>
      <c r="H116" s="43"/>
      <c r="I116" s="44"/>
      <c r="J116" s="43"/>
      <c r="L116" s="43"/>
      <c r="M116" s="43"/>
      <c r="N116" s="43"/>
      <c r="Q116" s="43"/>
      <c r="R116" s="43"/>
    </row>
    <row r="117" spans="2:18" x14ac:dyDescent="0.2">
      <c r="B117" s="223" t="str">
        <f>IF(Lang="Français","Diagramme des critères de stabilité","Stability criterions diagram")</f>
        <v>Diagramme des critères de stabilité</v>
      </c>
      <c r="H117" s="43"/>
      <c r="I117" s="44"/>
      <c r="J117" s="43"/>
      <c r="L117" s="43"/>
      <c r="M117" s="43"/>
      <c r="N117" s="43"/>
      <c r="Q117" s="43"/>
      <c r="R117" s="43"/>
    </row>
    <row r="118" spans="2:18" x14ac:dyDescent="0.2">
      <c r="B118" s="223" t="str">
        <f>IF(Lang="Français","Marge Statique (MS)","Static Margin")</f>
        <v>Marge Statique (MS)</v>
      </c>
      <c r="H118" s="43"/>
      <c r="I118" s="44"/>
      <c r="J118" s="43"/>
      <c r="L118" s="43"/>
      <c r="M118" s="43"/>
      <c r="N118" s="43"/>
      <c r="Q118" s="43"/>
      <c r="R118" s="43"/>
    </row>
    <row r="119" spans="2:18" x14ac:dyDescent="0.2">
      <c r="B119" s="223" t="str">
        <f>IF(Lang="Français","Portance Cnα","Lift Cnα")</f>
        <v>Portance Cnα</v>
      </c>
      <c r="H119" s="43"/>
      <c r="I119" s="44"/>
      <c r="J119" s="43"/>
      <c r="L119" s="43"/>
      <c r="M119" s="43"/>
      <c r="N119" s="43"/>
      <c r="Q119" s="43"/>
      <c r="R119" s="43"/>
    </row>
    <row r="120" spans="2:18" x14ac:dyDescent="0.2">
      <c r="B120" s="38"/>
      <c r="H120" s="43"/>
      <c r="I120" s="44"/>
      <c r="J120" s="43"/>
      <c r="L120" s="43"/>
      <c r="M120" s="43"/>
      <c r="N120" s="43"/>
      <c r="Q120" s="43"/>
      <c r="R120" s="43"/>
    </row>
    <row r="121" spans="2:18" x14ac:dyDescent="0.2">
      <c r="B121" s="24" t="str">
        <f>IF(Lang="Français","Données pour les graphiques :",IF(Lang="English","Data for plots:",""))</f>
        <v>Données pour les graphiques :</v>
      </c>
      <c r="H121" s="43"/>
      <c r="I121" s="44"/>
      <c r="J121" s="43"/>
      <c r="L121" s="43"/>
      <c r="M121" s="43"/>
      <c r="N121" s="43"/>
      <c r="Q121" s="43"/>
      <c r="R121" s="43"/>
    </row>
    <row r="122" spans="2:18" x14ac:dyDescent="0.2">
      <c r="H122" s="43"/>
      <c r="I122" s="44"/>
      <c r="J122" s="43"/>
      <c r="L122" s="43"/>
      <c r="M122" s="43"/>
      <c r="N122" s="43"/>
      <c r="Q122" s="43"/>
      <c r="R122" s="43"/>
    </row>
    <row r="123" spans="2:18" x14ac:dyDescent="0.2">
      <c r="B123" s="45"/>
      <c r="C123" s="45" t="s">
        <v>68</v>
      </c>
      <c r="D123" s="45" t="s">
        <v>69</v>
      </c>
      <c r="E123" s="92" t="s">
        <v>70</v>
      </c>
      <c r="K123" s="45"/>
    </row>
    <row r="124" spans="2:18" x14ac:dyDescent="0.2">
      <c r="B124" s="45" t="s">
        <v>72</v>
      </c>
      <c r="C124" s="46">
        <f>-Long_ogive</f>
        <v>-275</v>
      </c>
      <c r="D124" s="46">
        <v>0</v>
      </c>
      <c r="E124" s="93">
        <f t="shared" ref="E124:E136" si="0">-D124</f>
        <v>0</v>
      </c>
      <c r="K124" s="46"/>
    </row>
    <row r="125" spans="2:18" x14ac:dyDescent="0.2">
      <c r="B125" s="45" t="s">
        <v>72</v>
      </c>
      <c r="C125" s="46">
        <f>-Long_ogive</f>
        <v>-275</v>
      </c>
      <c r="D125" s="46">
        <f>D_og/2</f>
        <v>42</v>
      </c>
      <c r="E125" s="93">
        <f t="shared" si="0"/>
        <v>-42</v>
      </c>
      <c r="K125" s="46"/>
    </row>
    <row r="126" spans="2:18" x14ac:dyDescent="0.2">
      <c r="B126" s="45" t="s">
        <v>73</v>
      </c>
      <c r="C126" s="46">
        <f>IF(AND(RIGHT(Nb_diam,1)=".",X_j), -X_j, C125 )</f>
        <v>-1250</v>
      </c>
      <c r="D126" s="46">
        <f>IF(AND(RIGHT(Nb_diam,1)=".",X_j), D1j/2, D125 )</f>
        <v>42</v>
      </c>
      <c r="E126" s="93">
        <f t="shared" si="0"/>
        <v>-42</v>
      </c>
      <c r="K126" s="46"/>
    </row>
    <row r="127" spans="2:18" x14ac:dyDescent="0.2">
      <c r="B127" s="45" t="s">
        <v>74</v>
      </c>
      <c r="C127" s="46">
        <f>IF(AND(RIGHT(Nb_diam,1)=".",X_j), -X_j-l_j, C126 )</f>
        <v>-1300</v>
      </c>
      <c r="D127" s="46">
        <f>IF(AND(RIGHT(Nb_diam,1)=".",X_j), D2j/2, D126 )</f>
        <v>52</v>
      </c>
      <c r="E127" s="93">
        <f t="shared" si="0"/>
        <v>-52</v>
      </c>
      <c r="K127" s="46"/>
    </row>
    <row r="128" spans="2:18" x14ac:dyDescent="0.2">
      <c r="B128" s="45" t="s">
        <v>75</v>
      </c>
      <c r="C128" s="46">
        <f>IF(AND(RIGHT(Nb_diam,1)=".",X_r), -X_r, C127 )</f>
        <v>-1300</v>
      </c>
      <c r="D128" s="46">
        <f>IF(AND(RIGHT(Nb_diam,1)=".",X_r), D1r/2, D127 )</f>
        <v>52</v>
      </c>
      <c r="E128" s="93">
        <f t="shared" si="0"/>
        <v>-52</v>
      </c>
      <c r="K128" s="46"/>
    </row>
    <row r="129" spans="2:11" x14ac:dyDescent="0.2">
      <c r="B129" s="45" t="s">
        <v>76</v>
      </c>
      <c r="C129" s="46">
        <f>IF(AND(RIGHT(Nb_diam,1)=".",X_r), -X_r-l_r, C128 )</f>
        <v>-1300</v>
      </c>
      <c r="D129" s="46">
        <f>IF(AND(RIGHT(Nb_diam,1)=".",X_r), D2r/2, D128 )</f>
        <v>52</v>
      </c>
      <c r="E129" s="93">
        <f t="shared" si="0"/>
        <v>-52</v>
      </c>
      <c r="K129" s="46"/>
    </row>
    <row r="130" spans="2:11" x14ac:dyDescent="0.2">
      <c r="B130" s="45" t="s">
        <v>77</v>
      </c>
      <c r="C130" s="46">
        <f>-Long_tot</f>
        <v>-2150</v>
      </c>
      <c r="D130" s="46">
        <f>D129</f>
        <v>52</v>
      </c>
      <c r="E130" s="93">
        <f t="shared" si="0"/>
        <v>-52</v>
      </c>
      <c r="K130" s="46"/>
    </row>
    <row r="131" spans="2:11" x14ac:dyDescent="0.2">
      <c r="B131" s="45" t="s">
        <v>77</v>
      </c>
      <c r="C131" s="46">
        <f>-Long_tot</f>
        <v>-2150</v>
      </c>
      <c r="D131" s="46">
        <v>0</v>
      </c>
      <c r="E131" s="93">
        <f t="shared" si="0"/>
        <v>0</v>
      </c>
      <c r="K131" s="46"/>
    </row>
    <row r="132" spans="2:11" x14ac:dyDescent="0.2">
      <c r="B132" s="183" t="s">
        <v>78</v>
      </c>
      <c r="C132" s="197">
        <f>-X_ail+m_ail</f>
        <v>-1970</v>
      </c>
      <c r="D132" s="197">
        <f>D_ail/2</f>
        <v>52</v>
      </c>
      <c r="E132" s="198">
        <f t="shared" si="0"/>
        <v>-52</v>
      </c>
      <c r="K132" s="46"/>
    </row>
    <row r="133" spans="2:11" x14ac:dyDescent="0.2">
      <c r="B133" s="185" t="s">
        <v>79</v>
      </c>
      <c r="C133" s="46">
        <f>-X_ail+m_ail-p_ail</f>
        <v>-2130</v>
      </c>
      <c r="D133" s="46">
        <f>D_ail/2+E_ail</f>
        <v>162</v>
      </c>
      <c r="E133" s="199">
        <f t="shared" si="0"/>
        <v>-162</v>
      </c>
      <c r="K133" s="46"/>
    </row>
    <row r="134" spans="2:11" x14ac:dyDescent="0.2">
      <c r="B134" s="185" t="s">
        <v>80</v>
      </c>
      <c r="C134" s="46">
        <f>-X_ail+m_ail-p_ail-n_ail</f>
        <v>-2210</v>
      </c>
      <c r="D134" s="46">
        <f>D_ail/2+E_ail</f>
        <v>162</v>
      </c>
      <c r="E134" s="199">
        <f t="shared" si="0"/>
        <v>-162</v>
      </c>
      <c r="K134" s="46"/>
    </row>
    <row r="135" spans="2:11" x14ac:dyDescent="0.2">
      <c r="B135" s="185" t="s">
        <v>81</v>
      </c>
      <c r="C135" s="46">
        <f>-X_ail</f>
        <v>-2150</v>
      </c>
      <c r="D135" s="46">
        <f>D_ail/2</f>
        <v>52</v>
      </c>
      <c r="E135" s="199">
        <f t="shared" si="0"/>
        <v>-52</v>
      </c>
      <c r="K135" s="46"/>
    </row>
    <row r="136" spans="2:11" x14ac:dyDescent="0.2">
      <c r="B136" s="187" t="s">
        <v>78</v>
      </c>
      <c r="C136" s="200">
        <f>-X_ail+m_ail</f>
        <v>-1970</v>
      </c>
      <c r="D136" s="200">
        <f>D_ail/2</f>
        <v>52</v>
      </c>
      <c r="E136" s="201">
        <f t="shared" si="0"/>
        <v>-52</v>
      </c>
      <c r="K136" s="46"/>
    </row>
    <row r="137" spans="2:11" x14ac:dyDescent="0.2">
      <c r="B137" s="192" t="str">
        <f>IF(E_ail&gt;0,IF(Lang="Français","Envergure","Span"),"")</f>
        <v>Envergure</v>
      </c>
      <c r="C137" s="197">
        <f>MIN(-X_ail,-X_ail+m_ail-p_ail-n_ail)-Long_tot/30</f>
        <v>-2281.6666666666665</v>
      </c>
      <c r="D137" s="207">
        <f>-D_ail/2-E_ail</f>
        <v>-162</v>
      </c>
      <c r="E137" s="93"/>
      <c r="K137" s="46"/>
    </row>
    <row r="138" spans="2:11" x14ac:dyDescent="0.2">
      <c r="B138" s="195" t="s">
        <v>166</v>
      </c>
      <c r="C138" s="46">
        <f>MIN(-X_ail,-X_ail+m_ail-p_ail-n_ail)-Long_tot/30</f>
        <v>-2281.6666666666665</v>
      </c>
      <c r="D138" s="208">
        <f>-D_ail/2-E_ail/2</f>
        <v>-107</v>
      </c>
      <c r="E138" s="93"/>
      <c r="K138" s="46"/>
    </row>
    <row r="139" spans="2:11" x14ac:dyDescent="0.2">
      <c r="B139" s="212" t="s">
        <v>162</v>
      </c>
      <c r="C139" s="200">
        <f>MIN(-X_ail,-X_ail+m_ail-p_ail-n_ail)-Long_tot/30</f>
        <v>-2281.6666666666665</v>
      </c>
      <c r="D139" s="209">
        <f>-D_ail/2</f>
        <v>-52</v>
      </c>
      <c r="E139" s="93"/>
      <c r="K139" s="46"/>
    </row>
    <row r="140" spans="2:11" x14ac:dyDescent="0.2">
      <c r="B140" s="192" t="str">
        <f>IF(Lang="Français","Emplanture","Root edge")</f>
        <v>Emplanture</v>
      </c>
      <c r="C140" s="197">
        <f>-X_ail+m_ail</f>
        <v>-1970</v>
      </c>
      <c r="D140" s="207">
        <f>D_ail/2+E_ail+Long_tot/20</f>
        <v>269.5</v>
      </c>
      <c r="E140" s="93"/>
      <c r="K140" s="46"/>
    </row>
    <row r="141" spans="2:11" x14ac:dyDescent="0.2">
      <c r="B141" s="195" t="s">
        <v>168</v>
      </c>
      <c r="C141" s="46">
        <f>-X_ail+m_ail/2</f>
        <v>-2060</v>
      </c>
      <c r="D141" s="208">
        <f>D_ail/2+E_ail+Long_tot/20</f>
        <v>269.5</v>
      </c>
      <c r="E141" s="93"/>
      <c r="K141" s="46"/>
    </row>
    <row r="142" spans="2:11" x14ac:dyDescent="0.2">
      <c r="B142" s="212" t="s">
        <v>169</v>
      </c>
      <c r="C142" s="200">
        <f>-X_ail</f>
        <v>-2150</v>
      </c>
      <c r="D142" s="209">
        <f>D_ail/2+E_ail+Long_tot/20</f>
        <v>269.5</v>
      </c>
      <c r="E142" s="93"/>
      <c r="K142" s="46"/>
    </row>
    <row r="143" spans="2:11" x14ac:dyDescent="0.2">
      <c r="B143" s="192" t="str">
        <f>IF(p_ail&lt;&gt;0,IF(Lang="Français","Flèche","Offset"),"")</f>
        <v>Flèche</v>
      </c>
      <c r="C143" s="197">
        <f>-X_ail+m_ail</f>
        <v>-1970</v>
      </c>
      <c r="D143" s="207">
        <f>-D_ail/2-E_ail-Long_tot/30</f>
        <v>-233.66666666666669</v>
      </c>
      <c r="E143" s="93"/>
      <c r="K143" s="46"/>
    </row>
    <row r="144" spans="2:11" x14ac:dyDescent="0.2">
      <c r="B144" s="195" t="s">
        <v>165</v>
      </c>
      <c r="C144" s="46">
        <f>-X_ail+m_ail-p_ail/2</f>
        <v>-2050</v>
      </c>
      <c r="D144" s="208">
        <f>-D_ail/2-E_ail-Long_tot/30</f>
        <v>-233.66666666666669</v>
      </c>
      <c r="E144" s="93"/>
      <c r="K144" s="46"/>
    </row>
    <row r="145" spans="2:11" x14ac:dyDescent="0.2">
      <c r="B145" s="212" t="s">
        <v>163</v>
      </c>
      <c r="C145" s="200">
        <f>-X_ail+m_ail-p_ail</f>
        <v>-2130</v>
      </c>
      <c r="D145" s="209">
        <f>-D_ail/2-E_ail-Long_tot/30</f>
        <v>-233.66666666666669</v>
      </c>
      <c r="E145" s="93"/>
      <c r="K145" s="46"/>
    </row>
    <row r="146" spans="2:11" x14ac:dyDescent="0.2">
      <c r="B146" s="192" t="str">
        <f>IF(n_ail&gt;0,IF(Lang="Français","Saumon","Tip edge"),"")</f>
        <v>Saumon</v>
      </c>
      <c r="C146" s="197">
        <f>-X_ail+m_ail-p_ail</f>
        <v>-2130</v>
      </c>
      <c r="D146" s="207">
        <f>-D_ail/2-E_ail-Long_tot/20</f>
        <v>-269.5</v>
      </c>
      <c r="E146" s="93"/>
      <c r="K146" s="46"/>
    </row>
    <row r="147" spans="2:11" x14ac:dyDescent="0.2">
      <c r="B147" s="195" t="s">
        <v>167</v>
      </c>
      <c r="C147" s="46">
        <f>-X_ail+m_ail-p_ail-n_ail/2</f>
        <v>-2170</v>
      </c>
      <c r="D147" s="208">
        <f>-D_ail/2-E_ail-Long_tot/20</f>
        <v>-269.5</v>
      </c>
      <c r="E147" s="93"/>
      <c r="K147" s="46"/>
    </row>
    <row r="148" spans="2:11" x14ac:dyDescent="0.2">
      <c r="B148" s="212" t="s">
        <v>164</v>
      </c>
      <c r="C148" s="200">
        <f>-X_ail+m_ail-p_ail-n_ail</f>
        <v>-2210</v>
      </c>
      <c r="D148" s="209">
        <f>-D_ail/2-E_ail-Long_tot/20</f>
        <v>-269.5</v>
      </c>
      <c r="E148" s="93"/>
      <c r="K148" s="46"/>
    </row>
    <row r="149" spans="2:11" x14ac:dyDescent="0.2">
      <c r="B149" s="183" t="s">
        <v>82</v>
      </c>
      <c r="C149" s="197">
        <f ca="1">-XcgPlein</f>
        <v>-1302.9247417609445</v>
      </c>
      <c r="D149" s="207">
        <v>0</v>
      </c>
      <c r="E149" s="93"/>
      <c r="K149" s="46"/>
    </row>
    <row r="150" spans="2:11" x14ac:dyDescent="0.2">
      <c r="B150" s="187" t="s">
        <v>83</v>
      </c>
      <c r="C150" s="200">
        <f ca="1">-XcgVide</f>
        <v>-1218.3636363636363</v>
      </c>
      <c r="D150" s="209">
        <v>0</v>
      </c>
      <c r="E150" s="93"/>
      <c r="K150" s="46"/>
    </row>
    <row r="151" spans="2:11" x14ac:dyDescent="0.2">
      <c r="B151" s="183" t="s">
        <v>84</v>
      </c>
      <c r="C151" s="197">
        <f>-XCp</f>
        <v>-1373.9675771484433</v>
      </c>
      <c r="D151" s="207">
        <v>0</v>
      </c>
      <c r="E151" s="93"/>
      <c r="K151" s="46"/>
    </row>
    <row r="152" spans="2:11" x14ac:dyDescent="0.2">
      <c r="B152" s="187" t="s">
        <v>84</v>
      </c>
      <c r="C152" s="200">
        <f>-XCp</f>
        <v>-1373.9675771484433</v>
      </c>
      <c r="D152" s="209">
        <f>Cn*D_ref/CritCnmin</f>
        <v>122.64967534396082</v>
      </c>
      <c r="E152" s="93"/>
      <c r="K152" s="46"/>
    </row>
    <row r="153" spans="2:11" x14ac:dyDescent="0.2">
      <c r="B153" s="185" t="s">
        <v>422</v>
      </c>
      <c r="C153" s="46">
        <f>-XCp0</f>
        <v>-1522.8207638756328</v>
      </c>
      <c r="D153" s="208">
        <f>Cn0*D_ref/CritCnmin</f>
        <v>155.91270119648706</v>
      </c>
      <c r="E153" s="93"/>
      <c r="K153" s="46"/>
    </row>
    <row r="154" spans="2:11" x14ac:dyDescent="0.2">
      <c r="B154" s="185" t="s">
        <v>422</v>
      </c>
      <c r="C154" s="46">
        <f>-XCp0</f>
        <v>-1522.8207638756328</v>
      </c>
      <c r="D154" s="208">
        <v>0</v>
      </c>
      <c r="E154" s="93"/>
      <c r="K154" s="46"/>
    </row>
    <row r="155" spans="2:11" x14ac:dyDescent="0.2">
      <c r="B155" s="192" t="str">
        <f>IF(n_ail&gt;0,IF(Lang="Français","Marge Statique","Static Margin"),"")</f>
        <v>Marge Statique</v>
      </c>
      <c r="C155" s="197">
        <f ca="1">(-XcgPlein-XcgVide)/2</f>
        <v>-1260.6441890622905</v>
      </c>
      <c r="D155" s="207">
        <f>-D_ail/2-E_ail-Long_tot/20</f>
        <v>-269.5</v>
      </c>
      <c r="E155" s="93"/>
      <c r="K155" s="46"/>
    </row>
    <row r="156" spans="2:11" x14ac:dyDescent="0.2">
      <c r="B156" s="195" t="s">
        <v>170</v>
      </c>
      <c r="C156" s="46">
        <f ca="1">(C155+C157)/2</f>
        <v>-1317.3058831053668</v>
      </c>
      <c r="D156" s="208">
        <f>-D_ail/2-E_ail-Long_tot/20</f>
        <v>-269.5</v>
      </c>
      <c r="E156" s="93"/>
      <c r="K156" s="46"/>
    </row>
    <row r="157" spans="2:11" x14ac:dyDescent="0.2">
      <c r="B157" s="212" t="s">
        <v>171</v>
      </c>
      <c r="C157" s="200">
        <f>-XCp</f>
        <v>-1373.9675771484433</v>
      </c>
      <c r="D157" s="209">
        <f>-D_ail/2-E_ail-Long_tot/20</f>
        <v>-269.5</v>
      </c>
      <c r="E157" s="93"/>
      <c r="K157" s="46"/>
    </row>
    <row r="158" spans="2:11" x14ac:dyDescent="0.2">
      <c r="B158" s="183" t="s">
        <v>85</v>
      </c>
      <c r="C158" s="197">
        <f>IF(LEFT(Type_masquage,1)="M",0,-X_can+m_can)</f>
        <v>-1070</v>
      </c>
      <c r="D158" s="197">
        <f>IF(LEFT(Type_masquage,1)="M",0,D_ail/2)</f>
        <v>52</v>
      </c>
      <c r="E158" s="198">
        <f t="shared" ref="E158:E167" si="1">-D158</f>
        <v>-52</v>
      </c>
      <c r="K158" s="46"/>
    </row>
    <row r="159" spans="2:11" x14ac:dyDescent="0.2">
      <c r="B159" s="185" t="s">
        <v>86</v>
      </c>
      <c r="C159" s="46">
        <f>IF(LEFT(Type_masquage,1)="M",0,-X_can+m_can-p_can)</f>
        <v>-1230</v>
      </c>
      <c r="D159" s="46">
        <f>IF(LEFT(Type_masquage,1)="M",0,D_ail/2+E_can)</f>
        <v>162</v>
      </c>
      <c r="E159" s="199">
        <f t="shared" si="1"/>
        <v>-162</v>
      </c>
      <c r="K159" s="46"/>
    </row>
    <row r="160" spans="2:11" x14ac:dyDescent="0.2">
      <c r="B160" s="185" t="s">
        <v>87</v>
      </c>
      <c r="C160" s="46">
        <f>IF(LEFT(Type_masquage,1)="M",0,-X_can+m_can-p_can-n_can)</f>
        <v>-1310</v>
      </c>
      <c r="D160" s="46">
        <f>IF(LEFT(Type_masquage,1)="M",0,D_ail/2+E_can)</f>
        <v>162</v>
      </c>
      <c r="E160" s="199">
        <f t="shared" si="1"/>
        <v>-162</v>
      </c>
      <c r="K160" s="46"/>
    </row>
    <row r="161" spans="2:11" x14ac:dyDescent="0.2">
      <c r="B161" s="185" t="s">
        <v>88</v>
      </c>
      <c r="C161" s="46">
        <f>IF(LEFT(Type_masquage,1)="M",0,-X_can)</f>
        <v>-1250</v>
      </c>
      <c r="D161" s="46">
        <f>IF(LEFT(Type_masquage,1)="M",0,D_ail/2)</f>
        <v>52</v>
      </c>
      <c r="E161" s="199">
        <f t="shared" si="1"/>
        <v>-52</v>
      </c>
      <c r="K161" s="46"/>
    </row>
    <row r="162" spans="2:11" x14ac:dyDescent="0.2">
      <c r="B162" s="187" t="s">
        <v>85</v>
      </c>
      <c r="C162" s="200">
        <f>IF(LEFT(Type_masquage,1)="M",0,-X_can+m_can)</f>
        <v>-1070</v>
      </c>
      <c r="D162" s="200">
        <f>IF(LEFT(Type_masquage,1)="M",0,D_ail/2)</f>
        <v>52</v>
      </c>
      <c r="E162" s="201">
        <f t="shared" si="1"/>
        <v>-52</v>
      </c>
      <c r="K162" s="46"/>
    </row>
    <row r="163" spans="2:11" x14ac:dyDescent="0.2">
      <c r="B163" s="183" t="s">
        <v>89</v>
      </c>
      <c r="C163" s="197">
        <f>IF(LEFT(Type_masquage,1)="B",-X_int+m_int,0)</f>
        <v>-1970</v>
      </c>
      <c r="D163" s="197">
        <f>IF(LEFT(Type_masquage,1)="B",D_int/2,0)</f>
        <v>52</v>
      </c>
      <c r="E163" s="198">
        <f t="shared" si="1"/>
        <v>-52</v>
      </c>
      <c r="K163" s="46"/>
    </row>
    <row r="164" spans="2:11" x14ac:dyDescent="0.2">
      <c r="B164" s="185" t="s">
        <v>90</v>
      </c>
      <c r="C164" s="46">
        <f>IF(LEFT(Type_masquage,1)="B",-X_int+m_int-p_int,0)</f>
        <v>-2122.7272727272725</v>
      </c>
      <c r="D164" s="46">
        <f>IF(LEFT(Type_masquage,1)="B",D_int/2+E_int,0)</f>
        <v>157</v>
      </c>
      <c r="E164" s="199">
        <f t="shared" si="1"/>
        <v>-157</v>
      </c>
      <c r="K164" s="46"/>
    </row>
    <row r="165" spans="2:11" x14ac:dyDescent="0.2">
      <c r="B165" s="185" t="s">
        <v>91</v>
      </c>
      <c r="C165" s="46">
        <f>IF(LEFT(Type_masquage,1)="B",-X_int+m_int-p_int-n_int,0)</f>
        <v>-2207.272727272727</v>
      </c>
      <c r="D165" s="46">
        <f>IF(LEFT(Type_masquage,1)="B",D_int/2+E_int,0)</f>
        <v>157</v>
      </c>
      <c r="E165" s="199">
        <f t="shared" si="1"/>
        <v>-157</v>
      </c>
      <c r="K165" s="46"/>
    </row>
    <row r="166" spans="2:11" x14ac:dyDescent="0.2">
      <c r="B166" s="185" t="s">
        <v>92</v>
      </c>
      <c r="C166" s="46">
        <f>IF(LEFT(Type_masquage,1)="B",-X_int,0)</f>
        <v>-2150</v>
      </c>
      <c r="D166" s="46">
        <f>IF(LEFT(Type_masquage,1)="B",D_int/2,0)</f>
        <v>52</v>
      </c>
      <c r="E166" s="199">
        <f t="shared" si="1"/>
        <v>-52</v>
      </c>
      <c r="K166" s="46"/>
    </row>
    <row r="167" spans="2:11" x14ac:dyDescent="0.2">
      <c r="B167" s="187" t="s">
        <v>89</v>
      </c>
      <c r="C167" s="200">
        <f>IF(LEFT(Type_masquage,1)="B",-X_int+m_int,0)</f>
        <v>-1970</v>
      </c>
      <c r="D167" s="200">
        <f>IF(LEFT(Type_masquage,1)="B",D_int/2,0)</f>
        <v>52</v>
      </c>
      <c r="E167" s="201">
        <f t="shared" si="1"/>
        <v>-52</v>
      </c>
      <c r="K167" s="46"/>
    </row>
    <row r="168" spans="2:11" x14ac:dyDescent="0.2">
      <c r="B168" s="45" t="s">
        <v>93</v>
      </c>
      <c r="C168" s="46">
        <f>-MAX(Long_tot, X_ail-m_ail+p_ail+n_ail, (E_ail+D_ail/2)*3.2)*1.01</f>
        <v>-2232.1</v>
      </c>
      <c r="D168" s="46">
        <f>MAX(E_ail+D_ail/2, Long_tot/3)</f>
        <v>716.66666666666663</v>
      </c>
      <c r="E168" s="93"/>
      <c r="K168" s="46"/>
    </row>
    <row r="169" spans="2:11" x14ac:dyDescent="0.2">
      <c r="B169" s="45" t="s">
        <v>93</v>
      </c>
      <c r="C169" s="46">
        <f>C168</f>
        <v>-2232.1</v>
      </c>
      <c r="D169" s="46">
        <f>-D168</f>
        <v>-716.66666666666663</v>
      </c>
      <c r="E169" s="93"/>
      <c r="K169" s="46"/>
    </row>
    <row r="170" spans="2:11" x14ac:dyDescent="0.2">
      <c r="B170" s="183" t="s">
        <v>94</v>
      </c>
      <c r="C170" s="197">
        <f ca="1">-XpropuRef+Long_propu</f>
        <v>-1662</v>
      </c>
      <c r="D170" s="207">
        <f ca="1">-Diam_propu/2</f>
        <v>-27</v>
      </c>
      <c r="E170" s="93"/>
      <c r="K170" s="46"/>
    </row>
    <row r="171" spans="2:11" x14ac:dyDescent="0.2">
      <c r="B171" s="185" t="s">
        <v>95</v>
      </c>
      <c r="C171" s="46">
        <f ca="1">-XpropuRef+Long_propu</f>
        <v>-1662</v>
      </c>
      <c r="D171" s="208">
        <f ca="1">Diam_propu/2</f>
        <v>27</v>
      </c>
      <c r="E171" s="93"/>
      <c r="K171" s="46"/>
    </row>
    <row r="172" spans="2:11" x14ac:dyDescent="0.2">
      <c r="B172" s="185" t="s">
        <v>96</v>
      </c>
      <c r="C172" s="46">
        <f>-XpropuRef</f>
        <v>-2150</v>
      </c>
      <c r="D172" s="208">
        <f ca="1">Diam_propu/2</f>
        <v>27</v>
      </c>
      <c r="E172" s="93"/>
      <c r="K172" s="46"/>
    </row>
    <row r="173" spans="2:11" x14ac:dyDescent="0.2">
      <c r="B173" s="185" t="s">
        <v>97</v>
      </c>
      <c r="C173" s="46">
        <f>-XpropuRef</f>
        <v>-2150</v>
      </c>
      <c r="D173" s="208">
        <f ca="1">-Diam_propu/2</f>
        <v>-27</v>
      </c>
      <c r="E173" s="93"/>
      <c r="K173" s="46"/>
    </row>
    <row r="174" spans="2:11" x14ac:dyDescent="0.2">
      <c r="B174" s="187" t="s">
        <v>98</v>
      </c>
      <c r="C174" s="200">
        <f ca="1">-XpropuRef+Long_propu</f>
        <v>-1662</v>
      </c>
      <c r="D174" s="209">
        <f ca="1">-Diam_propu/2</f>
        <v>-27</v>
      </c>
      <c r="E174" s="93"/>
      <c r="F174" s="192" t="s">
        <v>159</v>
      </c>
      <c r="G174" s="193" t="s">
        <v>160</v>
      </c>
      <c r="H174" s="194" t="s">
        <v>161</v>
      </c>
      <c r="K174" s="46"/>
    </row>
    <row r="175" spans="2:11" x14ac:dyDescent="0.2">
      <c r="B175" s="183" t="s">
        <v>71</v>
      </c>
      <c r="C175" s="197">
        <v>0</v>
      </c>
      <c r="D175" s="197">
        <v>0</v>
      </c>
      <c r="E175" s="198">
        <f t="shared" ref="E175:E180" si="2">-D175</f>
        <v>0</v>
      </c>
      <c r="F175" s="195">
        <v>0</v>
      </c>
      <c r="G175" s="45">
        <v>0</v>
      </c>
      <c r="H175" s="189">
        <v>0</v>
      </c>
      <c r="K175" s="46"/>
    </row>
    <row r="176" spans="2:11" x14ac:dyDescent="0.2">
      <c r="B176" s="185" t="s">
        <v>72</v>
      </c>
      <c r="C176" s="46">
        <f>-Long_ogive*0.1</f>
        <v>-27.5</v>
      </c>
      <c r="D176" s="46">
        <f>IF(LEFT(Forme_ogive,5)="Parab",H176,IF(LEFT(Forme_ogive,4)="Ogiv",G176,IF(LEFT(Forme_ogive,3)="Con",F176)))</f>
        <v>4.2</v>
      </c>
      <c r="E176" s="199">
        <f t="shared" si="2"/>
        <v>-4.2</v>
      </c>
      <c r="F176" s="185">
        <f>D_og/2*0.1</f>
        <v>4.2</v>
      </c>
      <c r="G176" s="45">
        <f>D_og/2*0.2</f>
        <v>8.4</v>
      </c>
      <c r="H176" s="189">
        <f>D_og/2*0.5</f>
        <v>21</v>
      </c>
      <c r="K176" s="46"/>
    </row>
    <row r="177" spans="2:11" x14ac:dyDescent="0.2">
      <c r="B177" s="185" t="s">
        <v>72</v>
      </c>
      <c r="C177" s="46">
        <f>-Long_ogive/4</f>
        <v>-68.75</v>
      </c>
      <c r="D177" s="46">
        <f>IF(LEFT(Forme_ogive,5)="Parab",H177,IF(LEFT(Forme_ogive,4)="Ogiv",G177,IF(LEFT(Forme_ogive,3)="Con",F177)))</f>
        <v>10.5</v>
      </c>
      <c r="E177" s="199">
        <f t="shared" si="2"/>
        <v>-10.5</v>
      </c>
      <c r="F177" s="185">
        <f>D_og/2*1/4</f>
        <v>10.5</v>
      </c>
      <c r="G177" s="45">
        <f>D_og/2/2</f>
        <v>21</v>
      </c>
      <c r="H177" s="189">
        <f>D_og/2*0.7</f>
        <v>29.4</v>
      </c>
      <c r="K177" s="46"/>
    </row>
    <row r="178" spans="2:11" x14ac:dyDescent="0.2">
      <c r="B178" s="185" t="s">
        <v>72</v>
      </c>
      <c r="C178" s="46">
        <f>-Long_ogive/2</f>
        <v>-137.5</v>
      </c>
      <c r="D178" s="46">
        <f>IF(LEFT(Forme_ogive,5)="Parab",H178,IF(LEFT(Forme_ogive,4)="Ogiv",G178,IF(LEFT(Forme_ogive,3)="Con",F178)))</f>
        <v>21</v>
      </c>
      <c r="E178" s="199">
        <f t="shared" si="2"/>
        <v>-21</v>
      </c>
      <c r="F178" s="185">
        <f>D_og/2/2</f>
        <v>21</v>
      </c>
      <c r="G178" s="45">
        <f>D_og/2*3/4</f>
        <v>31.5</v>
      </c>
      <c r="H178" s="189">
        <f>D_og/2*0.88</f>
        <v>36.96</v>
      </c>
      <c r="K178" s="46"/>
    </row>
    <row r="179" spans="2:11" x14ac:dyDescent="0.2">
      <c r="B179" s="185" t="s">
        <v>72</v>
      </c>
      <c r="C179" s="46">
        <f>-Long_ogive*3/4</f>
        <v>-206.25</v>
      </c>
      <c r="D179" s="46">
        <f>IF(LEFT(Forme_ogive,5)="Parab",H179,IF(LEFT(Forme_ogive,4)="Ogiv",G179,IF(LEFT(Forme_ogive,3)="Con",F179)))</f>
        <v>31.5</v>
      </c>
      <c r="E179" s="199">
        <f t="shared" si="2"/>
        <v>-31.5</v>
      </c>
      <c r="F179" s="185">
        <f>D_og/2*3/4</f>
        <v>31.5</v>
      </c>
      <c r="G179" s="45">
        <f>D_og/2*0.9</f>
        <v>37.800000000000004</v>
      </c>
      <c r="H179" s="189">
        <f>D_og/2*0.95</f>
        <v>39.9</v>
      </c>
      <c r="K179" s="46"/>
    </row>
    <row r="180" spans="2:11" x14ac:dyDescent="0.2">
      <c r="B180" s="187" t="s">
        <v>72</v>
      </c>
      <c r="C180" s="200">
        <f>-Long_ogive</f>
        <v>-275</v>
      </c>
      <c r="D180" s="200">
        <f>D_og/2</f>
        <v>42</v>
      </c>
      <c r="E180" s="201">
        <f t="shared" si="2"/>
        <v>-42</v>
      </c>
      <c r="F180" s="187">
        <f>D_og/2</f>
        <v>42</v>
      </c>
      <c r="G180" s="196">
        <f>D_og/2</f>
        <v>42</v>
      </c>
      <c r="H180" s="190">
        <f>D_og/2</f>
        <v>42</v>
      </c>
      <c r="K180" s="26"/>
    </row>
    <row r="181" spans="2:11" x14ac:dyDescent="0.2">
      <c r="B181" s="45" t="s">
        <v>99</v>
      </c>
      <c r="C181" s="45" t="s">
        <v>100</v>
      </c>
      <c r="D181" s="183" t="s">
        <v>99</v>
      </c>
      <c r="E181" s="204" t="s">
        <v>100</v>
      </c>
      <c r="K181" s="45"/>
    </row>
    <row r="182" spans="2:11" x14ac:dyDescent="0.2">
      <c r="B182" s="183">
        <v>0</v>
      </c>
      <c r="C182" s="202">
        <f>CritCnmin</f>
        <v>15</v>
      </c>
      <c r="D182" s="185">
        <v>0.5</v>
      </c>
      <c r="E182" s="205">
        <f t="shared" ref="E182:E187" si="3">CritMsCnmin/D182</f>
        <v>80</v>
      </c>
      <c r="K182" s="45"/>
    </row>
    <row r="183" spans="2:11" x14ac:dyDescent="0.2">
      <c r="B183" s="187">
        <v>7</v>
      </c>
      <c r="C183" s="196">
        <f>CritCnmin</f>
        <v>15</v>
      </c>
      <c r="D183" s="185">
        <v>1</v>
      </c>
      <c r="E183" s="205">
        <f t="shared" si="3"/>
        <v>40</v>
      </c>
      <c r="K183" s="45"/>
    </row>
    <row r="184" spans="2:11" x14ac:dyDescent="0.2">
      <c r="B184" s="183">
        <v>0</v>
      </c>
      <c r="C184" s="202">
        <f>CritCnmax</f>
        <v>40</v>
      </c>
      <c r="D184" s="185">
        <v>2</v>
      </c>
      <c r="E184" s="205">
        <f t="shared" si="3"/>
        <v>20</v>
      </c>
      <c r="K184" s="45"/>
    </row>
    <row r="185" spans="2:11" x14ac:dyDescent="0.2">
      <c r="B185" s="187">
        <v>7</v>
      </c>
      <c r="C185" s="196">
        <f>CritCnmax</f>
        <v>40</v>
      </c>
      <c r="D185" s="185">
        <v>3</v>
      </c>
      <c r="E185" s="205">
        <f t="shared" si="3"/>
        <v>13.333333333333334</v>
      </c>
      <c r="K185" s="45"/>
    </row>
    <row r="186" spans="2:11" x14ac:dyDescent="0.2">
      <c r="B186" s="183">
        <f>CritMsmin</f>
        <v>2</v>
      </c>
      <c r="C186" s="202">
        <v>0</v>
      </c>
      <c r="D186" s="185">
        <v>5</v>
      </c>
      <c r="E186" s="205">
        <f t="shared" si="3"/>
        <v>8</v>
      </c>
      <c r="K186" s="45"/>
    </row>
    <row r="187" spans="2:11" x14ac:dyDescent="0.2">
      <c r="B187" s="187">
        <f>CritMsmin</f>
        <v>2</v>
      </c>
      <c r="C187" s="196">
        <v>55</v>
      </c>
      <c r="D187" s="185">
        <v>7</v>
      </c>
      <c r="E187" s="205">
        <f t="shared" si="3"/>
        <v>5.7142857142857144</v>
      </c>
      <c r="K187" s="45"/>
    </row>
    <row r="188" spans="2:11" x14ac:dyDescent="0.2">
      <c r="B188" s="183">
        <f>CritMsmax</f>
        <v>6</v>
      </c>
      <c r="C188" s="202">
        <v>0</v>
      </c>
      <c r="D188" s="185">
        <v>1</v>
      </c>
      <c r="E188" s="205">
        <f t="shared" ref="E188:E193" si="4">CritMsCnmax/D188</f>
        <v>100</v>
      </c>
      <c r="K188" s="45"/>
    </row>
    <row r="189" spans="2:11" x14ac:dyDescent="0.2">
      <c r="B189" s="187">
        <f>CritMsmax</f>
        <v>6</v>
      </c>
      <c r="C189" s="196">
        <v>55</v>
      </c>
      <c r="D189" s="185">
        <v>2</v>
      </c>
      <c r="E189" s="205">
        <f t="shared" si="4"/>
        <v>50</v>
      </c>
      <c r="K189" s="45"/>
    </row>
    <row r="190" spans="2:11" x14ac:dyDescent="0.2">
      <c r="B190" s="191">
        <f ca="1">MS_min</f>
        <v>0.75577484454785981</v>
      </c>
      <c r="C190" s="203">
        <f>Cn</f>
        <v>19.571756703823535</v>
      </c>
      <c r="D190" s="185">
        <v>3</v>
      </c>
      <c r="E190" s="205">
        <f t="shared" si="4"/>
        <v>33.333333333333336</v>
      </c>
      <c r="K190" s="45"/>
    </row>
    <row r="191" spans="2:11" x14ac:dyDescent="0.2">
      <c r="B191" s="512">
        <f ca="1">(XCp0-XcgPlein)/D_ref</f>
        <v>2.339319384198812</v>
      </c>
      <c r="C191" s="513">
        <f>Cn0</f>
        <v>24.879686361141552</v>
      </c>
      <c r="D191" s="185">
        <v>4</v>
      </c>
      <c r="E191" s="205">
        <f t="shared" si="4"/>
        <v>25</v>
      </c>
      <c r="K191" s="45"/>
    </row>
    <row r="192" spans="2:11" x14ac:dyDescent="0.2">
      <c r="B192" s="512">
        <f ca="1">(XCp0-XcgVide)/D_ref</f>
        <v>3.2389056118297503</v>
      </c>
      <c r="C192" s="513">
        <f>Cn0</f>
        <v>24.879686361141552</v>
      </c>
      <c r="D192" s="185">
        <v>6</v>
      </c>
      <c r="E192" s="205">
        <f t="shared" si="4"/>
        <v>16.666666666666668</v>
      </c>
      <c r="K192" s="45"/>
    </row>
    <row r="193" spans="2:11" x14ac:dyDescent="0.2">
      <c r="B193" s="512">
        <f ca="1">(XCp-XcgVide)/D_ref</f>
        <v>1.6553610721787984</v>
      </c>
      <c r="C193" s="513">
        <f>Cn</f>
        <v>19.571756703823535</v>
      </c>
      <c r="D193" s="187">
        <v>7</v>
      </c>
      <c r="E193" s="206">
        <f t="shared" si="4"/>
        <v>14.285714285714286</v>
      </c>
      <c r="K193" s="45"/>
    </row>
    <row r="194" spans="2:11" x14ac:dyDescent="0.2">
      <c r="B194" s="512">
        <f ca="1">MS_min</f>
        <v>0.75577484454785981</v>
      </c>
      <c r="C194" s="514">
        <f>Cn</f>
        <v>19.571756703823535</v>
      </c>
      <c r="D194" s="45"/>
      <c r="E194" s="92"/>
      <c r="K194" s="45"/>
    </row>
    <row r="195" spans="2:11" x14ac:dyDescent="0.2">
      <c r="B195" s="183">
        <v>0</v>
      </c>
      <c r="C195" s="202">
        <f>(CritCnmin+CritCnmax)/2</f>
        <v>27.5</v>
      </c>
      <c r="D195" s="26"/>
      <c r="E195" s="90"/>
      <c r="K195" s="26"/>
    </row>
    <row r="196" spans="2:11" x14ac:dyDescent="0.2">
      <c r="B196" s="185">
        <f>MAX(CritMsmin,CritMsCnmin/C196)</f>
        <v>2</v>
      </c>
      <c r="C196" s="45">
        <f>(CritCnmin+CritCnmax)/2</f>
        <v>27.5</v>
      </c>
      <c r="D196" s="26"/>
      <c r="E196" s="90"/>
      <c r="K196" s="26"/>
    </row>
    <row r="197" spans="2:11" x14ac:dyDescent="0.2">
      <c r="B197" s="185">
        <f>MIN(CritMsmax,CritMsCnmax/C197)</f>
        <v>3.6363636363636362</v>
      </c>
      <c r="C197" s="189">
        <f>(CritCnmin+CritCnmax)/2</f>
        <v>27.5</v>
      </c>
    </row>
    <row r="198" spans="2:11" x14ac:dyDescent="0.2">
      <c r="B198" s="187">
        <v>7</v>
      </c>
      <c r="C198" s="190">
        <f>(CritCnmin+CritCnmax)/2</f>
        <v>27.5</v>
      </c>
    </row>
    <row r="199" spans="2:11" x14ac:dyDescent="0.2">
      <c r="B199" s="183">
        <f>(CritMsmin+CritMsmax)/2</f>
        <v>4</v>
      </c>
      <c r="C199" s="184">
        <v>0</v>
      </c>
    </row>
    <row r="200" spans="2:11" x14ac:dyDescent="0.2">
      <c r="B200" s="185">
        <f>(CritMsmin+CritMsmax)/2</f>
        <v>4</v>
      </c>
      <c r="C200" s="186">
        <f>MAX(CritCnmin,CritMsCnmin/B200)</f>
        <v>15</v>
      </c>
    </row>
    <row r="201" spans="2:11" x14ac:dyDescent="0.2">
      <c r="B201" s="185">
        <f>(CritMsmin+CritMsmax)/2</f>
        <v>4</v>
      </c>
      <c r="C201" s="186">
        <f>MIN(CritCnmax,CritMsCnmax/B201)</f>
        <v>25</v>
      </c>
    </row>
    <row r="202" spans="2:11" x14ac:dyDescent="0.2">
      <c r="B202" s="187">
        <f>(CritMsmin+CritMsmax)/2</f>
        <v>4</v>
      </c>
      <c r="C202" s="188">
        <v>55</v>
      </c>
    </row>
    <row r="203" spans="2:11" x14ac:dyDescent="0.2">
      <c r="D203" s="474"/>
    </row>
    <row r="204" spans="2:11" x14ac:dyDescent="0.2">
      <c r="B204" s="476" t="s">
        <v>405</v>
      </c>
      <c r="C204" s="31" t="b">
        <f ca="1">(OR(C205:C210))</f>
        <v>1</v>
      </c>
      <c r="D204" s="474"/>
    </row>
    <row r="205" spans="2:11" x14ac:dyDescent="0.2">
      <c r="B205" s="475" t="s">
        <v>402</v>
      </c>
      <c r="C205" s="474" t="b">
        <f ca="1">AND(Type_propu="H2O",RIGHT(Type_fusee,1)=" ")</f>
        <v>0</v>
      </c>
      <c r="D205" s="474"/>
    </row>
    <row r="206" spans="2:11" x14ac:dyDescent="0.2">
      <c r="B206" s="475" t="s">
        <v>118</v>
      </c>
      <c r="C206" s="474" t="b">
        <f ca="1">AND(Type_propu="Fusex",RIGHT(Type_fusee,1)=".")</f>
        <v>1</v>
      </c>
      <c r="D206" s="474"/>
    </row>
    <row r="207" spans="2:11" x14ac:dyDescent="0.2">
      <c r="B207" s="475" t="s">
        <v>403</v>
      </c>
      <c r="C207" s="474" t="b">
        <f ca="1">LEFT(Type_propu,5)=LEFT(Type_fusee,5)</f>
        <v>0</v>
      </c>
      <c r="D207" s="474"/>
    </row>
    <row r="208" spans="2:11" x14ac:dyDescent="0.2">
      <c r="B208" s="475" t="s">
        <v>404</v>
      </c>
      <c r="C208" s="474" t="b">
        <f ca="1">AND(RIGHT(Type_propu,1)="N",LEFT(Type_fusee,4)="Mini")</f>
        <v>0</v>
      </c>
      <c r="D208" s="474"/>
    </row>
    <row r="209" spans="1:3" x14ac:dyDescent="0.2">
      <c r="B209" s="475" t="s">
        <v>406</v>
      </c>
      <c r="C209" s="474" t="b">
        <f ca="1">AND(LEFT(Type_propu,5)="MiniR",LEFT(Type_fusee,1)="R")</f>
        <v>0</v>
      </c>
    </row>
    <row r="210" spans="1:3" x14ac:dyDescent="0.2">
      <c r="B210" s="475" t="s">
        <v>396</v>
      </c>
      <c r="C210" s="474" t="b">
        <f ca="1">AND(LEFT(Type_propu,4)="Mini",LEFT(Type_fusee,1)=",")</f>
        <v>0</v>
      </c>
    </row>
    <row r="223" spans="1:3" x14ac:dyDescent="0.2">
      <c r="A223" s="24" t="s">
        <v>463</v>
      </c>
    </row>
    <row r="226" spans="1:1" x14ac:dyDescent="0.2">
      <c r="A226" s="24" t="s">
        <v>476</v>
      </c>
    </row>
    <row r="228" spans="1:1" x14ac:dyDescent="0.2">
      <c r="A228" s="24" t="s">
        <v>477</v>
      </c>
    </row>
    <row r="230" spans="1:1" x14ac:dyDescent="0.2">
      <c r="A230" s="24" t="s">
        <v>478</v>
      </c>
    </row>
    <row r="232" spans="1:1" x14ac:dyDescent="0.2">
      <c r="A232" s="24" t="s">
        <v>479</v>
      </c>
    </row>
    <row r="233" spans="1:1" x14ac:dyDescent="0.2">
      <c r="A233" s="24" t="s">
        <v>480</v>
      </c>
    </row>
    <row r="234" spans="1:1" x14ac:dyDescent="0.2">
      <c r="A234" s="24" t="s">
        <v>481</v>
      </c>
    </row>
    <row r="235" spans="1:1" x14ac:dyDescent="0.2">
      <c r="A235" s="24" t="s">
        <v>482</v>
      </c>
    </row>
    <row r="236" spans="1:1" x14ac:dyDescent="0.2">
      <c r="A236" s="24" t="s">
        <v>483</v>
      </c>
    </row>
    <row r="237" spans="1:1" x14ac:dyDescent="0.2">
      <c r="A237" s="24" t="s">
        <v>484</v>
      </c>
    </row>
    <row r="238" spans="1:1" x14ac:dyDescent="0.2">
      <c r="A238" s="24" t="s">
        <v>183</v>
      </c>
    </row>
    <row r="239" spans="1:1" x14ac:dyDescent="0.2">
      <c r="A239" s="24" t="s">
        <v>485</v>
      </c>
    </row>
    <row r="240" spans="1:1" x14ac:dyDescent="0.2">
      <c r="A240" s="24" t="s">
        <v>486</v>
      </c>
    </row>
    <row r="241" spans="1:1" x14ac:dyDescent="0.2">
      <c r="A241" s="24" t="s">
        <v>183</v>
      </c>
    </row>
    <row r="242" spans="1:1" x14ac:dyDescent="0.2">
      <c r="A242" s="24" t="s">
        <v>487</v>
      </c>
    </row>
    <row r="244" spans="1:1" x14ac:dyDescent="0.2">
      <c r="A244" s="24" t="s">
        <v>488</v>
      </c>
    </row>
    <row r="246" spans="1:1" x14ac:dyDescent="0.2">
      <c r="A246" s="24" t="s">
        <v>489</v>
      </c>
    </row>
    <row r="248" spans="1:1" x14ac:dyDescent="0.2">
      <c r="A248" s="24" t="s">
        <v>490</v>
      </c>
    </row>
    <row r="249" spans="1:1" x14ac:dyDescent="0.2">
      <c r="A249" s="24" t="s">
        <v>491</v>
      </c>
    </row>
    <row r="250" spans="1:1" x14ac:dyDescent="0.2">
      <c r="A250" s="24" t="s">
        <v>492</v>
      </c>
    </row>
    <row r="251" spans="1:1" x14ac:dyDescent="0.2">
      <c r="A251" s="24" t="s">
        <v>493</v>
      </c>
    </row>
    <row r="252" spans="1:1" x14ac:dyDescent="0.2">
      <c r="A252" s="24" t="s">
        <v>494</v>
      </c>
    </row>
    <row r="254" spans="1:1" x14ac:dyDescent="0.2">
      <c r="A254" s="24" t="s">
        <v>495</v>
      </c>
    </row>
    <row r="255" spans="1:1" x14ac:dyDescent="0.2">
      <c r="A255" s="24" t="s">
        <v>496</v>
      </c>
    </row>
    <row r="256" spans="1:1" x14ac:dyDescent="0.2">
      <c r="A256" s="24" t="s">
        <v>497</v>
      </c>
    </row>
    <row r="257" spans="1:1" x14ac:dyDescent="0.2">
      <c r="A257" s="24" t="s">
        <v>498</v>
      </c>
    </row>
    <row r="258" spans="1:1" x14ac:dyDescent="0.2">
      <c r="A258" s="24" t="s">
        <v>499</v>
      </c>
    </row>
    <row r="261" spans="1:1" x14ac:dyDescent="0.2">
      <c r="A261" s="24" t="s">
        <v>500</v>
      </c>
    </row>
    <row r="262" spans="1:1" x14ac:dyDescent="0.2">
      <c r="A262" s="24" t="s">
        <v>501</v>
      </c>
    </row>
    <row r="263" spans="1:1" x14ac:dyDescent="0.2">
      <c r="A263" s="24" t="s">
        <v>502</v>
      </c>
    </row>
    <row r="264" spans="1:1" x14ac:dyDescent="0.2">
      <c r="A264" s="24" t="s">
        <v>503</v>
      </c>
    </row>
    <row r="265" spans="1:1" x14ac:dyDescent="0.2">
      <c r="A265" s="24" t="s">
        <v>504</v>
      </c>
    </row>
    <row r="267" spans="1:1" x14ac:dyDescent="0.2">
      <c r="A267" s="24" t="s">
        <v>497</v>
      </c>
    </row>
    <row r="268" spans="1:1" x14ac:dyDescent="0.2">
      <c r="A268" s="24" t="s">
        <v>498</v>
      </c>
    </row>
    <row r="269" spans="1:1" x14ac:dyDescent="0.2">
      <c r="A269" s="24" t="s">
        <v>505</v>
      </c>
    </row>
    <row r="272" spans="1:1" x14ac:dyDescent="0.2">
      <c r="A272" s="24" t="s">
        <v>465</v>
      </c>
    </row>
    <row r="273" spans="1:1" x14ac:dyDescent="0.2">
      <c r="A273" s="24" t="s">
        <v>466</v>
      </c>
    </row>
    <row r="275" spans="1:1" x14ac:dyDescent="0.2">
      <c r="A275" s="24" t="s">
        <v>506</v>
      </c>
    </row>
    <row r="277" spans="1:1" x14ac:dyDescent="0.2">
      <c r="A277" s="24" t="s">
        <v>505</v>
      </c>
    </row>
    <row r="280" spans="1:1" x14ac:dyDescent="0.2">
      <c r="A280" s="24" t="s">
        <v>467</v>
      </c>
    </row>
    <row r="281" spans="1:1" x14ac:dyDescent="0.2">
      <c r="A281" s="24" t="s">
        <v>468</v>
      </c>
    </row>
    <row r="282" spans="1:1" x14ac:dyDescent="0.2">
      <c r="A282" s="24" t="s">
        <v>507</v>
      </c>
    </row>
    <row r="283" spans="1:1" x14ac:dyDescent="0.2">
      <c r="A283" s="24" t="s">
        <v>508</v>
      </c>
    </row>
    <row r="284" spans="1:1" x14ac:dyDescent="0.2">
      <c r="A284" s="24" t="s">
        <v>505</v>
      </c>
    </row>
    <row r="285" spans="1:1" x14ac:dyDescent="0.2">
      <c r="A285" s="24" t="s">
        <v>469</v>
      </c>
    </row>
    <row r="287" spans="1:1" x14ac:dyDescent="0.2">
      <c r="A287" s="24" t="s">
        <v>509</v>
      </c>
    </row>
    <row r="288" spans="1:1" x14ac:dyDescent="0.2">
      <c r="A288" s="24" t="s">
        <v>507</v>
      </c>
    </row>
    <row r="289" spans="1:1" x14ac:dyDescent="0.2">
      <c r="A289" s="24" t="s">
        <v>510</v>
      </c>
    </row>
    <row r="291" spans="1:1" x14ac:dyDescent="0.2">
      <c r="A291" s="24" t="s">
        <v>505</v>
      </c>
    </row>
    <row r="294" spans="1:1" x14ac:dyDescent="0.2">
      <c r="A294" s="24" t="s">
        <v>511</v>
      </c>
    </row>
    <row r="295" spans="1:1" x14ac:dyDescent="0.2">
      <c r="A295" s="24" t="s">
        <v>512</v>
      </c>
    </row>
    <row r="296" spans="1:1" x14ac:dyDescent="0.2">
      <c r="A296" s="24" t="s">
        <v>513</v>
      </c>
    </row>
    <row r="298" spans="1:1" x14ac:dyDescent="0.2">
      <c r="A298" s="24" t="s">
        <v>505</v>
      </c>
    </row>
    <row r="301" spans="1:1" x14ac:dyDescent="0.2">
      <c r="A301" s="24" t="s">
        <v>514</v>
      </c>
    </row>
    <row r="302" spans="1:1" x14ac:dyDescent="0.2">
      <c r="A302" s="24" t="s">
        <v>515</v>
      </c>
    </row>
    <row r="304" spans="1:1" x14ac:dyDescent="0.2">
      <c r="A304" s="24" t="s">
        <v>516</v>
      </c>
    </row>
    <row r="305" spans="1:1" x14ac:dyDescent="0.2">
      <c r="A305" s="24" t="s">
        <v>517</v>
      </c>
    </row>
    <row r="306" spans="1:1" x14ac:dyDescent="0.2">
      <c r="A306" s="24" t="s">
        <v>505</v>
      </c>
    </row>
    <row r="309" spans="1:1" x14ac:dyDescent="0.2">
      <c r="A309" s="24" t="s">
        <v>514</v>
      </c>
    </row>
    <row r="310" spans="1:1" x14ac:dyDescent="0.2">
      <c r="A310" s="24" t="s">
        <v>518</v>
      </c>
    </row>
    <row r="311" spans="1:1" x14ac:dyDescent="0.2">
      <c r="A311" s="24" t="s">
        <v>514</v>
      </c>
    </row>
    <row r="312" spans="1:1" x14ac:dyDescent="0.2">
      <c r="A312" s="24" t="s">
        <v>519</v>
      </c>
    </row>
    <row r="314" spans="1:1" x14ac:dyDescent="0.2">
      <c r="A314" s="24" t="s">
        <v>520</v>
      </c>
    </row>
    <row r="316" spans="1:1" x14ac:dyDescent="0.2">
      <c r="A316" s="24" t="s">
        <v>505</v>
      </c>
    </row>
    <row r="319" spans="1:1" x14ac:dyDescent="0.2">
      <c r="A319" s="24" t="s">
        <v>514</v>
      </c>
    </row>
    <row r="320" spans="1:1" x14ac:dyDescent="0.2">
      <c r="A320" s="24" t="s">
        <v>521</v>
      </c>
    </row>
    <row r="321" spans="1:1" x14ac:dyDescent="0.2">
      <c r="A321" s="24" t="s">
        <v>522</v>
      </c>
    </row>
    <row r="322" spans="1:1" x14ac:dyDescent="0.2">
      <c r="A322" s="24" t="s">
        <v>523</v>
      </c>
    </row>
    <row r="324" spans="1:1" x14ac:dyDescent="0.2">
      <c r="A324" s="24" t="s">
        <v>505</v>
      </c>
    </row>
    <row r="326" spans="1:1" x14ac:dyDescent="0.2">
      <c r="A326" s="24" t="s">
        <v>464</v>
      </c>
    </row>
    <row r="329" spans="1:1" x14ac:dyDescent="0.2">
      <c r="A329" s="24" t="s">
        <v>470</v>
      </c>
    </row>
    <row r="330" spans="1:1" x14ac:dyDescent="0.2">
      <c r="A330" s="24" t="s">
        <v>471</v>
      </c>
    </row>
    <row r="331" spans="1:1" x14ac:dyDescent="0.2">
      <c r="A331" s="24" t="s">
        <v>524</v>
      </c>
    </row>
    <row r="332" spans="1:1" x14ac:dyDescent="0.2">
      <c r="A332" s="24" t="s">
        <v>525</v>
      </c>
    </row>
    <row r="333" spans="1:1" x14ac:dyDescent="0.2">
      <c r="A333" s="24" t="s">
        <v>526</v>
      </c>
    </row>
    <row r="334" spans="1:1" x14ac:dyDescent="0.2">
      <c r="A334" s="24" t="s">
        <v>527</v>
      </c>
    </row>
    <row r="335" spans="1:1" x14ac:dyDescent="0.2">
      <c r="A335" s="24" t="s">
        <v>528</v>
      </c>
    </row>
    <row r="336" spans="1:1" x14ac:dyDescent="0.2">
      <c r="A336" s="24" t="s">
        <v>481</v>
      </c>
    </row>
    <row r="337" spans="1:1" x14ac:dyDescent="0.2">
      <c r="A337" s="24" t="s">
        <v>472</v>
      </c>
    </row>
    <row r="340" spans="1:1" x14ac:dyDescent="0.2">
      <c r="A340" s="24" t="s">
        <v>473</v>
      </c>
    </row>
    <row r="342" spans="1:1" x14ac:dyDescent="0.2">
      <c r="A342" s="24" t="s">
        <v>529</v>
      </c>
    </row>
    <row r="343" spans="1:1" x14ac:dyDescent="0.2">
      <c r="A343" s="24" t="s">
        <v>530</v>
      </c>
    </row>
    <row r="344" spans="1:1" x14ac:dyDescent="0.2">
      <c r="A344" s="24" t="s">
        <v>531</v>
      </c>
    </row>
    <row r="345" spans="1:1" x14ac:dyDescent="0.2">
      <c r="A345" s="24" t="s">
        <v>532</v>
      </c>
    </row>
    <row r="346" spans="1:1" x14ac:dyDescent="0.2">
      <c r="A346" s="24" t="s">
        <v>533</v>
      </c>
    </row>
    <row r="347" spans="1:1" x14ac:dyDescent="0.2">
      <c r="A347" s="24" t="s">
        <v>481</v>
      </c>
    </row>
    <row r="348" spans="1:1" x14ac:dyDescent="0.2">
      <c r="A348" s="24" t="s">
        <v>474</v>
      </c>
    </row>
    <row r="349" spans="1:1" x14ac:dyDescent="0.2">
      <c r="A349" s="24" t="s">
        <v>534</v>
      </c>
    </row>
    <row r="350" spans="1:1" x14ac:dyDescent="0.2">
      <c r="A350" s="24" t="s">
        <v>535</v>
      </c>
    </row>
    <row r="352" spans="1:1" x14ac:dyDescent="0.2">
      <c r="A352" s="24" t="s">
        <v>505</v>
      </c>
    </row>
    <row r="355" spans="1:1" x14ac:dyDescent="0.2">
      <c r="A355" s="24" t="s">
        <v>464</v>
      </c>
    </row>
    <row r="361" spans="1:1" x14ac:dyDescent="0.2">
      <c r="A361" s="24" t="s">
        <v>475</v>
      </c>
    </row>
  </sheetData>
  <sheetProtection algorithmName="SHA-512" hashValue="lr7AUTmqQKWCln9lxU/pkY39SNhSvguOSf0niYW80GvK2cC/MbUIRDjvwd1bIGz8aqjd6a7y3D66efnX6zcc6g==" saltValue="kioZ43ZFarxjOdpvjH0yzw==" spinCount="100000" sheet="1" objects="1" scenarios="1"/>
  <dataConsolidate/>
  <mergeCells count="56">
    <mergeCell ref="H33:I34"/>
    <mergeCell ref="M4:P4"/>
    <mergeCell ref="M2:P2"/>
    <mergeCell ref="N13:O13"/>
    <mergeCell ref="N12:O12"/>
    <mergeCell ref="O9:P9"/>
    <mergeCell ref="O8:P8"/>
    <mergeCell ref="O7:P7"/>
    <mergeCell ref="H27:I27"/>
    <mergeCell ref="M18:N18"/>
    <mergeCell ref="L3:M3"/>
    <mergeCell ref="N11:O11"/>
    <mergeCell ref="O6:P6"/>
    <mergeCell ref="O5:P5"/>
    <mergeCell ref="O17:P17"/>
    <mergeCell ref="O18:P18"/>
    <mergeCell ref="C27:D27"/>
    <mergeCell ref="C19:D19"/>
    <mergeCell ref="C20:D20"/>
    <mergeCell ref="O23:P23"/>
    <mergeCell ref="O24:P24"/>
    <mergeCell ref="C23:D23"/>
    <mergeCell ref="C22:D22"/>
    <mergeCell ref="C24:D24"/>
    <mergeCell ref="C2:D3"/>
    <mergeCell ref="C4:D4"/>
    <mergeCell ref="M22:N22"/>
    <mergeCell ref="M19:N19"/>
    <mergeCell ref="M9:N9"/>
    <mergeCell ref="M7:N7"/>
    <mergeCell ref="M8:N8"/>
    <mergeCell ref="C7:D7"/>
    <mergeCell ref="C11:D11"/>
    <mergeCell ref="M5:N5"/>
    <mergeCell ref="M6:N6"/>
    <mergeCell ref="M20:N20"/>
    <mergeCell ref="N14:O14"/>
    <mergeCell ref="N15:O15"/>
    <mergeCell ref="M17:N17"/>
    <mergeCell ref="C15:D15"/>
    <mergeCell ref="C5:D5"/>
    <mergeCell ref="H26:I26"/>
    <mergeCell ref="C17:D17"/>
    <mergeCell ref="C18:D18"/>
    <mergeCell ref="O21:P21"/>
    <mergeCell ref="M21:N21"/>
    <mergeCell ref="O19:P19"/>
    <mergeCell ref="O22:P22"/>
    <mergeCell ref="C21:D21"/>
    <mergeCell ref="C6:D6"/>
    <mergeCell ref="C14:D14"/>
    <mergeCell ref="C8:D8"/>
    <mergeCell ref="C9:D9"/>
    <mergeCell ref="O20:P20"/>
    <mergeCell ref="M23:N23"/>
    <mergeCell ref="M24:N24"/>
  </mergeCells>
  <phoneticPr fontId="8" type="noConversion"/>
  <conditionalFormatting sqref="B15:D15 B35:C35">
    <cfRule type="expression" dxfId="53" priority="21" stopIfTrue="1">
      <formula>AND(IF(RIGHT(Nb_diam,1)=",",1),IF(LEFT(Type_masquage,1)="M",1))</formula>
    </cfRule>
  </conditionalFormatting>
  <conditionalFormatting sqref="C12">
    <cfRule type="cellIs" dxfId="52" priority="25" stopIfTrue="1" operator="equal">
      <formula>359</formula>
    </cfRule>
    <cfRule type="expression" dxfId="51" priority="28" stopIfTrue="1">
      <formula>OR(MasseSans&lt;MpropuVide, MasseSans&gt;20*MpropuPlein)</formula>
    </cfRule>
  </conditionalFormatting>
  <conditionalFormatting sqref="C13">
    <cfRule type="cellIs" dxfId="50" priority="24" stopIfTrue="1" operator="equal">
      <formula>639</formula>
    </cfRule>
  </conditionalFormatting>
  <conditionalFormatting sqref="C15 C35 C24:D24">
    <cfRule type="cellIs" dxfId="49" priority="37" stopIfTrue="1" operator="equal">
      <formula>59</formula>
    </cfRule>
  </conditionalFormatting>
  <conditionalFormatting sqref="C18">
    <cfRule type="expression" dxfId="48" priority="151" stopIfTrue="1">
      <formula>C204</formula>
    </cfRule>
  </conditionalFormatting>
  <conditionalFormatting sqref="C28 C30">
    <cfRule type="cellIs" dxfId="47" priority="18" stopIfTrue="1" operator="equal">
      <formula>109</formula>
    </cfRule>
  </conditionalFormatting>
  <conditionalFormatting sqref="C29">
    <cfRule type="cellIs" dxfId="46" priority="19" stopIfTrue="1" operator="equal">
      <formula>59</formula>
    </cfRule>
  </conditionalFormatting>
  <conditionalFormatting sqref="C31">
    <cfRule type="cellIs" dxfId="45" priority="20" stopIfTrue="1" operator="equal">
      <formula>99</formula>
    </cfRule>
  </conditionalFormatting>
  <conditionalFormatting sqref="C14:D14 C19 C34">
    <cfRule type="cellIs" dxfId="44" priority="23" stopIfTrue="1" operator="equal">
      <formula>1001</formula>
    </cfRule>
  </conditionalFormatting>
  <conditionalFormatting sqref="C23:D23">
    <cfRule type="cellIs" dxfId="43" priority="22" stopIfTrue="1" operator="equal">
      <formula>199</formula>
    </cfRule>
  </conditionalFormatting>
  <conditionalFormatting sqref="D10">
    <cfRule type="expression" dxfId="42" priority="1">
      <formula>NOT(OR((LEFT(Type_fusee,4)="Mini"),(RIGHT(Type_fusee,1)=".")))</formula>
    </cfRule>
  </conditionalFormatting>
  <conditionalFormatting sqref="D18">
    <cfRule type="expression" dxfId="41" priority="11" stopIfTrue="1">
      <formula>D202</formula>
    </cfRule>
  </conditionalFormatting>
  <conditionalFormatting sqref="H28">
    <cfRule type="expression" dxfId="40" priority="47" stopIfTrue="1">
      <formula>OR(Cn&lt;CritCnmin,Cn&gt;CritCnmax)</formula>
    </cfRule>
  </conditionalFormatting>
  <conditionalFormatting sqref="H29">
    <cfRule type="expression" dxfId="39" priority="46" stopIfTrue="1">
      <formula>OR(MS_min&lt;CritMsmin,MS_min&gt;CritMsmax)</formula>
    </cfRule>
  </conditionalFormatting>
  <conditionalFormatting sqref="H30">
    <cfRule type="expression" dxfId="38" priority="44" stopIfTrue="1">
      <formula>OR(MS_Cn_min&lt;CritMsCnmin,MS_Cn_min&gt;CritMsCnmax)</formula>
    </cfRule>
  </conditionalFormatting>
  <conditionalFormatting sqref="H27:I27">
    <cfRule type="expression" dxfId="37" priority="48" stopIfTrue="1">
      <formula>OR(Finesse&lt;CritFinessemin,Finesse&gt;CritFinessemax)</formula>
    </cfRule>
  </conditionalFormatting>
  <conditionalFormatting sqref="H33:I34">
    <cfRule type="expression" dxfId="36" priority="51" stopIfTrue="1">
      <formula>$H$33="STABLE"</formula>
    </cfRule>
  </conditionalFormatting>
  <conditionalFormatting sqref="I28">
    <cfRule type="expression" dxfId="35" priority="6" stopIfTrue="1">
      <formula>OR(Cn0&lt;CritCnmin,Cn0&gt;CritCnmax)</formula>
    </cfRule>
  </conditionalFormatting>
  <conditionalFormatting sqref="I29">
    <cfRule type="expression" dxfId="34" priority="45" stopIfTrue="1">
      <formula>OR(MS_max&lt;CritMsmin,MS_max&gt;CritMsmax)</formula>
    </cfRule>
  </conditionalFormatting>
  <conditionalFormatting sqref="I30">
    <cfRule type="expression" dxfId="33" priority="43" stopIfTrue="1">
      <formula>OR(MS_Cn_max&lt;CritMsCnmin,MS_Cn_max&gt;CritMsCnmax)</formula>
    </cfRule>
  </conditionalFormatting>
  <conditionalFormatting sqref="L39:M39">
    <cfRule type="expression" dxfId="32" priority="239" stopIfTrue="1">
      <formula>OR(SUM($C$28:$C$33)=273, $H$33&lt;&gt;"STABLE")</formula>
    </cfRule>
  </conditionalFormatting>
  <conditionalFormatting sqref="L6:P9">
    <cfRule type="expression" dxfId="31" priority="49" stopIfTrue="1">
      <formula>IF(RIGHT(Nb_diam,1)=",",1)</formula>
    </cfRule>
  </conditionalFormatting>
  <conditionalFormatting sqref="L20:P22 E25 D26 E27:E35 D28:D35 B36:E36">
    <cfRule type="expression" dxfId="30" priority="84" stopIfTrue="1">
      <formula>IF(LEFT(Type_masquage,1)="M",1)</formula>
    </cfRule>
  </conditionalFormatting>
  <conditionalFormatting sqref="L23:P24">
    <cfRule type="expression" dxfId="29" priority="65" stopIfTrue="1">
      <formula>IF(RIGHT(Nb_diam,1)=",",1)</formula>
    </cfRule>
  </conditionalFormatting>
  <conditionalFormatting sqref="M37 O37">
    <cfRule type="expression" dxfId="28" priority="142" stopIfTrue="1">
      <formula>$M$37="propu NOK"</formula>
    </cfRule>
  </conditionalFormatting>
  <conditionalFormatting sqref="M5:P5">
    <cfRule type="expression" dxfId="27" priority="39" stopIfTrue="1">
      <formula>IF(RIGHT(Nb_diam,1)=",",1)</formula>
    </cfRule>
  </conditionalFormatting>
  <conditionalFormatting sqref="N37">
    <cfRule type="expression" dxfId="26" priority="27" stopIfTrue="1">
      <formula>(ROUND(SUM(C2:D35),0)=5694)</formula>
    </cfRule>
  </conditionalFormatting>
  <dataValidations count="13">
    <dataValidation type="whole" allowBlank="1" showInputMessage="1" showErrorMessage="1" error="Tapez un entier entre 3 et 6." sqref="C33:D33" xr:uid="{00000000-0002-0000-0000-000000000000}">
      <formula1>3</formula1>
      <formula2>6</formula2>
    </dataValidation>
    <dataValidation type="decimal" operator="notEqual" allowBlank="1" showInputMessage="1" showErrorMessage="1" error="Tapez uniquement la longueur, sans l'unité." sqref="C30:D30" xr:uid="{00000000-0002-0000-0000-000001000000}">
      <formula1>1E+100</formula1>
    </dataValidation>
    <dataValidation type="decimal" operator="greaterThanOrEqual" allowBlank="1" showInputMessage="1" showErrorMessage="1" error="Tapez uniquement la longueur, sans l'unité." sqref="C28:D29 C34:D35 C31:D32 M6:O9" xr:uid="{00000000-0002-0000-0000-000002000000}">
      <formula1>0</formula1>
    </dataValidation>
    <dataValidation type="list" showInputMessage="1" showErrorMessage="1" sqref="C27:D27" xr:uid="{00000000-0002-0000-0000-000003000000}">
      <formula1>Menu_Empennage</formula1>
    </dataValidation>
    <dataValidation type="list" showInputMessage="1" showErrorMessage="1" sqref="C18:D18" xr:uid="{00000000-0002-0000-0000-000004000000}">
      <formula1>Liste_propu</formula1>
    </dataValidation>
    <dataValidation type="list" showInputMessage="1" showErrorMessage="1" sqref="M2" xr:uid="{00000000-0002-0000-0000-000005000000}">
      <formula1>Menu_Lang</formula1>
    </dataValidation>
    <dataValidation type="decimal" showInputMessage="1" showErrorMessage="1" errorTitle="Masse de la Fusée" error="Tapez uniquement la masse, sans l'unité." sqref="C12" xr:uid="{00000000-0002-0000-0000-000006000000}">
      <formula1>0</formula1>
      <formula2>50000</formula2>
    </dataValidation>
    <dataValidation type="decimal" operator="greaterThan" showInputMessage="1" showErrorMessage="1" error="Tapez uniquement la longueur, sans l'unité." sqref="C13 C14:D14 C23:D24" xr:uid="{00000000-0002-0000-0000-000007000000}">
      <formula1>0</formula1>
    </dataValidation>
    <dataValidation type="list" showInputMessage="1" showErrorMessage="1" sqref="D12:D13" xr:uid="{00000000-0002-0000-0000-000008000000}">
      <formula1>Menu_with_motor</formula1>
    </dataValidation>
    <dataValidation type="list" showInputMessage="1" showErrorMessage="1" sqref="C11:D11" xr:uid="{00000000-0002-0000-0000-000009000000}">
      <formula1>Menu_Type</formula1>
    </dataValidation>
    <dataValidation type="decimal" operator="greaterThan" allowBlank="1" showInputMessage="1" showErrorMessage="1" error="Tapez uniquement la longueur, sans l'unité." sqref="C19" xr:uid="{00000000-0002-0000-0000-00000A000000}">
      <formula1>0</formula1>
    </dataValidation>
    <dataValidation type="list" showInputMessage="1" showErrorMessage="1" sqref="C22:D22" xr:uid="{00000000-0002-0000-0000-00000B000000}">
      <formula1>Menu_Ogive</formula1>
    </dataValidation>
    <dataValidation type="list" showInputMessage="1" showErrorMessage="1" sqref="M4" xr:uid="{00000000-0002-0000-0000-00000C000000}">
      <formula1>Menu_Transitions</formula1>
    </dataValidation>
  </dataValidations>
  <hyperlinks>
    <hyperlink ref="M39" location="Trajecto!C25" display="Trajecto" xr:uid="{00000000-0004-0000-0000-000000000000}"/>
  </hyperlinks>
  <printOptions horizontalCentered="1" verticalCentered="1"/>
  <pageMargins left="7.874015748031496E-2" right="7.874015748031496E-2" top="7.874015748031496E-2" bottom="7.874015748031496E-2" header="0" footer="0"/>
  <pageSetup paperSize="9" orientation="landscape" horizontalDpi="200" verticalDpi="200" r:id="rId1"/>
  <headerFooter alignWithMargins="0"/>
  <ignoredErrors>
    <ignoredError sqref="D35" unlockedFormula="1"/>
    <ignoredError sqref="E180" formula="1"/>
  </ignoredErrors>
  <drawing r:id="rId2"/>
  <legacyDrawing r:id="rId3"/>
  <mc:AlternateContent xmlns:mc="http://schemas.openxmlformats.org/markup-compatibility/2006">
    <mc:Choice Requires="x14">
      <controls>
        <mc:AlternateContent xmlns:mc="http://schemas.openxmlformats.org/markup-compatibility/2006">
          <mc:Choice Requires="x14">
            <control shapeId="36775" r:id="rId4" name="Spinner 935">
              <controlPr defaultSize="0" print="0" autoPict="0">
                <anchor moveWithCells="1" sizeWithCells="1">
                  <from>
                    <xdr:col>3</xdr:col>
                    <xdr:colOff>752475</xdr:colOff>
                    <xdr:row>22</xdr:row>
                    <xdr:rowOff>0</xdr:rowOff>
                  </from>
                  <to>
                    <xdr:col>3</xdr:col>
                    <xdr:colOff>895350</xdr:colOff>
                    <xdr:row>23</xdr:row>
                    <xdr:rowOff>0</xdr:rowOff>
                  </to>
                </anchor>
              </controlPr>
            </control>
          </mc:Choice>
        </mc:AlternateContent>
        <mc:AlternateContent xmlns:mc="http://schemas.openxmlformats.org/markup-compatibility/2006">
          <mc:Choice Requires="x14">
            <control shapeId="36781" r:id="rId5" name="Spinner 941">
              <controlPr defaultSize="0" print="0" autoPict="0">
                <anchor moveWithCells="1" sizeWithCells="1">
                  <from>
                    <xdr:col>2</xdr:col>
                    <xdr:colOff>752475</xdr:colOff>
                    <xdr:row>11</xdr:row>
                    <xdr:rowOff>0</xdr:rowOff>
                  </from>
                  <to>
                    <xdr:col>2</xdr:col>
                    <xdr:colOff>895350</xdr:colOff>
                    <xdr:row>12</xdr:row>
                    <xdr:rowOff>0</xdr:rowOff>
                  </to>
                </anchor>
              </controlPr>
            </control>
          </mc:Choice>
        </mc:AlternateContent>
        <mc:AlternateContent xmlns:mc="http://schemas.openxmlformats.org/markup-compatibility/2006">
          <mc:Choice Requires="x14">
            <control shapeId="36782" r:id="rId6" name="Spinner 942">
              <controlPr defaultSize="0" print="0" autoPict="0">
                <anchor moveWithCells="1" sizeWithCells="1">
                  <from>
                    <xdr:col>2</xdr:col>
                    <xdr:colOff>752475</xdr:colOff>
                    <xdr:row>12</xdr:row>
                    <xdr:rowOff>0</xdr:rowOff>
                  </from>
                  <to>
                    <xdr:col>2</xdr:col>
                    <xdr:colOff>895350</xdr:colOff>
                    <xdr:row>13</xdr:row>
                    <xdr:rowOff>0</xdr:rowOff>
                  </to>
                </anchor>
              </controlPr>
            </control>
          </mc:Choice>
        </mc:AlternateContent>
        <mc:AlternateContent xmlns:mc="http://schemas.openxmlformats.org/markup-compatibility/2006">
          <mc:Choice Requires="x14">
            <control shapeId="36783" r:id="rId7" name="Spinner 943">
              <controlPr defaultSize="0" print="0" autoPict="0">
                <anchor moveWithCells="1" sizeWithCells="1">
                  <from>
                    <xdr:col>3</xdr:col>
                    <xdr:colOff>752475</xdr:colOff>
                    <xdr:row>22</xdr:row>
                    <xdr:rowOff>161925</xdr:rowOff>
                  </from>
                  <to>
                    <xdr:col>3</xdr:col>
                    <xdr:colOff>895350</xdr:colOff>
                    <xdr:row>24</xdr:row>
                    <xdr:rowOff>0</xdr:rowOff>
                  </to>
                </anchor>
              </controlPr>
            </control>
          </mc:Choice>
        </mc:AlternateContent>
        <mc:AlternateContent xmlns:mc="http://schemas.openxmlformats.org/markup-compatibility/2006">
          <mc:Choice Requires="x14">
            <control shapeId="36789" r:id="rId8" name="Spinner 949">
              <controlPr defaultSize="0" print="0" autoPict="0">
                <anchor moveWithCells="1" sizeWithCells="1">
                  <from>
                    <xdr:col>2</xdr:col>
                    <xdr:colOff>752475</xdr:colOff>
                    <xdr:row>27</xdr:row>
                    <xdr:rowOff>0</xdr:rowOff>
                  </from>
                  <to>
                    <xdr:col>3</xdr:col>
                    <xdr:colOff>0</xdr:colOff>
                    <xdr:row>28</xdr:row>
                    <xdr:rowOff>9525</xdr:rowOff>
                  </to>
                </anchor>
              </controlPr>
            </control>
          </mc:Choice>
        </mc:AlternateContent>
        <mc:AlternateContent xmlns:mc="http://schemas.openxmlformats.org/markup-compatibility/2006">
          <mc:Choice Requires="x14">
            <control shapeId="36795" r:id="rId9" name="Spinner 955">
              <controlPr defaultSize="0" print="0" autoPict="0">
                <anchor moveWithCells="1" sizeWithCells="1">
                  <from>
                    <xdr:col>2</xdr:col>
                    <xdr:colOff>752475</xdr:colOff>
                    <xdr:row>28</xdr:row>
                    <xdr:rowOff>0</xdr:rowOff>
                  </from>
                  <to>
                    <xdr:col>3</xdr:col>
                    <xdr:colOff>0</xdr:colOff>
                    <xdr:row>29</xdr:row>
                    <xdr:rowOff>9525</xdr:rowOff>
                  </to>
                </anchor>
              </controlPr>
            </control>
          </mc:Choice>
        </mc:AlternateContent>
        <mc:AlternateContent xmlns:mc="http://schemas.openxmlformats.org/markup-compatibility/2006">
          <mc:Choice Requires="x14">
            <control shapeId="36796" r:id="rId10" name="Spinner 956">
              <controlPr defaultSize="0" print="0" autoPict="0">
                <anchor moveWithCells="1" sizeWithCells="1">
                  <from>
                    <xdr:col>2</xdr:col>
                    <xdr:colOff>752475</xdr:colOff>
                    <xdr:row>28</xdr:row>
                    <xdr:rowOff>161925</xdr:rowOff>
                  </from>
                  <to>
                    <xdr:col>3</xdr:col>
                    <xdr:colOff>0</xdr:colOff>
                    <xdr:row>30</xdr:row>
                    <xdr:rowOff>0</xdr:rowOff>
                  </to>
                </anchor>
              </controlPr>
            </control>
          </mc:Choice>
        </mc:AlternateContent>
        <mc:AlternateContent xmlns:mc="http://schemas.openxmlformats.org/markup-compatibility/2006">
          <mc:Choice Requires="x14">
            <control shapeId="36797" r:id="rId11" name="Spinner 957">
              <controlPr defaultSize="0" print="0" autoPict="0">
                <anchor moveWithCells="1" sizeWithCells="1">
                  <from>
                    <xdr:col>2</xdr:col>
                    <xdr:colOff>752475</xdr:colOff>
                    <xdr:row>30</xdr:row>
                    <xdr:rowOff>0</xdr:rowOff>
                  </from>
                  <to>
                    <xdr:col>3</xdr:col>
                    <xdr:colOff>0</xdr:colOff>
                    <xdr:row>30</xdr:row>
                    <xdr:rowOff>161925</xdr:rowOff>
                  </to>
                </anchor>
              </controlPr>
            </control>
          </mc:Choice>
        </mc:AlternateContent>
        <mc:AlternateContent xmlns:mc="http://schemas.openxmlformats.org/markup-compatibility/2006">
          <mc:Choice Requires="x14">
            <control shapeId="36798" r:id="rId12" name="Spinner 958">
              <controlPr defaultSize="0" print="0" autoPict="0">
                <anchor moveWithCells="1" sizeWithCells="1">
                  <from>
                    <xdr:col>2</xdr:col>
                    <xdr:colOff>752475</xdr:colOff>
                    <xdr:row>31</xdr:row>
                    <xdr:rowOff>0</xdr:rowOff>
                  </from>
                  <to>
                    <xdr:col>2</xdr:col>
                    <xdr:colOff>895350</xdr:colOff>
                    <xdr:row>32</xdr:row>
                    <xdr:rowOff>0</xdr:rowOff>
                  </to>
                </anchor>
              </controlPr>
            </control>
          </mc:Choice>
        </mc:AlternateContent>
        <mc:AlternateContent xmlns:mc="http://schemas.openxmlformats.org/markup-compatibility/2006">
          <mc:Choice Requires="x14">
            <control shapeId="36799" r:id="rId13" name="Spinner 959">
              <controlPr defaultSize="0" print="0" autoPict="0">
                <anchor moveWithCells="1" sizeWithCells="1">
                  <from>
                    <xdr:col>2</xdr:col>
                    <xdr:colOff>752475</xdr:colOff>
                    <xdr:row>32</xdr:row>
                    <xdr:rowOff>0</xdr:rowOff>
                  </from>
                  <to>
                    <xdr:col>3</xdr:col>
                    <xdr:colOff>0</xdr:colOff>
                    <xdr:row>33</xdr:row>
                    <xdr:rowOff>0</xdr:rowOff>
                  </to>
                </anchor>
              </controlPr>
            </control>
          </mc:Choice>
        </mc:AlternateContent>
        <mc:AlternateContent xmlns:mc="http://schemas.openxmlformats.org/markup-compatibility/2006">
          <mc:Choice Requires="x14">
            <control shapeId="36801" r:id="rId14" name="Spinner 961">
              <controlPr defaultSize="0" print="0" autoPict="0">
                <anchor moveWithCells="1" sizeWithCells="1">
                  <from>
                    <xdr:col>3</xdr:col>
                    <xdr:colOff>752475</xdr:colOff>
                    <xdr:row>12</xdr:row>
                    <xdr:rowOff>161925</xdr:rowOff>
                  </from>
                  <to>
                    <xdr:col>4</xdr:col>
                    <xdr:colOff>0</xdr:colOff>
                    <xdr:row>13</xdr:row>
                    <xdr:rowOff>161925</xdr:rowOff>
                  </to>
                </anchor>
              </controlPr>
            </control>
          </mc:Choice>
        </mc:AlternateContent>
        <mc:AlternateContent xmlns:mc="http://schemas.openxmlformats.org/markup-compatibility/2006">
          <mc:Choice Requires="x14">
            <control shapeId="5096691" r:id="rId15" name="Spinner 3315">
              <controlPr defaultSize="0" print="0" autoPict="0">
                <anchor moveWithCells="1" sizeWithCells="1">
                  <from>
                    <xdr:col>19</xdr:col>
                    <xdr:colOff>0</xdr:colOff>
                    <xdr:row>35</xdr:row>
                    <xdr:rowOff>9525</xdr:rowOff>
                  </from>
                  <to>
                    <xdr:col>19</xdr:col>
                    <xdr:colOff>0</xdr:colOff>
                    <xdr:row>36</xdr:row>
                    <xdr:rowOff>0</xdr:rowOff>
                  </to>
                </anchor>
              </controlPr>
            </control>
          </mc:Choice>
        </mc:AlternateContent>
        <mc:AlternateContent xmlns:mc="http://schemas.openxmlformats.org/markup-compatibility/2006">
          <mc:Choice Requires="x14">
            <control shapeId="5096692" r:id="rId16" name="Spinner 3316">
              <controlPr defaultSize="0" print="0" autoPict="0">
                <anchor moveWithCells="1" sizeWithCells="1">
                  <from>
                    <xdr:col>19</xdr:col>
                    <xdr:colOff>0</xdr:colOff>
                    <xdr:row>35</xdr:row>
                    <xdr:rowOff>9525</xdr:rowOff>
                  </from>
                  <to>
                    <xdr:col>19</xdr:col>
                    <xdr:colOff>0</xdr:colOff>
                    <xdr:row>36</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1">
    <pageSetUpPr fitToPage="1"/>
  </sheetPr>
  <dimension ref="A1:R201"/>
  <sheetViews>
    <sheetView showGridLines="0" zoomScaleNormal="100" workbookViewId="0">
      <selection activeCell="K26" sqref="K26"/>
    </sheetView>
  </sheetViews>
  <sheetFormatPr baseColWidth="10" defaultColWidth="11.42578125" defaultRowHeight="12.75" x14ac:dyDescent="0.2"/>
  <cols>
    <col min="1" max="1" width="2.140625" style="1" customWidth="1"/>
    <col min="2" max="2" width="16.140625" style="1" customWidth="1"/>
    <col min="3" max="4" width="12.85546875" style="1" customWidth="1"/>
    <col min="5" max="5" width="2.85546875" style="1" customWidth="1"/>
    <col min="6" max="7" width="12.85546875" style="1" customWidth="1"/>
    <col min="8" max="13" width="10.85546875" style="1" customWidth="1"/>
    <col min="14" max="15" width="2.140625" style="1" customWidth="1"/>
    <col min="16" max="17" width="14.140625" style="1" customWidth="1"/>
    <col min="18" max="16384" width="11.42578125" style="1"/>
  </cols>
  <sheetData>
    <row r="1" spans="1:14" x14ac:dyDescent="0.2">
      <c r="A1" s="51"/>
      <c r="B1" s="52"/>
      <c r="C1" s="53"/>
      <c r="D1" s="52"/>
      <c r="E1" s="54"/>
      <c r="F1" s="54"/>
      <c r="G1" s="54"/>
      <c r="H1" s="54"/>
      <c r="I1" s="54"/>
      <c r="J1" s="54"/>
      <c r="K1" s="54"/>
      <c r="L1" s="54"/>
      <c r="M1" s="54"/>
      <c r="N1" s="55"/>
    </row>
    <row r="2" spans="1:14" ht="12.75" customHeight="1" x14ac:dyDescent="0.2">
      <c r="A2" s="56"/>
      <c r="B2" s="2"/>
      <c r="C2" s="632" t="s">
        <v>0</v>
      </c>
      <c r="D2" s="632"/>
      <c r="F2" s="3"/>
      <c r="J2" s="4"/>
      <c r="N2" s="57"/>
    </row>
    <row r="3" spans="1:14" ht="12.75" customHeight="1" x14ac:dyDescent="0.2">
      <c r="A3" s="56"/>
      <c r="B3" s="2"/>
      <c r="C3" s="632"/>
      <c r="D3" s="632"/>
      <c r="H3" s="5"/>
      <c r="J3" s="4"/>
      <c r="N3" s="57"/>
    </row>
    <row r="4" spans="1:14" ht="12.75" customHeight="1" x14ac:dyDescent="0.2">
      <c r="A4" s="56"/>
      <c r="B4" s="2"/>
      <c r="C4" s="636" t="str">
        <f>IF(Lang="Français","Trajectographie de fusée",IF(Lang="English","Rocket Trajectography",""))</f>
        <v>Trajectographie de fusée</v>
      </c>
      <c r="D4" s="636"/>
      <c r="H4" s="5"/>
      <c r="J4" s="4"/>
      <c r="N4" s="57"/>
    </row>
    <row r="5" spans="1:14" ht="12.75" customHeight="1" x14ac:dyDescent="0.2">
      <c r="A5" s="56"/>
      <c r="B5" s="2"/>
      <c r="C5" s="631"/>
      <c r="D5" s="631"/>
      <c r="J5" s="4"/>
      <c r="N5" s="57"/>
    </row>
    <row r="6" spans="1:14" ht="12.95" customHeight="1" x14ac:dyDescent="0.2">
      <c r="A6" s="56"/>
      <c r="B6" s="87"/>
      <c r="C6" s="635" t="str">
        <f>IF(Lang="Français","Remplir les cases jaunes",IF(Lang="English","Fill-in yellow cells only",""))</f>
        <v>Remplir les cases jaunes</v>
      </c>
      <c r="D6" s="635"/>
      <c r="J6" s="4"/>
      <c r="N6" s="57"/>
    </row>
    <row r="7" spans="1:14" x14ac:dyDescent="0.2">
      <c r="A7" s="56"/>
      <c r="B7" s="6"/>
      <c r="C7" s="612" t="str">
        <f>IF(Lang="Français","Fusée",IF(Lang="English","Rocket",""))</f>
        <v>Fusée</v>
      </c>
      <c r="D7" s="612"/>
      <c r="N7" s="58"/>
    </row>
    <row r="8" spans="1:14" ht="12.75" customHeight="1" x14ac:dyDescent="0.25">
      <c r="A8" s="56"/>
      <c r="B8" s="140" t="str">
        <f>IF(Lang="Français","Nom",IF(Lang="English","Name",""))</f>
        <v>Nom</v>
      </c>
      <c r="C8" s="633" t="str">
        <f>Nom</f>
        <v>SP02</v>
      </c>
      <c r="D8" s="633"/>
      <c r="E8" s="5"/>
      <c r="F8" s="5"/>
      <c r="J8" s="4"/>
      <c r="N8" s="57"/>
    </row>
    <row r="9" spans="1:14" ht="12.75" customHeight="1" x14ac:dyDescent="0.25">
      <c r="A9" s="59"/>
      <c r="B9" s="140" t="s">
        <v>4</v>
      </c>
      <c r="C9" s="634" t="str">
        <f>Club</f>
        <v>L'AéroIPSA</v>
      </c>
      <c r="D9" s="634"/>
      <c r="F9" s="5"/>
      <c r="N9" s="58"/>
    </row>
    <row r="10" spans="1:14" ht="12.75" customHeight="1" x14ac:dyDescent="0.25">
      <c r="A10" s="59"/>
      <c r="B10" s="141" t="s">
        <v>563</v>
      </c>
      <c r="C10" s="630" t="str">
        <f>Matricule</f>
        <v>FX0</v>
      </c>
      <c r="D10" s="630"/>
      <c r="F10" s="5"/>
      <c r="N10" s="58"/>
    </row>
    <row r="11" spans="1:14" ht="12.75" customHeight="1" x14ac:dyDescent="0.2">
      <c r="A11" s="59"/>
      <c r="B11" s="140" t="str">
        <f>IF(Lang="Français","Masse totale",IF(Lang="English","Total Mass",""))</f>
        <v>Masse totale</v>
      </c>
      <c r="C11" s="607">
        <f ca="1">MassePlein</f>
        <v>8.1319999999999997</v>
      </c>
      <c r="D11" s="607"/>
      <c r="F11" s="5"/>
      <c r="N11" s="58"/>
    </row>
    <row r="12" spans="1:14" ht="12.75" customHeight="1" x14ac:dyDescent="0.2">
      <c r="A12" s="59"/>
      <c r="B12" s="227" t="str">
        <f>IF(Lang="Français","Propulseur",IF(Lang="English","Motor",""))</f>
        <v>Propulseur</v>
      </c>
      <c r="C12" s="610" t="str">
        <f>Propu</f>
        <v>Pro54-5G WT</v>
      </c>
      <c r="D12" s="611"/>
      <c r="F12" s="5"/>
      <c r="N12" s="58"/>
    </row>
    <row r="13" spans="1:14" ht="12.75" customHeight="1" x14ac:dyDescent="0.2">
      <c r="A13" s="59"/>
      <c r="N13" s="58"/>
    </row>
    <row r="14" spans="1:14" ht="12.75" customHeight="1" x14ac:dyDescent="0.2">
      <c r="A14" s="59"/>
      <c r="B14"/>
      <c r="C14" s="612" t="str">
        <f>IF(Lang="Français","Traînée Aérdynamique",IF(Lang="English","Drag",""))</f>
        <v>Traînée Aérdynamique</v>
      </c>
      <c r="D14" s="612"/>
      <c r="N14" s="58"/>
    </row>
    <row r="15" spans="1:14" ht="12.75" customHeight="1" x14ac:dyDescent="0.2">
      <c r="A15" s="59"/>
      <c r="B15" s="140" t="s">
        <v>40</v>
      </c>
      <c r="C15" s="613">
        <f>(PI()*D_ref^2/4+E_ail*ep_ail*Q_ail)/10^6</f>
        <v>8.6997781717798543E-3</v>
      </c>
      <c r="D15" s="613"/>
      <c r="N15" s="58"/>
    </row>
    <row r="16" spans="1:14" ht="12.75" customHeight="1" x14ac:dyDescent="0.2">
      <c r="A16" s="59"/>
      <c r="B16" s="141" t="s">
        <v>5</v>
      </c>
      <c r="C16" s="605">
        <v>0.6</v>
      </c>
      <c r="D16" s="606"/>
      <c r="N16" s="58"/>
    </row>
    <row r="17" spans="1:18" ht="12.75" customHeight="1" x14ac:dyDescent="0.2">
      <c r="A17" s="59"/>
      <c r="N17" s="58"/>
    </row>
    <row r="18" spans="1:18" ht="12.75" customHeight="1" x14ac:dyDescent="0.2">
      <c r="A18" s="59"/>
      <c r="B18"/>
      <c r="C18" s="612" t="str">
        <f>IF(Lang="Français","Rampe de Lancement",IF(Lang="English","Launch Pad",""))</f>
        <v>Rampe de Lancement</v>
      </c>
      <c r="D18" s="612"/>
      <c r="N18" s="58"/>
    </row>
    <row r="19" spans="1:18" ht="12.75" customHeight="1" x14ac:dyDescent="0.2">
      <c r="A19" s="59"/>
      <c r="B19" s="140" t="str">
        <f>IF(Lang="Français","Longueur",IF(Lang="English","Length",""))</f>
        <v>Longueur</v>
      </c>
      <c r="C19" s="609">
        <f>IF(RIGHT(Type_fusee,1)=".",4, IF(LEFT(Type_fusee,4)="Mini",2.5, IF(LEFT(Type_fusee,5)="Micro",1, IF(RIGHT(Type_fusee,1)=" ",0.1,IF(LEFT(Type_fusee,1)="R",3, 2.5)))))</f>
        <v>4</v>
      </c>
      <c r="D19" s="609"/>
      <c r="N19" s="58"/>
    </row>
    <row r="20" spans="1:18" ht="12.75" customHeight="1" x14ac:dyDescent="0.2">
      <c r="A20" s="59"/>
      <c r="B20" s="140" t="str">
        <f>IF(Lang="Français","Élévation",IF(Lang="English","Angle /horizon",""))</f>
        <v>Élévation</v>
      </c>
      <c r="C20" s="608">
        <v>80</v>
      </c>
      <c r="D20" s="608"/>
      <c r="N20" s="58"/>
    </row>
    <row r="21" spans="1:18" ht="12.75" customHeight="1" x14ac:dyDescent="0.2">
      <c r="A21" s="59"/>
      <c r="B21" s="140" t="s">
        <v>6</v>
      </c>
      <c r="C21" s="609">
        <v>0</v>
      </c>
      <c r="D21" s="609"/>
      <c r="N21" s="58"/>
    </row>
    <row r="22" spans="1:18" x14ac:dyDescent="0.2">
      <c r="A22" s="59"/>
      <c r="F22" s="384" t="str">
        <f ca="1">IF( OR( AND(Vsortie_de_rampe&lt;18, RIGHT(Type_fusee,1)=";"), AND(Vsortie_de_rampe&lt;20, RIGHT(Type_fusee,1)=".")), IF(Lang="Français","Vitesse en Sortie de Rampe trop faible, alléger la fusée ou choisir un propu plus puissant.","Speed at Launch Pad Exit too low, lighten the rocket or choose a bigger motor."), "")</f>
        <v/>
      </c>
      <c r="N22" s="58"/>
    </row>
    <row r="23" spans="1:18" x14ac:dyDescent="0.2">
      <c r="A23" s="59"/>
      <c r="C23" s="614" t="str">
        <f>IF(Lang="Français","DescenteSousParachute",IF(Lang="English","Over Parachute",""))</f>
        <v>DescenteSousParachute</v>
      </c>
      <c r="D23" s="615"/>
      <c r="F23" s="4"/>
      <c r="G23" s="50">
        <f ca="1">TODAY()</f>
        <v>45862</v>
      </c>
      <c r="H23" s="489" t="str">
        <f>IF(Lang="Français","Temps",IF(Lang="English","Time",""))</f>
        <v>Temps</v>
      </c>
      <c r="I23" s="489" t="s">
        <v>12</v>
      </c>
      <c r="J23" s="489" t="str">
        <f>IF(Lang="Français","Portée x",IF(Lang="English","Range x",""))</f>
        <v>Portée x</v>
      </c>
      <c r="K23" s="489" t="str">
        <f>IF(Lang="Français","Vitesse",IF(Lang="English","Velocity",""))</f>
        <v>Vitesse</v>
      </c>
      <c r="L23" s="490" t="s">
        <v>13</v>
      </c>
      <c r="M23" s="499" t="s">
        <v>421</v>
      </c>
      <c r="N23" s="58"/>
    </row>
    <row r="24" spans="1:18" x14ac:dyDescent="0.2">
      <c r="A24" s="59"/>
      <c r="B24"/>
      <c r="C24" s="142" t="str">
        <f>C7</f>
        <v>Fusée</v>
      </c>
      <c r="D24" s="220" t="s">
        <v>121</v>
      </c>
      <c r="E24" s="18" t="str">
        <f>IF(ABS(T_satellite-0.11-T_para)&lt;0.1,"Pb!","")</f>
        <v/>
      </c>
      <c r="F24" s="616" t="str">
        <f>IF(Lang="Français","Sortie de Rampe",IF(Lang="English","Launch-Pad Exit",""))</f>
        <v>Sortie de Rampe</v>
      </c>
      <c r="G24" s="617"/>
      <c r="H24" s="491"/>
      <c r="I24" s="491"/>
      <c r="J24" s="491"/>
      <c r="K24" s="492">
        <f ca="1">INDEX(vit_xz,MATCH("Sortie de rampe",Event,0))</f>
        <v>34.368625082388796</v>
      </c>
      <c r="L24" s="493"/>
      <c r="M24" s="500"/>
      <c r="N24" s="58"/>
    </row>
    <row r="25" spans="1:18" x14ac:dyDescent="0.2">
      <c r="A25" s="59"/>
      <c r="B25" s="466" t="str">
        <f>IF(Lang="Français","Masse",IF(Lang="English","Mass",""))</f>
        <v>Masse</v>
      </c>
      <c r="C25" s="467">
        <f ca="1">IF(Nb_sat="0 satellite",MasseVide,MasseVide-m_satellite)</f>
        <v>6.15</v>
      </c>
      <c r="D25" s="480">
        <f>IF(RIGHT(Type_fusee,1)=".",1,0.15)</f>
        <v>1</v>
      </c>
      <c r="F25" s="619" t="str">
        <f>IF(Lang="Français","Vit max &amp; Acc max",IF(Lang="English","Max Velocity &amp; Acc",""))</f>
        <v>Vit max &amp; Acc max</v>
      </c>
      <c r="G25" s="599"/>
      <c r="H25" s="115"/>
      <c r="I25" s="115"/>
      <c r="J25" s="115"/>
      <c r="K25" s="158">
        <f ca="1">MAX(vit_xz)</f>
        <v>230.800705101056</v>
      </c>
      <c r="L25" s="494">
        <f ca="1">MAX(acc_xz)</f>
        <v>157.92847039757427</v>
      </c>
      <c r="M25" s="500"/>
      <c r="N25" s="58"/>
    </row>
    <row r="26" spans="1:18" x14ac:dyDescent="0.2">
      <c r="A26" s="59"/>
      <c r="B26" s="469" t="str">
        <f>IF(Lang="Français","Dépotage",IF(Lang="English","Delay",""))</f>
        <v>Dépotage</v>
      </c>
      <c r="C26" s="505" t="s">
        <v>407</v>
      </c>
      <c r="D26" s="535"/>
      <c r="F26" s="620" t="str">
        <f>IF(Lang="Français","Largage du satellite",IF(Lang="English","Satellite separation",""))</f>
        <v>Largage du satellite</v>
      </c>
      <c r="G26" s="601"/>
      <c r="H26" s="152">
        <f>IF(T_satellite&lt;&gt;0,T_satellite,"")</f>
        <v>4.7</v>
      </c>
      <c r="I26" s="156">
        <f ca="1">IF(T_satellite&lt;&gt;0,INDEX(pos_z,MATCH("Satellite",Event_sat,0)),"")</f>
        <v>765.22663379962705</v>
      </c>
      <c r="J26" s="154">
        <f ca="1">IF(T_satellite&lt;&gt;0,INDEX(pos_x,MATCH("Satellite",Event_sat,0)),"")</f>
        <v>160.0409094743554</v>
      </c>
      <c r="K26" s="159">
        <f ca="1">IF(T_satellite&lt;&gt;0,INDEX(vit_xz,MATCH("Satellite",Event_sat,0)),"")</f>
        <v>154.59620716798821</v>
      </c>
      <c r="L26" s="495"/>
      <c r="M26" s="485">
        <f ca="1">1/2*Rho_moyen*1*V_ouv_sat^2*S_satellite</f>
        <v>1463.8742203320612</v>
      </c>
      <c r="N26" s="58"/>
    </row>
    <row r="27" spans="1:18" x14ac:dyDescent="0.2">
      <c r="A27" s="59"/>
      <c r="B27" s="468" t="str">
        <f>IF(Lang="Français","Ouverture para",IF(Lang="English","Opening time",""))</f>
        <v>Ouverture para</v>
      </c>
      <c r="C27" s="507">
        <v>17</v>
      </c>
      <c r="D27" s="507">
        <v>4.7</v>
      </c>
      <c r="F27" s="619" t="s">
        <v>15</v>
      </c>
      <c r="G27" s="599"/>
      <c r="H27" s="153">
        <f ca="1">INDEX(t,MATCH("Apogée",Event,0))</f>
        <v>16.699999999999971</v>
      </c>
      <c r="I27" s="157">
        <f ca="1">INDEX(pos_z,MATCH("Apogée",Event,0))</f>
        <v>1568.0396528360352</v>
      </c>
      <c r="J27" s="155">
        <f ca="1">INDEX(pos_x,MATCH("Apogée",Event,0))</f>
        <v>498.10676835156522</v>
      </c>
      <c r="K27" s="160">
        <f ca="1">INDEX(vit_xz,MATCH("Apogée",Event,0))</f>
        <v>24.734293944345122</v>
      </c>
      <c r="L27" s="496"/>
      <c r="M27" s="500"/>
      <c r="N27" s="58"/>
    </row>
    <row r="28" spans="1:18" x14ac:dyDescent="0.2">
      <c r="A28" s="59"/>
      <c r="B28" s="534" t="s">
        <v>558</v>
      </c>
      <c r="C28" s="507" t="s">
        <v>560</v>
      </c>
      <c r="D28" s="507"/>
      <c r="F28" s="618" t="str">
        <f>IF(Lang="Français","Ouverture parachute fusée",IF(Lang="English","Rocket parachute opening",""))</f>
        <v>Ouverture parachute fusée</v>
      </c>
      <c r="G28" s="604"/>
      <c r="H28" s="152">
        <f>T_para</f>
        <v>17</v>
      </c>
      <c r="I28" s="156">
        <f ca="1">INDEX(pos_z,MATCH("Para",Event_para,0))</f>
        <v>1567.745643178519</v>
      </c>
      <c r="J28" s="486">
        <f ca="1">INDEX(pos_x,MATCH("Para",Event_para,0))</f>
        <v>505.51508290765275</v>
      </c>
      <c r="K28" s="159">
        <f ca="1">INDEX(vit_xz,MATCH("Para",Event_para,0))</f>
        <v>24.780816753107047</v>
      </c>
      <c r="L28" s="495"/>
      <c r="M28" s="485">
        <f ca="1">1/2*Rho_moyen*1*V_ouverture^2*S_para</f>
        <v>180.73019513079362</v>
      </c>
      <c r="N28" s="58"/>
      <c r="P28" s="384" t="str">
        <f ca="1">IF(V_para&lt;5, IF(Lang="Français","Parachute fusée trop grand !","Parachute too big!"), IF( V_para&gt;15, IF(Lang="Français","Parachute fusée trop petit !","Parachute too small!"), ""))</f>
        <v/>
      </c>
      <c r="R28" s="384" t="str">
        <f>IF(AND(Nb_sat="1 satellite", OR(V_satellite&lt;5)), IF(Lang="Français","Parachute satéllite trop grand !","Parachute too big"), IF(AND(Nb_sat="1 satellite",OR(V_satellite&gt;15)), IF(Lang="Français","Parachute satéllite trop petit !","Parachute too small!"), ""))</f>
        <v/>
      </c>
    </row>
    <row r="29" spans="1:18" x14ac:dyDescent="0.2">
      <c r="A29" s="59"/>
      <c r="B29" s="141" t="s">
        <v>9</v>
      </c>
      <c r="C29" s="225">
        <f>IF(C28="rond",S_para_rond,IF(C28="Croix",S_para_croix,0.5))</f>
        <v>0.48049999999999998</v>
      </c>
      <c r="D29" s="17">
        <f>IF(RIGHT(Type_fusee,1)=".",0.1,0.02)</f>
        <v>0.1</v>
      </c>
      <c r="F29" s="623" t="str">
        <f>IF(Lang="Français","Impact balistique",IF(Lang="English","Balistic Impact",""))</f>
        <v>Impact balistique</v>
      </c>
      <c r="G29" s="624"/>
      <c r="H29" s="497">
        <f ca="1">INDEX(t,MATCH("Impact balistique",Event,0))</f>
        <v>36.700000000000252</v>
      </c>
      <c r="I29" s="517" t="s">
        <v>428</v>
      </c>
      <c r="J29" s="487">
        <f ca="1">INDEX(pos_x,MATCH("Impact balistique",Event,0))</f>
        <v>889.84792314375909</v>
      </c>
      <c r="K29" s="501">
        <f ca="1">K47</f>
        <v>130.65658575680277</v>
      </c>
      <c r="L29" s="498"/>
      <c r="M29" s="502">
        <f ca="1">0.5*m_vide*K29^2</f>
        <v>52493.765959996126</v>
      </c>
      <c r="N29" s="58"/>
      <c r="P29" s="384" t="str">
        <f ca="1">IF( OR( V_para&lt;5, V_para&gt;15, AND(Nb_sat="1 satellite", OR(V_satellite&lt;5, V_satellite&gt;15))), IF(Lang="Français","La Vitesse de descente sous parachute doit être comprise entre 5 &amp; 15 m/s.","Fall Velocity with parachute must be between 5 &amp; 15 m/s."), "")</f>
        <v/>
      </c>
    </row>
    <row r="30" spans="1:18" x14ac:dyDescent="0.2">
      <c r="A30" s="59"/>
      <c r="B30" s="141" t="s">
        <v>10</v>
      </c>
      <c r="C30" s="143">
        <v>1</v>
      </c>
      <c r="D30" s="143">
        <v>1</v>
      </c>
      <c r="E30" s="18" t="str">
        <f>IF(AND(T_satellite=0,m_satellite&lt;&gt;0),"Erreur !","")</f>
        <v/>
      </c>
      <c r="G30" s="483"/>
      <c r="H30" s="484"/>
      <c r="I30" s="488"/>
      <c r="N30" s="58"/>
      <c r="P30" s="384" t="str">
        <f ca="1">IF(AND(Portee_balistique&gt;200,LEFT(Type_propu,4)="Mini"),IF(Lang="Français","Fusée trop lègère !","Rocket too light"),"")</f>
        <v/>
      </c>
    </row>
    <row r="31" spans="1:18" x14ac:dyDescent="0.2">
      <c r="A31" s="59"/>
      <c r="B31" s="141" t="str">
        <f>IF(Lang="Français","Vitesse du vent",IF(Lang="English","Wind speed",""))</f>
        <v>Vitesse du vent</v>
      </c>
      <c r="C31" s="144">
        <v>5</v>
      </c>
      <c r="D31" s="144">
        <f>V_vent</f>
        <v>5</v>
      </c>
      <c r="G31" s="483"/>
      <c r="H31" s="484"/>
      <c r="I31" s="488"/>
      <c r="N31" s="58"/>
      <c r="P31" s="384" t="str">
        <f ca="1">IF(OR(AND(Vsortie_de_rampe&lt;20,LEFT(Type_fusee,1)="F"),AND(Vsortie_de_rampe&lt;18, OR(LEFT(Type_fusee,1)=",",LEFT(Type_fusee,4)="Mini",LEFT(Type_fusee,1)="R"))),IF(Lang="Français","Fusée trop lourde ou rampe trop courte !","Rocket too heavy or launch pad too small!"),"")</f>
        <v/>
      </c>
    </row>
    <row r="32" spans="1:18" x14ac:dyDescent="0.2">
      <c r="A32" s="59"/>
      <c r="B32" s="133" t="str">
        <f>IF(Lang="Français","Vitesse descente",IF(Lang="English","Fall velocity",""))</f>
        <v>Vitesse descente</v>
      </c>
      <c r="C32" s="424">
        <f ca="1">SQRT(2*m_vide*g/Rho_moyen/S_para/Cx_para)</f>
        <v>14.317669033109237</v>
      </c>
      <c r="D32" s="424">
        <f>SQRT(2*m_satellite*g/Rho_moyen/S_satellite/Cx_satellite)</f>
        <v>12.655562623057198</v>
      </c>
      <c r="F32" s="384"/>
      <c r="K32" s="388"/>
      <c r="N32" s="395"/>
      <c r="P32" s="384" t="str">
        <f ca="1">IF(Temps_culmi-T_para&gt;2,IF(Lang="Français","Ouverture parachute fusée précoce.","Early rocket parachute opening."),IF(Temps_culmi-T_para&lt;-2,IF(Lang="Français","Ouverture parachute fusée tardive.","Late rocket parachute opening."),""))</f>
        <v/>
      </c>
    </row>
    <row r="33" spans="1:16" x14ac:dyDescent="0.2">
      <c r="A33" s="59"/>
      <c r="B33" s="133" t="str">
        <f>IF(Lang="Français","Durée descente",IF(Lang="English","Fall duration",""))</f>
        <v>Durée descente</v>
      </c>
      <c r="C33" s="132">
        <f ca="1">Alt_para/V_para</f>
        <v>109.49726799475167</v>
      </c>
      <c r="D33" s="132">
        <f ca="1">IF(V_satellite&lt;&gt;0,Alt_sat/V_satellite,0)</f>
        <v>60.465635277680889</v>
      </c>
      <c r="H33" s="625" t="str">
        <f>IF(Lang="Français","Pour localiser la fusée","To locate the rocket")</f>
        <v>Pour localiser la fusée</v>
      </c>
      <c r="I33" s="625"/>
      <c r="J33" s="482"/>
      <c r="N33" s="395"/>
      <c r="P33" s="384" t="str">
        <f ca="1">IF(ABS(Temps_culmi-T_para)&gt;2,IF(Lang="Français","Attention, aux efforts sur le parachute lors de l'ouverture !","Becarefull to the opening chute efforts!"),"")</f>
        <v/>
      </c>
    </row>
    <row r="34" spans="1:16" customFormat="1" x14ac:dyDescent="0.2">
      <c r="A34" s="59"/>
      <c r="B34" s="133" t="str">
        <f>IF(Lang="Français","Durée du vol",IF(Lang="English","Fligth duration",""))</f>
        <v>Durée du vol</v>
      </c>
      <c r="C34" s="132">
        <f ca="1">T_para+Dt_para</f>
        <v>126.49726799475167</v>
      </c>
      <c r="D34" s="132">
        <f ca="1">T_satellite+Dt_satellite</f>
        <v>65.165635277680892</v>
      </c>
      <c r="F34" s="625" t="str">
        <f>IF(Lang="Français","Couleur fuselage/coiffe","Body/Nose color")</f>
        <v>Couleur fuselage/coiffe</v>
      </c>
      <c r="G34" s="625"/>
      <c r="H34" s="621" t="s">
        <v>266</v>
      </c>
      <c r="I34" s="622"/>
      <c r="J34" s="1"/>
      <c r="K34" s="1"/>
      <c r="L34" s="1"/>
      <c r="M34" s="1"/>
      <c r="N34" s="394"/>
    </row>
    <row r="35" spans="1:16" x14ac:dyDescent="0.2">
      <c r="A35" s="74"/>
      <c r="B35" s="133" t="str">
        <f>IF(Lang="Français","Déport latéral",IF(Lang="English","Lateral shift",""))</f>
        <v>Déport latéral</v>
      </c>
      <c r="C35" s="151">
        <f ca="1">Alt_para*V_vent/V_para</f>
        <v>547.48633997375839</v>
      </c>
      <c r="D35" s="151">
        <f ca="1">IF(V_satellite&lt;&gt;0,Alt_sat*V_vent_sat/V_satellite,0)</f>
        <v>302.32817638840447</v>
      </c>
      <c r="F35" s="625" t="str">
        <f>IF(Lang="Français","Couleur parachute fusée","Rocket parachute color")</f>
        <v>Couleur parachute fusée</v>
      </c>
      <c r="G35" s="625"/>
      <c r="H35" s="621" t="s">
        <v>267</v>
      </c>
      <c r="I35" s="622"/>
      <c r="J35"/>
      <c r="K35"/>
      <c r="L35"/>
      <c r="M35"/>
      <c r="N35" s="394" t="str">
        <f>IF(Lang="Français","fichier initial","Initial file")</f>
        <v>fichier initial</v>
      </c>
      <c r="P35"/>
    </row>
    <row r="36" spans="1:16" x14ac:dyDescent="0.2">
      <c r="A36" s="59"/>
      <c r="F36" s="625" t="str">
        <f>IF(Lang="Français","Couleur parachute satellite","Satellite parachute color")</f>
        <v>Couleur parachute satellite</v>
      </c>
      <c r="G36" s="625"/>
      <c r="H36" s="629" t="s">
        <v>158</v>
      </c>
      <c r="I36" s="629"/>
      <c r="N36" s="393" t="str">
        <f>IF(ROUND(SUM(Propu!5:1228),0)=437735,"propu OK","propu NOK")</f>
        <v>propu OK</v>
      </c>
      <c r="P36"/>
    </row>
    <row r="37" spans="1:16" ht="13.5" thickBot="1" x14ac:dyDescent="0.25">
      <c r="A37" s="60"/>
      <c r="B37" s="181" t="str">
        <f>IF(Lang="Français","Commentaire libre :",IF(Lang="English","Free comment:",""))</f>
        <v>Commentaire libre :</v>
      </c>
      <c r="C37" s="61"/>
      <c r="D37" s="61"/>
      <c r="E37" s="61"/>
      <c r="F37" s="61"/>
      <c r="G37" s="61"/>
      <c r="H37" s="61"/>
      <c r="I37" s="61"/>
      <c r="J37" s="61"/>
      <c r="K37" s="61"/>
      <c r="L37" s="61"/>
      <c r="M37" s="61"/>
      <c r="N37" s="290" t="s">
        <v>567</v>
      </c>
    </row>
    <row r="40" spans="1:16" x14ac:dyDescent="0.2">
      <c r="A40" s="626" t="str">
        <f>IF(Lang="Français","Calcul de la surface d'un parachute","Parachute surface calculation")</f>
        <v>Calcul de la surface d'un parachute</v>
      </c>
      <c r="B40" s="627"/>
      <c r="C40" s="627"/>
      <c r="D40" s="628"/>
      <c r="F40" s="626" t="str">
        <f>IF(Lang="Français","Résultats détaillés","Detailled results")</f>
        <v>Résultats détaillés</v>
      </c>
      <c r="G40" s="628"/>
      <c r="H40" s="170" t="str">
        <f>IF(Lang="Français","Temps",IF(Lang="English","Time",""))</f>
        <v>Temps</v>
      </c>
      <c r="I40" s="134" t="s">
        <v>12</v>
      </c>
      <c r="J40" s="134" t="str">
        <f>IF(Lang="Français","Portée x",IF(Lang="English","Range x",""))</f>
        <v>Portée x</v>
      </c>
      <c r="K40" s="134" t="str">
        <f>IF(Lang="Français","Vitesse",IF(Lang="English","Velocity",""))</f>
        <v>Vitesse</v>
      </c>
      <c r="L40" s="135" t="s">
        <v>13</v>
      </c>
      <c r="M40" s="134" t="s">
        <v>41</v>
      </c>
    </row>
    <row r="41" spans="1:16" x14ac:dyDescent="0.2">
      <c r="A41" s="161"/>
      <c r="D41" s="162"/>
      <c r="F41" s="172"/>
      <c r="G41" s="173"/>
      <c r="H41" s="171" t="s">
        <v>153</v>
      </c>
      <c r="I41" s="136" t="s">
        <v>38</v>
      </c>
      <c r="J41" s="136" t="s">
        <v>38</v>
      </c>
      <c r="K41" s="136" t="s">
        <v>154</v>
      </c>
      <c r="L41" s="136" t="s">
        <v>7</v>
      </c>
      <c r="M41" s="136" t="s">
        <v>155</v>
      </c>
    </row>
    <row r="42" spans="1:16" x14ac:dyDescent="0.2">
      <c r="A42" s="161"/>
      <c r="D42" s="162"/>
      <c r="F42" s="598" t="str">
        <f>IF(Lang="Français","Décollage",IF(Lang="English","Lift-Off",""))</f>
        <v>Décollage</v>
      </c>
      <c r="G42" s="598"/>
      <c r="H42" s="150">
        <v>0</v>
      </c>
      <c r="I42" s="150">
        <v>0</v>
      </c>
      <c r="J42" s="150">
        <v>0</v>
      </c>
      <c r="K42" s="150">
        <v>0</v>
      </c>
      <c r="L42" s="148" t="s">
        <v>14</v>
      </c>
      <c r="M42" s="149">
        <f>Beta_rampe</f>
        <v>80</v>
      </c>
    </row>
    <row r="43" spans="1:16" x14ac:dyDescent="0.2">
      <c r="A43" s="161"/>
      <c r="B43" s="166" t="str">
        <f>IF(Lang="Français","Bord   'a'","Side length 'a'")</f>
        <v>Bord   'a'</v>
      </c>
      <c r="D43" s="162"/>
      <c r="F43" s="599" t="str">
        <f>IF(Lang="Français","Sortie de Rampe",IF(Lang="English","Launch-Pad Exit",""))</f>
        <v>Sortie de Rampe</v>
      </c>
      <c r="G43" s="599"/>
      <c r="H43" s="115">
        <f ca="1">INDEX(t,MATCH("Sortie de rampe",Event,0))</f>
        <v>0.24000000000000007</v>
      </c>
      <c r="I43" s="115">
        <f ca="1">INDEX(pos_z,MATCH("Sortie de rampe",Event,0))</f>
        <v>3.836703826804376</v>
      </c>
      <c r="J43" s="115">
        <f ca="1">INDEX(pos_x,MATCH("Sortie de rampe",Event,0))</f>
        <v>0.67647890344921857</v>
      </c>
      <c r="K43" s="116">
        <f ca="1">INDEX(vit_xz,MATCH("Sortie de rampe",Event,0))</f>
        <v>34.368625082388796</v>
      </c>
      <c r="L43" s="116">
        <f ca="1">INDEX(acc_xz,MATCH("Sortie de rampe",Event,0))</f>
        <v>154.54438576877951</v>
      </c>
      <c r="M43" s="116">
        <f ca="1">INDEX(BetaD,MATCH("Sortie de rampe",Event,0))</f>
        <v>80</v>
      </c>
    </row>
    <row r="44" spans="1:16" x14ac:dyDescent="0.2">
      <c r="A44" s="161"/>
      <c r="B44" s="167">
        <v>310</v>
      </c>
      <c r="D44" s="162"/>
      <c r="F44" s="599" t="str">
        <f>IF(Lang="Français","Vit max &amp; Acc max",IF(Lang="English","Max Velocity &amp; Acc",""))</f>
        <v>Vit max &amp; Acc max</v>
      </c>
      <c r="G44" s="599"/>
      <c r="H44" s="115" t="s">
        <v>14</v>
      </c>
      <c r="I44" s="115" t="s">
        <v>14</v>
      </c>
      <c r="J44" s="115" t="s">
        <v>14</v>
      </c>
      <c r="K44" s="117">
        <f ca="1">MAX(vit_xz)</f>
        <v>230.800705101056</v>
      </c>
      <c r="L44" s="118">
        <f ca="1">MAX(acc_xz)</f>
        <v>157.92847039757427</v>
      </c>
      <c r="M44" s="116" t="s">
        <v>14</v>
      </c>
    </row>
    <row r="45" spans="1:16" x14ac:dyDescent="0.2">
      <c r="A45" s="161"/>
      <c r="B45" s="166" t="str">
        <f>IF(Lang="Français","Coté   'b'","Side width 'b'")</f>
        <v>Coté   'b'</v>
      </c>
      <c r="D45" s="162"/>
      <c r="F45" s="599" t="str">
        <f>IF(Lang="Français","Fin de Propulsion",IF(Lang="English","Motor Burn-Out",""))</f>
        <v>Fin de Propulsion</v>
      </c>
      <c r="G45" s="599"/>
      <c r="H45" s="116">
        <f ca="1">INDEX(t,MATCH("Fin de propulsion",Event,0))</f>
        <v>1.7100000000000013</v>
      </c>
      <c r="I45" s="119">
        <f ca="1">INDEX(pos_z,MATCH("Fin de propulsion",Event,0))</f>
        <v>212.63385665462681</v>
      </c>
      <c r="J45" s="119">
        <f ca="1">INDEX(pos_x,MATCH("Fin de propulsion",Event,0))</f>
        <v>41.219908555212577</v>
      </c>
      <c r="K45" s="119">
        <f ca="1">INDEX(vit_xz,MATCH("Fin de propulsion",Event,0))</f>
        <v>230.02796583287386</v>
      </c>
      <c r="L45" s="116">
        <f ca="1">INDEX(acc_xz,MATCH("Fin de propulsion",Event,0))</f>
        <v>32.90949275323419</v>
      </c>
      <c r="M45" s="116">
        <f ca="1">INDEX(BetaD,MATCH("Fin de propulsion",Event,0))</f>
        <v>78.674196785840664</v>
      </c>
    </row>
    <row r="46" spans="1:16" x14ac:dyDescent="0.2">
      <c r="A46" s="161"/>
      <c r="B46" s="168">
        <v>310</v>
      </c>
      <c r="D46" s="162"/>
      <c r="F46" s="599" t="s">
        <v>15</v>
      </c>
      <c r="G46" s="599"/>
      <c r="H46" s="118">
        <f ca="1">INDEX(t,MATCH("Apogée",Event,0))</f>
        <v>16.699999999999971</v>
      </c>
      <c r="I46" s="117">
        <f ca="1">INDEX(pos_z,MATCH("Apogée",Event,0))</f>
        <v>1568.0396528360352</v>
      </c>
      <c r="J46" s="120">
        <f ca="1">INDEX(pos_x,MATCH("Apogée",Event,0))</f>
        <v>498.10676835156522</v>
      </c>
      <c r="K46" s="120">
        <f ca="1">INDEX(vit_xz,MATCH("Apogée",Event,0))</f>
        <v>24.734293944345122</v>
      </c>
      <c r="L46" s="116">
        <f ca="1">INDEX(acc_xz,MATCH("Apogée",Event,0))</f>
        <v>9.8267650980716024</v>
      </c>
      <c r="M46" s="121">
        <f ca="1">INDEX(BetaD,MATCH("Apogée",Event,0))</f>
        <v>1.1383600801381681</v>
      </c>
    </row>
    <row r="47" spans="1:16" x14ac:dyDescent="0.2">
      <c r="A47" s="161"/>
      <c r="B47" s="169" t="s">
        <v>9</v>
      </c>
      <c r="D47" s="162"/>
      <c r="F47" s="602" t="str">
        <f>IF(Lang="Français","Impact balistique",IF(Lang="English","Balistic Impact",""))</f>
        <v>Impact balistique</v>
      </c>
      <c r="G47" s="602"/>
      <c r="H47" s="116">
        <f ca="1">INDEX(t,MATCH("Impact balistique",Event,0))</f>
        <v>36.700000000000252</v>
      </c>
      <c r="I47" s="148" t="s">
        <v>16</v>
      </c>
      <c r="J47" s="117">
        <f ca="1">INDEX(pos_x,MATCH("Impact balistique",Event,0))</f>
        <v>889.84792314375909</v>
      </c>
      <c r="K47" s="119">
        <f ca="1">INDEX(vit_xz,MATCH("Impact balistique",Event,0))</f>
        <v>130.65658575680277</v>
      </c>
      <c r="L47" s="116">
        <f ca="1">INDEX(acc_xz,MATCH("Impact balistique",Event,0))</f>
        <v>2.357559010180168</v>
      </c>
      <c r="M47" s="116">
        <f ca="1">INDEX(BetaD,MATCH("Impact balistique",Event,0))</f>
        <v>-84.52872678277906</v>
      </c>
    </row>
    <row r="48" spans="1:16" x14ac:dyDescent="0.2">
      <c r="A48" s="161"/>
      <c r="B48" s="174">
        <f>(4*B44*B46+B44^2)/10^6</f>
        <v>0.48049999999999998</v>
      </c>
      <c r="D48" s="162"/>
      <c r="F48" s="604" t="str">
        <f>IF(Lang="Français","Ouverture parachute fusée",IF(Lang="English","Rocket parachute opening",""))</f>
        <v>Ouverture parachute fusée</v>
      </c>
      <c r="G48" s="604"/>
      <c r="H48" s="122">
        <f>T_para</f>
        <v>17</v>
      </c>
      <c r="I48" s="123">
        <f ca="1">INDEX(pos_z,MATCH("Para",Event_para,0))</f>
        <v>1567.745643178519</v>
      </c>
      <c r="J48" s="123">
        <f ca="1">INDEX(pos_x,MATCH("Para",Event_para,0))</f>
        <v>505.51508290765275</v>
      </c>
      <c r="K48" s="123">
        <f ca="1">INDEX(vit_xz,MATCH("Para",Event_para,0))</f>
        <v>24.780816753107047</v>
      </c>
      <c r="L48" s="122">
        <f ca="1">INDEX(acc_xz,MATCH("Para",Event_para,0))</f>
        <v>9.7988801425361309</v>
      </c>
      <c r="M48" s="124">
        <f ca="1">INDEX(BetaD,MATCH("Para",Event_para,0))</f>
        <v>-5.6744311010980324</v>
      </c>
    </row>
    <row r="49" spans="1:13" x14ac:dyDescent="0.2">
      <c r="A49" s="161"/>
      <c r="D49" s="162"/>
      <c r="F49" s="603" t="str">
        <f>IF(Lang="Français","Impact fusée sous para.",IF(Lang="English","Impact of rocket with para. ",""))</f>
        <v>Impact fusée sous para.</v>
      </c>
      <c r="G49" s="603"/>
      <c r="H49" s="125">
        <f ca="1">T_para+Dt_para</f>
        <v>126.49726799475167</v>
      </c>
      <c r="I49" s="127" t="s">
        <v>16</v>
      </c>
      <c r="J49" s="126" t="str">
        <f ca="1">CONCATENATE(TEXT(X_para-Dx_para,"0")," | ",TEXT(X_para+Dx_para,"0"))</f>
        <v>-42 | 1053</v>
      </c>
      <c r="K49" s="126">
        <f ca="1">V_para</f>
        <v>14.317669033109237</v>
      </c>
      <c r="L49" s="128">
        <f>g</f>
        <v>9.81</v>
      </c>
      <c r="M49" s="128" t="s">
        <v>14</v>
      </c>
    </row>
    <row r="50" spans="1:13" x14ac:dyDescent="0.2">
      <c r="A50" s="161"/>
      <c r="D50" s="162"/>
      <c r="F50" s="600" t="str">
        <f>IF(Lang="Français","Largage du satellite",IF(Lang="English","Satellite separation",""))</f>
        <v>Largage du satellite</v>
      </c>
      <c r="G50" s="601"/>
      <c r="H50" s="122">
        <f>IF(T_satellite&lt;&gt;0,T_satellite,"")</f>
        <v>4.7</v>
      </c>
      <c r="I50" s="123">
        <f ca="1">IF(T_satellite&lt;&gt;0,INDEX(pos_z,MATCH("Satellite",Event_sat,0)),"")</f>
        <v>765.22663379962705</v>
      </c>
      <c r="J50" s="129">
        <f ca="1">IF(T_satellite&lt;&gt;0,INDEX(pos_x,MATCH("Satellite",Event_sat,0)),"")</f>
        <v>160.0409094743554</v>
      </c>
      <c r="K50" s="123">
        <f ca="1">IF(T_satellite&lt;&gt;0,INDEX(vit_xz,MATCH("Satellite",Event_sat,0)),"")</f>
        <v>154.59620716798821</v>
      </c>
      <c r="L50" s="122">
        <f ca="1">IF(T_satellite&lt;&gt;0,INDEX(acc_xz,MATCH("Satellite",Event_sat,0)),"")</f>
        <v>19.847322097651208</v>
      </c>
      <c r="M50" s="124">
        <f ca="1">IF(T_satellite&lt;&gt;0,INDEX(BetaD,MATCH("Satellite",Event_sat,0)),"")</f>
        <v>76.754543066822237</v>
      </c>
    </row>
    <row r="51" spans="1:13" x14ac:dyDescent="0.2">
      <c r="A51" s="161"/>
      <c r="B51" s="166" t="str">
        <f>IF(Lang="Français","Rayon exterieur","Half-diameter ext")</f>
        <v>Rayon exterieur</v>
      </c>
      <c r="D51" s="162"/>
      <c r="F51" s="596" t="str">
        <f>IF(Lang="Français","Impact du satellite",IF(Lang="English","Satellite impact",""))</f>
        <v>Impact du satellite</v>
      </c>
      <c r="G51" s="597"/>
      <c r="H51" s="125">
        <f ca="1">IF(T_satellite&lt;&gt;0,T_satellite+Dt_satellite,"")</f>
        <v>65.165635277680892</v>
      </c>
      <c r="I51" s="130" t="str">
        <f>IF(T_satellite&lt;&gt;0,"~0","")</f>
        <v>~0</v>
      </c>
      <c r="J51" s="130" t="str">
        <f ca="1">IF(T_satellite&lt;&gt;0,CONCATENATE(TEXT(X_satellite-Dx_sat,"0")," | ",TEXT(X_satellite+Dx_sat,"0")),"")</f>
        <v>-142 | 462</v>
      </c>
      <c r="K51" s="130">
        <f>IF(T_satellite&lt;&gt;0,V_satellite,"")</f>
        <v>12.655562623057198</v>
      </c>
      <c r="L51" s="128">
        <f>IF(T_satellite&lt;&gt;0,g,"")</f>
        <v>9.81</v>
      </c>
      <c r="M51" s="131" t="str">
        <f>IF(T_satellite&lt;&gt;0,"-","")</f>
        <v>-</v>
      </c>
    </row>
    <row r="52" spans="1:13" x14ac:dyDescent="0.2">
      <c r="A52" s="161"/>
      <c r="B52" s="168">
        <v>299</v>
      </c>
      <c r="D52" s="162"/>
    </row>
    <row r="53" spans="1:13" x14ac:dyDescent="0.2">
      <c r="A53" s="161"/>
      <c r="B53" s="166" t="str">
        <f>IF(Lang="Français","Rayon intérieur","Half-diameter int")</f>
        <v>Rayon intérieur</v>
      </c>
      <c r="D53" s="162"/>
    </row>
    <row r="54" spans="1:13" x14ac:dyDescent="0.2">
      <c r="A54" s="161"/>
      <c r="B54" s="168">
        <v>29</v>
      </c>
      <c r="D54" s="162"/>
    </row>
    <row r="55" spans="1:13" x14ac:dyDescent="0.2">
      <c r="A55" s="161"/>
      <c r="B55" s="169" t="s">
        <v>9</v>
      </c>
      <c r="D55" s="162"/>
    </row>
    <row r="56" spans="1:13" x14ac:dyDescent="0.2">
      <c r="A56" s="161"/>
      <c r="B56" s="174">
        <f>PI()*(B52^2-B54^2)/10^6</f>
        <v>0.27821944540191207</v>
      </c>
      <c r="D56" s="162"/>
    </row>
    <row r="57" spans="1:13" x14ac:dyDescent="0.2">
      <c r="A57" s="163"/>
      <c r="B57" s="164"/>
      <c r="C57" s="164"/>
      <c r="D57" s="165"/>
    </row>
    <row r="94" spans="2:2" x14ac:dyDescent="0.2">
      <c r="B94" s="24" t="str">
        <f>IF(Lang="Français","Vitesse de descente sous parachute :",IF(Lang="English","Fall velocity over parachute:",""))</f>
        <v>Vitesse de descente sous parachute :</v>
      </c>
    </row>
    <row r="103" spans="2:9" x14ac:dyDescent="0.2">
      <c r="B103" s="24" t="str">
        <f>IF(Lang="Français","Textes pour les listes déroulantes et graphiques :","Texts for drop-down lists &amp; graphics :")</f>
        <v>Textes pour les listes déroulantes et graphiques :</v>
      </c>
    </row>
    <row r="104" spans="2:9" x14ac:dyDescent="0.2">
      <c r="F104" s="221" t="s">
        <v>407</v>
      </c>
      <c r="G104" s="1" t="s">
        <v>414</v>
      </c>
      <c r="I104" s="1" t="s">
        <v>559</v>
      </c>
    </row>
    <row r="105" spans="2:9" x14ac:dyDescent="0.2">
      <c r="B105" s="1" t="s">
        <v>120</v>
      </c>
      <c r="F105" s="477">
        <f ca="1">Combustion+Depotage-9</f>
        <v>-9</v>
      </c>
      <c r="G105" s="478" t="s">
        <v>409</v>
      </c>
      <c r="I105" s="1" t="s">
        <v>560</v>
      </c>
    </row>
    <row r="106" spans="2:9" x14ac:dyDescent="0.2">
      <c r="B106" s="1" t="s">
        <v>121</v>
      </c>
      <c r="F106" s="477">
        <f ca="1">Combustion+Depotage-7</f>
        <v>-7</v>
      </c>
      <c r="G106" s="478" t="s">
        <v>410</v>
      </c>
      <c r="I106" s="1" t="s">
        <v>561</v>
      </c>
    </row>
    <row r="107" spans="2:9" x14ac:dyDescent="0.2">
      <c r="B107" s="1" t="str">
        <f>IF(T_para&gt;0,IF(Lang="Français","Phase ascendante","Climbing phase"),"")</f>
        <v>Phase ascendante</v>
      </c>
      <c r="F107" s="477">
        <f ca="1">Combustion+Depotage-5</f>
        <v>-5</v>
      </c>
      <c r="G107" s="478" t="s">
        <v>411</v>
      </c>
    </row>
    <row r="108" spans="2:9" x14ac:dyDescent="0.2">
      <c r="B108" s="1" t="str">
        <f>IF(Lang="Français","Descente balistique","Balistic fall")</f>
        <v>Descente balistique</v>
      </c>
      <c r="F108" s="477">
        <f ca="1">Combustion+Depotage-3</f>
        <v>-3</v>
      </c>
      <c r="G108" s="478" t="s">
        <v>412</v>
      </c>
    </row>
    <row r="109" spans="2:9" x14ac:dyDescent="0.2">
      <c r="B109" s="1" t="str">
        <f>IF(T_para&gt;0,IF(Lang="Français","Fusée sous parachute","Rocket under parachute"),"")</f>
        <v>Fusée sous parachute</v>
      </c>
      <c r="F109" s="477">
        <f ca="1">Combustion+Depotage</f>
        <v>0</v>
      </c>
      <c r="G109" s="478" t="s">
        <v>413</v>
      </c>
    </row>
    <row r="110" spans="2:9" x14ac:dyDescent="0.2">
      <c r="B110" s="1" t="str">
        <f>IF(AND(Nb_sat="1 satellite",T_satellite&gt;0),IF(Lang="Français","Satellite sous parachute","Satellite over parachute"),"")</f>
        <v>Satellite sous parachute</v>
      </c>
      <c r="F110" s="479" t="str">
        <f>IF(Lang="Français","autre",IF(Lang="English","other",""))</f>
        <v>autre</v>
      </c>
    </row>
    <row r="111" spans="2:9" x14ac:dyDescent="0.2">
      <c r="B111" s="1" t="str">
        <f>IF(Lang="Français","Trajectoire (x z)","Trajectory (x z)")</f>
        <v>Trajectoire (x z)</v>
      </c>
    </row>
    <row r="112" spans="2:9" x14ac:dyDescent="0.2">
      <c r="B112" s="1" t="str">
        <f>IF(Lang="Français","Portée x [m]","Range x [m]")</f>
        <v>Portée x [m]</v>
      </c>
    </row>
    <row r="113" spans="2:3" x14ac:dyDescent="0.2">
      <c r="B113" s="1" t="str">
        <f>IF(Lang="Français","Temps [s]","Time [s]")</f>
        <v>Temps [s]</v>
      </c>
    </row>
    <row r="114" spans="2:3" x14ac:dyDescent="0.2">
      <c r="B114" s="1" t="str">
        <f>IF(Lang="Français","Altitude z  /  Temps","Altitude z  /  Time")</f>
        <v>Altitude z  /  Temps</v>
      </c>
      <c r="C114" s="1">
        <f>IF(OR(C26=F104,C26=F110),C27,C26)</f>
        <v>17</v>
      </c>
    </row>
    <row r="116" spans="2:3" x14ac:dyDescent="0.2">
      <c r="B116" s="1" t="s">
        <v>408</v>
      </c>
    </row>
    <row r="118" spans="2:3" x14ac:dyDescent="0.2">
      <c r="B118" s="24" t="str">
        <f>IF(Lang="Français","Données pour les graphiques :","Data for plots:")</f>
        <v>Données pour les graphiques :</v>
      </c>
    </row>
    <row r="120" spans="2:3" x14ac:dyDescent="0.2">
      <c r="B120" s="210" t="s">
        <v>47</v>
      </c>
      <c r="C120" s="211" t="s">
        <v>47</v>
      </c>
    </row>
    <row r="121" spans="2:3" x14ac:dyDescent="0.2">
      <c r="B121" s="218">
        <f ca="1">MAX(Altitude_culmi,Portee_balistique)</f>
        <v>1568.0396528360352</v>
      </c>
      <c r="C121" s="216">
        <f ca="1">MAX(Altitude_culmi,Portee_balistique)</f>
        <v>1568.0396528360352</v>
      </c>
    </row>
    <row r="123" spans="2:3" x14ac:dyDescent="0.2">
      <c r="B123" s="210" t="s">
        <v>49</v>
      </c>
      <c r="C123" s="211" t="s">
        <v>45</v>
      </c>
    </row>
    <row r="124" spans="2:3" x14ac:dyDescent="0.2">
      <c r="B124" s="217">
        <f ca="1">X_para</f>
        <v>505.51508290765275</v>
      </c>
      <c r="C124" s="214">
        <f ca="1">Alt_para</f>
        <v>1567.745643178519</v>
      </c>
    </row>
    <row r="125" spans="2:3" x14ac:dyDescent="0.2">
      <c r="B125" s="217">
        <f ca="1">X_para</f>
        <v>505.51508290765275</v>
      </c>
      <c r="C125" s="214">
        <f ca="1">Alt_para/2</f>
        <v>783.8728215892595</v>
      </c>
    </row>
    <row r="126" spans="2:3" x14ac:dyDescent="0.2">
      <c r="B126" s="217">
        <f ca="1">X_para</f>
        <v>505.51508290765275</v>
      </c>
      <c r="C126" s="214">
        <v>0</v>
      </c>
    </row>
    <row r="127" spans="2:3" x14ac:dyDescent="0.2">
      <c r="B127" s="217">
        <f ca="1">X_para+Alt_para/40</f>
        <v>544.70872398711572</v>
      </c>
      <c r="C127" s="214">
        <f ca="1">Alt_para/20</f>
        <v>78.387282158925956</v>
      </c>
    </row>
    <row r="128" spans="2:3" x14ac:dyDescent="0.2">
      <c r="B128" s="217">
        <f ca="1">X_para</f>
        <v>505.51508290765275</v>
      </c>
      <c r="C128" s="214">
        <v>0</v>
      </c>
    </row>
    <row r="129" spans="2:6" x14ac:dyDescent="0.2">
      <c r="B129" s="217">
        <f ca="1">X_para-Alt_para/40</f>
        <v>466.32144182818979</v>
      </c>
      <c r="C129" s="214">
        <f ca="1">Alt_para/20</f>
        <v>78.387282158925956</v>
      </c>
    </row>
    <row r="130" spans="2:6" x14ac:dyDescent="0.2">
      <c r="B130" s="218">
        <f ca="1">X_para</f>
        <v>505.51508290765275</v>
      </c>
      <c r="C130" s="219">
        <v>0</v>
      </c>
    </row>
    <row r="131" spans="2:6" x14ac:dyDescent="0.2">
      <c r="B131" s="210" t="s">
        <v>48</v>
      </c>
      <c r="C131" s="211" t="s">
        <v>45</v>
      </c>
    </row>
    <row r="132" spans="2:6" x14ac:dyDescent="0.2">
      <c r="B132" s="213">
        <f>T_para</f>
        <v>17</v>
      </c>
      <c r="C132" s="214">
        <f ca="1">Alt_para</f>
        <v>1567.745643178519</v>
      </c>
    </row>
    <row r="133" spans="2:6" x14ac:dyDescent="0.2">
      <c r="B133" s="213">
        <f ca="1">(B132+B134)/2</f>
        <v>71.748633997375833</v>
      </c>
      <c r="C133" s="214">
        <f ca="1">(C132+C134)/2</f>
        <v>783.8728215892595</v>
      </c>
      <c r="E133" s="232">
        <v>1</v>
      </c>
      <c r="F133" s="233" t="s">
        <v>175</v>
      </c>
    </row>
    <row r="134" spans="2:6" x14ac:dyDescent="0.2">
      <c r="B134" s="213">
        <f ca="1">H49</f>
        <v>126.49726799475167</v>
      </c>
      <c r="C134" s="214">
        <f>0</f>
        <v>0</v>
      </c>
      <c r="E134" s="161">
        <v>1</v>
      </c>
      <c r="F134" s="234" t="s">
        <v>176</v>
      </c>
    </row>
    <row r="135" spans="2:6" x14ac:dyDescent="0.2">
      <c r="B135" s="213">
        <f ca="1">H49+E133*sS/2*zZ_fus-E134*sS*tT_fus</f>
        <v>125.15548022762445</v>
      </c>
      <c r="C135" s="214">
        <f ca="1">Alt_para-V_para*(H49-T_para)+E133*sS*Altitude_culmi/H49*zZ_fus+E134*sS/2*Altitude_culmi/H49*tT_fus</f>
        <v>65.182199191846223</v>
      </c>
      <c r="E135" s="161"/>
      <c r="F135" s="241" t="s">
        <v>177</v>
      </c>
    </row>
    <row r="136" spans="2:6" x14ac:dyDescent="0.2">
      <c r="B136" s="213">
        <f ca="1">H49</f>
        <v>126.49726799475167</v>
      </c>
      <c r="C136" s="214">
        <f ca="1">Alt_para-V_para*(H49-T_para)</f>
        <v>0</v>
      </c>
      <c r="E136" s="235" t="s">
        <v>172</v>
      </c>
      <c r="F136" s="236">
        <f ca="1">T_balistique/10</f>
        <v>3.6700000000000252</v>
      </c>
    </row>
    <row r="137" spans="2:6" x14ac:dyDescent="0.2">
      <c r="B137" s="213">
        <f ca="1">H49-E133*sS/2*zZ_fus-E134*sS*tT_fus</f>
        <v>121.48548022762444</v>
      </c>
      <c r="C137" s="214">
        <f ca="1">Alt_para-V_para*(H49-T_para)+E133*sS*Altitude_culmi/H49*zZ_fus-E134*sS/2*Altitude_culmi/H49*tT_fus</f>
        <v>25.803252385606811</v>
      </c>
      <c r="E137" s="235" t="s">
        <v>173</v>
      </c>
      <c r="F137" s="236">
        <f ca="1">(H49-T_para)/H49</f>
        <v>0.86560974581122707</v>
      </c>
    </row>
    <row r="138" spans="2:6" x14ac:dyDescent="0.2">
      <c r="B138" s="215">
        <f ca="1">H49</f>
        <v>126.49726799475167</v>
      </c>
      <c r="C138" s="216">
        <f ca="1">Alt_para-V_para*(H49-T_para)</f>
        <v>0</v>
      </c>
      <c r="E138" s="237" t="s">
        <v>174</v>
      </c>
      <c r="F138" s="238">
        <f ca="1">V_para*(H49-T_para)/Alt_para</f>
        <v>1</v>
      </c>
    </row>
    <row r="140" spans="2:6" x14ac:dyDescent="0.2">
      <c r="B140" s="210" t="s">
        <v>51</v>
      </c>
      <c r="C140" s="211" t="s">
        <v>46</v>
      </c>
    </row>
    <row r="141" spans="2:6" x14ac:dyDescent="0.2">
      <c r="B141" s="217">
        <f ca="1">IF(Nb_sat="1 satellite",X_satellite)</f>
        <v>160.0409094743554</v>
      </c>
      <c r="C141" s="214">
        <f ca="1">IF(Nb_sat="1 satellite",Alt_sat)</f>
        <v>765.22663379962705</v>
      </c>
    </row>
    <row r="142" spans="2:6" x14ac:dyDescent="0.2">
      <c r="B142" s="217">
        <f ca="1">IF(Nb_sat="1 satellite",X_satellite)</f>
        <v>160.0409094743554</v>
      </c>
      <c r="C142" s="214">
        <f ca="1">IF(Nb_sat="1 satellite",Alt_sat*1/4)</f>
        <v>191.30665844990676</v>
      </c>
    </row>
    <row r="143" spans="2:6" x14ac:dyDescent="0.2">
      <c r="B143" s="217">
        <f ca="1">IF(Nb_sat="1 satellite",X_satellite)</f>
        <v>160.0409094743554</v>
      </c>
      <c r="C143" s="214">
        <f>IF(Nb_sat="1 satellite",0)</f>
        <v>0</v>
      </c>
    </row>
    <row r="144" spans="2:6" x14ac:dyDescent="0.2">
      <c r="B144" s="217">
        <f ca="1">IF(Nb_sat="1 satellite",X_satellite+Alt_sat/40)</f>
        <v>179.17157531934609</v>
      </c>
      <c r="C144" s="214">
        <f ca="1">IF(Nb_sat="1 satellite",Alt_sat/20)</f>
        <v>38.261331689981354</v>
      </c>
    </row>
    <row r="145" spans="2:6" x14ac:dyDescent="0.2">
      <c r="B145" s="217">
        <f ca="1">IF(Nb_sat="1 satellite",X_satellite)</f>
        <v>160.0409094743554</v>
      </c>
      <c r="C145" s="214">
        <f>IF(Nb_sat="1 satellite",0)</f>
        <v>0</v>
      </c>
    </row>
    <row r="146" spans="2:6" x14ac:dyDescent="0.2">
      <c r="B146" s="217">
        <f ca="1">IF(Nb_sat="1 satellite",X_satellite-Alt_sat/40)</f>
        <v>140.91024362936471</v>
      </c>
      <c r="C146" s="214">
        <f ca="1">IF(Nb_sat="1 satellite",Alt_sat/20)</f>
        <v>38.261331689981354</v>
      </c>
    </row>
    <row r="147" spans="2:6" x14ac:dyDescent="0.2">
      <c r="B147" s="218">
        <f ca="1">IF(Nb_sat="1 satellite",X_satellite)</f>
        <v>160.0409094743554</v>
      </c>
      <c r="C147" s="214">
        <f>IF(Nb_sat="1 satellite",0)</f>
        <v>0</v>
      </c>
    </row>
    <row r="148" spans="2:6" x14ac:dyDescent="0.2">
      <c r="B148" s="210" t="s">
        <v>50</v>
      </c>
      <c r="C148" s="211" t="s">
        <v>46</v>
      </c>
    </row>
    <row r="149" spans="2:6" x14ac:dyDescent="0.2">
      <c r="B149" s="213">
        <f>IF(Nb_sat="1 satellite",T_satellite)</f>
        <v>4.7</v>
      </c>
      <c r="C149" s="214">
        <f ca="1">IF(Nb_sat="1 satellite",Alt_sat)</f>
        <v>765.22663379962705</v>
      </c>
      <c r="D149" s="221"/>
    </row>
    <row r="150" spans="2:6" x14ac:dyDescent="0.2">
      <c r="B150" s="213">
        <f ca="1">(B149+B151)/2</f>
        <v>34.932817638840447</v>
      </c>
      <c r="C150" s="214">
        <f ca="1">(C149+C151)/2</f>
        <v>382.61331689981353</v>
      </c>
      <c r="D150" s="221"/>
    </row>
    <row r="151" spans="2:6" x14ac:dyDescent="0.2">
      <c r="B151" s="213">
        <f ca="1">IF(Nb_sat="1 satellite",H51)</f>
        <v>65.165635277680892</v>
      </c>
      <c r="C151" s="214">
        <f>IF(Nb_sat="1 satellite",0)</f>
        <v>0</v>
      </c>
    </row>
    <row r="152" spans="2:6" x14ac:dyDescent="0.2">
      <c r="B152" s="213">
        <f ca="1">IF(Nb_sat="1 satellite",H51+E133*sS/2*zZ_sat-E134*sS*tT_sat)</f>
        <v>62.936765403583571</v>
      </c>
      <c r="C152" s="214">
        <f ca="1">IF(Nb_sat="1 satellite",Alt_sat-V_satellite*(H51-T_satellite)+E133*sS*Altitude_culmi/H51*zZ_sat+E134*sS/2*Altitude_culmi/H51*tT_sat)</f>
        <v>85.235178201327415</v>
      </c>
      <c r="D152" s="221"/>
    </row>
    <row r="153" spans="2:6" x14ac:dyDescent="0.2">
      <c r="B153" s="213">
        <f ca="1">IF(Nb_sat="1 satellite",H51)</f>
        <v>65.165635277680892</v>
      </c>
      <c r="C153" s="214">
        <f>IF(Nb_sat="1 satellite",0)</f>
        <v>0</v>
      </c>
    </row>
    <row r="154" spans="2:6" x14ac:dyDescent="0.2">
      <c r="B154" s="213">
        <f ca="1">IF(Nb_sat="1 satellite",H51-sS/2*zZ_sat-E134*sS*tT_sat)</f>
        <v>60.994505151778164</v>
      </c>
      <c r="C154" s="214">
        <f ca="1">IF(Nb_sat="1 satellite",Alt_sat-V_satellite*(H51-T_satellite)+E133*sS*Altitude_culmi/H51*zZ_sat-E134*sS/2*Altitude_culmi/H51*tT_sat)</f>
        <v>8.2355929491613296</v>
      </c>
      <c r="E154" s="239" t="s">
        <v>173</v>
      </c>
      <c r="F154" s="240">
        <f ca="1">(T_balistique-T_satellite)/T_balistique</f>
        <v>0.87193460490463293</v>
      </c>
    </row>
    <row r="155" spans="2:6" x14ac:dyDescent="0.2">
      <c r="B155" s="215">
        <f ca="1">IF(Nb_sat="1 satellite",H51)</f>
        <v>65.165635277680892</v>
      </c>
      <c r="C155" s="216">
        <f>IF(Nb_sat="1 satellite",0)</f>
        <v>0</v>
      </c>
      <c r="E155" s="237" t="s">
        <v>174</v>
      </c>
      <c r="F155" s="238">
        <f ca="1">V_satellite*(T_balistique-T_satellite)/Alt_sat</f>
        <v>0.52922622664996799</v>
      </c>
    </row>
    <row r="157" spans="2:6" x14ac:dyDescent="0.2">
      <c r="B157" s="210" t="s">
        <v>2</v>
      </c>
      <c r="C157" s="228" t="s">
        <v>29</v>
      </c>
      <c r="D157" s="211" t="s">
        <v>3</v>
      </c>
    </row>
    <row r="158" spans="2:6" x14ac:dyDescent="0.2">
      <c r="B158" s="231">
        <f>T_para/4</f>
        <v>4.25</v>
      </c>
      <c r="C158" s="82">
        <f ca="1">Alt_para/2</f>
        <v>783.8728215892595</v>
      </c>
      <c r="D158" s="214">
        <f ca="1">X_para/4</f>
        <v>126.37877072691319</v>
      </c>
    </row>
    <row r="159" spans="2:6" x14ac:dyDescent="0.2">
      <c r="B159" s="229">
        <f ca="1">Temps_culmi + (T_balistique-Temps_culmi)/2</f>
        <v>26.700000000000109</v>
      </c>
      <c r="C159" s="230">
        <f ca="1">Altitude_culmi/2</f>
        <v>784.0198264180176</v>
      </c>
      <c r="D159" s="216">
        <f ca="1">X_culmi+(Portee_balistique-X_culmi)*2/3</f>
        <v>759.26753821302782</v>
      </c>
    </row>
    <row r="161" spans="2:6" x14ac:dyDescent="0.2">
      <c r="B161" s="210" t="s">
        <v>304</v>
      </c>
      <c r="C161" s="228" t="s">
        <v>303</v>
      </c>
      <c r="D161" s="422" t="s">
        <v>305</v>
      </c>
    </row>
    <row r="162" spans="2:6" x14ac:dyDescent="0.2">
      <c r="B162" s="231" t="e">
        <f ca="1">IF(AND(Altitude_culmi&gt;80, Altitude_culmi&lt;=350), 49, NA())</f>
        <v>#N/A</v>
      </c>
      <c r="C162" s="5">
        <v>0</v>
      </c>
      <c r="D162" s="82">
        <f t="shared" ref="D162:D177" ca="1" si="0">X_culmi+C162</f>
        <v>498.10676835156522</v>
      </c>
      <c r="E162" s="422"/>
      <c r="F162" s="423" t="s">
        <v>305</v>
      </c>
    </row>
    <row r="163" spans="2:6" x14ac:dyDescent="0.2">
      <c r="B163" s="231" t="e">
        <f ca="1">IF(AND(Altitude_culmi&gt;80, Altitude_culmi&lt;=350), 49, NA())</f>
        <v>#N/A</v>
      </c>
      <c r="C163" s="5">
        <v>23</v>
      </c>
      <c r="D163" s="82">
        <f t="shared" ca="1" si="0"/>
        <v>521.10676835156528</v>
      </c>
      <c r="E163" s="82"/>
      <c r="F163" s="214">
        <f t="shared" ref="F163:F178" ca="1" si="1">X_culmi-C162</f>
        <v>498.10676835156522</v>
      </c>
    </row>
    <row r="164" spans="2:6" x14ac:dyDescent="0.2">
      <c r="B164" s="231" t="e">
        <f ca="1">IF(AND(Altitude_culmi&gt;80, Altitude_culmi&lt;=350), 43, NA())</f>
        <v>#N/A</v>
      </c>
      <c r="C164" s="5">
        <v>23</v>
      </c>
      <c r="D164" s="82">
        <f t="shared" ca="1" si="0"/>
        <v>521.10676835156528</v>
      </c>
      <c r="E164" s="82"/>
      <c r="F164" s="214">
        <f t="shared" ca="1" si="1"/>
        <v>475.10676835156522</v>
      </c>
    </row>
    <row r="165" spans="2:6" x14ac:dyDescent="0.2">
      <c r="B165" s="231" t="e">
        <f ca="1">IF(AND(Altitude_culmi&gt;80, Altitude_culmi&lt;=350), 43, NA())</f>
        <v>#N/A</v>
      </c>
      <c r="C165" s="5">
        <v>0</v>
      </c>
      <c r="D165" s="82">
        <f t="shared" ca="1" si="0"/>
        <v>498.10676835156522</v>
      </c>
      <c r="E165" s="82"/>
      <c r="F165" s="214">
        <f t="shared" ca="1" si="1"/>
        <v>475.10676835156522</v>
      </c>
    </row>
    <row r="166" spans="2:6" x14ac:dyDescent="0.2">
      <c r="B166" s="231" t="e">
        <f ca="1">IF(AND(Altitude_culmi&gt;80, Altitude_culmi&lt;=350), 43, NA())</f>
        <v>#N/A</v>
      </c>
      <c r="C166" s="5">
        <v>23</v>
      </c>
      <c r="D166" s="82">
        <f t="shared" ca="1" si="0"/>
        <v>521.10676835156528</v>
      </c>
      <c r="E166" s="82"/>
      <c r="F166" s="214">
        <f t="shared" ca="1" si="1"/>
        <v>498.10676835156522</v>
      </c>
    </row>
    <row r="167" spans="2:6" x14ac:dyDescent="0.2">
      <c r="B167" s="231" t="e">
        <f ca="1">IF(AND(Altitude_culmi&gt;80, Altitude_culmi&lt;=350), 0.5, NA())</f>
        <v>#N/A</v>
      </c>
      <c r="C167" s="5">
        <v>23</v>
      </c>
      <c r="D167" s="82">
        <f t="shared" ca="1" si="0"/>
        <v>521.10676835156528</v>
      </c>
      <c r="E167" s="82"/>
      <c r="F167" s="214">
        <f t="shared" ca="1" si="1"/>
        <v>475.10676835156522</v>
      </c>
    </row>
    <row r="168" spans="2:6" x14ac:dyDescent="0.2">
      <c r="B168" s="231" t="e">
        <f ca="1">IF(AND(Altitude_culmi&gt;80, Altitude_culmi&lt;=350), 0.5, NA())</f>
        <v>#N/A</v>
      </c>
      <c r="C168" s="5">
        <v>8</v>
      </c>
      <c r="D168" s="82">
        <f t="shared" ca="1" si="0"/>
        <v>506.10676835156522</v>
      </c>
      <c r="E168" s="82"/>
      <c r="F168" s="214">
        <f t="shared" ca="1" si="1"/>
        <v>475.10676835156522</v>
      </c>
    </row>
    <row r="169" spans="2:6" x14ac:dyDescent="0.2">
      <c r="B169" s="231" t="e">
        <f ca="1">IF(AND(Altitude_culmi&gt;80, Altitude_culmi&lt;=350), 27, NA())</f>
        <v>#N/A</v>
      </c>
      <c r="C169" s="5">
        <v>8</v>
      </c>
      <c r="D169" s="82">
        <f t="shared" ca="1" si="0"/>
        <v>506.10676835156522</v>
      </c>
      <c r="E169" s="82"/>
      <c r="F169" s="214">
        <f t="shared" ca="1" si="1"/>
        <v>490.10676835156522</v>
      </c>
    </row>
    <row r="170" spans="2:6" x14ac:dyDescent="0.2">
      <c r="B170" s="231" t="e">
        <f ca="1">IF(AND(Altitude_culmi&gt;80, Altitude_culmi&lt;=350), 27, NA())</f>
        <v>#N/A</v>
      </c>
      <c r="C170" s="5">
        <v>23</v>
      </c>
      <c r="D170" s="82">
        <f t="shared" ca="1" si="0"/>
        <v>521.10676835156528</v>
      </c>
      <c r="E170" s="82"/>
      <c r="F170" s="214">
        <f t="shared" ca="1" si="1"/>
        <v>490.10676835156522</v>
      </c>
    </row>
    <row r="171" spans="2:6" x14ac:dyDescent="0.2">
      <c r="B171" s="231" t="e">
        <f ca="1">IF(AND(Altitude_culmi&gt;80, Altitude_culmi&lt;=350), 27, NA())</f>
        <v>#N/A</v>
      </c>
      <c r="C171" s="5">
        <v>8</v>
      </c>
      <c r="D171" s="82">
        <f t="shared" ca="1" si="0"/>
        <v>506.10676835156522</v>
      </c>
      <c r="E171" s="82"/>
      <c r="F171" s="214">
        <f t="shared" ca="1" si="1"/>
        <v>475.10676835156522</v>
      </c>
    </row>
    <row r="172" spans="2:6" x14ac:dyDescent="0.2">
      <c r="B172" s="231" t="e">
        <f ca="1">IF(AND(Altitude_culmi&gt;80, Altitude_culmi&lt;=350), 29, NA())</f>
        <v>#N/A</v>
      </c>
      <c r="C172" s="5">
        <v>7.6</v>
      </c>
      <c r="D172" s="82">
        <f t="shared" ca="1" si="0"/>
        <v>505.70676835156524</v>
      </c>
      <c r="E172" s="82"/>
      <c r="F172" s="214">
        <f t="shared" ca="1" si="1"/>
        <v>490.10676835156522</v>
      </c>
    </row>
    <row r="173" spans="2:6" x14ac:dyDescent="0.2">
      <c r="B173" s="231" t="e">
        <f ca="1">IF(AND(Altitude_culmi&gt;80, Altitude_culmi&lt;=350), 31, NA())</f>
        <v>#N/A</v>
      </c>
      <c r="C173" s="5">
        <v>6.8</v>
      </c>
      <c r="D173" s="82">
        <f t="shared" ca="1" si="0"/>
        <v>504.90676835156523</v>
      </c>
      <c r="E173" s="82"/>
      <c r="F173" s="214">
        <f t="shared" ca="1" si="1"/>
        <v>490.5067683515652</v>
      </c>
    </row>
    <row r="174" spans="2:6" x14ac:dyDescent="0.2">
      <c r="B174" s="231" t="e">
        <f ca="1">IF(AND(Altitude_culmi&gt;80, Altitude_culmi&lt;=350), 32, NA())</f>
        <v>#N/A</v>
      </c>
      <c r="C174" s="5">
        <v>6</v>
      </c>
      <c r="D174" s="82">
        <f t="shared" ca="1" si="0"/>
        <v>504.10676835156522</v>
      </c>
      <c r="E174" s="82"/>
      <c r="F174" s="214">
        <f t="shared" ca="1" si="1"/>
        <v>491.30676835156521</v>
      </c>
    </row>
    <row r="175" spans="2:6" x14ac:dyDescent="0.2">
      <c r="B175" s="231" t="e">
        <f ca="1">IF(AND(Altitude_culmi&gt;80, Altitude_culmi&lt;=350), 33, NA())</f>
        <v>#N/A</v>
      </c>
      <c r="C175" s="5">
        <v>5</v>
      </c>
      <c r="D175" s="82">
        <f t="shared" ca="1" si="0"/>
        <v>503.10676835156522</v>
      </c>
      <c r="E175" s="82"/>
      <c r="F175" s="214">
        <f t="shared" ca="1" si="1"/>
        <v>492.10676835156522</v>
      </c>
    </row>
    <row r="176" spans="2:6" x14ac:dyDescent="0.2">
      <c r="B176" s="231" t="e">
        <f ca="1">IF(AND(Altitude_culmi&gt;80, Altitude_culmi&lt;=350), 34, NA())</f>
        <v>#N/A</v>
      </c>
      <c r="C176" s="5">
        <v>3.8</v>
      </c>
      <c r="D176" s="82">
        <f t="shared" ca="1" si="0"/>
        <v>501.90676835156523</v>
      </c>
      <c r="E176" s="82"/>
      <c r="F176" s="214">
        <f t="shared" ca="1" si="1"/>
        <v>493.10676835156522</v>
      </c>
    </row>
    <row r="177" spans="2:6" x14ac:dyDescent="0.2">
      <c r="B177" s="229" t="e">
        <f ca="1">IF(AND(Altitude_culmi&gt;80, Altitude_culmi&lt;=350), 35, NA())</f>
        <v>#N/A</v>
      </c>
      <c r="C177" s="421">
        <v>0</v>
      </c>
      <c r="D177" s="230">
        <f t="shared" ca="1" si="0"/>
        <v>498.10676835156522</v>
      </c>
      <c r="E177" s="82"/>
      <c r="F177" s="214">
        <f t="shared" ca="1" si="1"/>
        <v>494.30676835156521</v>
      </c>
    </row>
    <row r="178" spans="2:6" x14ac:dyDescent="0.2">
      <c r="E178" s="230"/>
      <c r="F178" s="216">
        <f t="shared" ca="1" si="1"/>
        <v>498.10676835156522</v>
      </c>
    </row>
    <row r="179" spans="2:6" x14ac:dyDescent="0.2">
      <c r="B179" s="210" t="s">
        <v>306</v>
      </c>
      <c r="C179" s="228" t="s">
        <v>307</v>
      </c>
      <c r="D179" s="228" t="s">
        <v>308</v>
      </c>
    </row>
    <row r="180" spans="2:6" x14ac:dyDescent="0.2">
      <c r="B180" s="231">
        <f ca="1">IF(Altitude_culmi&gt;350, 324, NA())</f>
        <v>324</v>
      </c>
      <c r="C180" s="5">
        <v>0</v>
      </c>
      <c r="D180" s="82">
        <f t="shared" ref="D180:D200" ca="1" si="2">X_culmi+C180</f>
        <v>498.10676835156522</v>
      </c>
      <c r="E180" s="228"/>
      <c r="F180" s="211" t="s">
        <v>308</v>
      </c>
    </row>
    <row r="181" spans="2:6" x14ac:dyDescent="0.2">
      <c r="B181" s="231">
        <f ca="1">IF(Altitude_culmi&gt;350, 300, NA())</f>
        <v>300</v>
      </c>
      <c r="C181" s="5">
        <v>0</v>
      </c>
      <c r="D181" s="82">
        <f t="shared" ca="1" si="2"/>
        <v>498.10676835156522</v>
      </c>
      <c r="E181" s="82"/>
      <c r="F181" s="214">
        <f t="shared" ref="F181:F201" ca="1" si="3">X_culmi-C180</f>
        <v>498.10676835156522</v>
      </c>
    </row>
    <row r="182" spans="2:6" x14ac:dyDescent="0.2">
      <c r="B182" s="231">
        <f ca="1">IF(Altitude_culmi&gt;350, 280, NA())</f>
        <v>280</v>
      </c>
      <c r="C182" s="5">
        <v>10</v>
      </c>
      <c r="D182" s="82">
        <f t="shared" ca="1" si="2"/>
        <v>508.10676835156522</v>
      </c>
      <c r="E182" s="82"/>
      <c r="F182" s="214">
        <f t="shared" ca="1" si="3"/>
        <v>498.10676835156522</v>
      </c>
    </row>
    <row r="183" spans="2:6" x14ac:dyDescent="0.2">
      <c r="B183" s="231">
        <f ca="1">IF(Altitude_culmi&gt;350, 280, NA())</f>
        <v>280</v>
      </c>
      <c r="C183" s="5">
        <v>0</v>
      </c>
      <c r="D183" s="82">
        <f t="shared" ca="1" si="2"/>
        <v>498.10676835156522</v>
      </c>
      <c r="E183" s="82"/>
      <c r="F183" s="214">
        <f t="shared" ca="1" si="3"/>
        <v>488.10676835156522</v>
      </c>
    </row>
    <row r="184" spans="2:6" x14ac:dyDescent="0.2">
      <c r="B184" s="231">
        <f ca="1">IF(Altitude_culmi&gt;350, 280, NA())</f>
        <v>280</v>
      </c>
      <c r="C184" s="5">
        <v>10</v>
      </c>
      <c r="D184" s="82">
        <f t="shared" ca="1" si="2"/>
        <v>508.10676835156522</v>
      </c>
      <c r="E184" s="82"/>
      <c r="F184" s="214">
        <f t="shared" ca="1" si="3"/>
        <v>498.10676835156522</v>
      </c>
    </row>
    <row r="185" spans="2:6" x14ac:dyDescent="0.2">
      <c r="B185" s="231">
        <f ca="1">IF(Altitude_culmi&gt;350, 200, NA())</f>
        <v>200</v>
      </c>
      <c r="C185" s="5">
        <v>13</v>
      </c>
      <c r="D185" s="82">
        <f t="shared" ca="1" si="2"/>
        <v>511.10676835156522</v>
      </c>
      <c r="E185" s="82"/>
      <c r="F185" s="214">
        <f t="shared" ca="1" si="3"/>
        <v>488.10676835156522</v>
      </c>
    </row>
    <row r="186" spans="2:6" x14ac:dyDescent="0.2">
      <c r="B186" s="231">
        <f ca="1">IF(Altitude_culmi&gt;350, 160, NA())</f>
        <v>160</v>
      </c>
      <c r="C186" s="5">
        <v>17</v>
      </c>
      <c r="D186" s="82">
        <f t="shared" ca="1" si="2"/>
        <v>515.10676835156528</v>
      </c>
      <c r="E186" s="82"/>
      <c r="F186" s="214">
        <f t="shared" ca="1" si="3"/>
        <v>485.10676835156522</v>
      </c>
    </row>
    <row r="187" spans="2:6" x14ac:dyDescent="0.2">
      <c r="B187" s="231">
        <f ca="1">IF(Altitude_culmi&gt;350, 115, NA())</f>
        <v>115</v>
      </c>
      <c r="C187" s="5">
        <v>20</v>
      </c>
      <c r="D187" s="82">
        <f t="shared" ca="1" si="2"/>
        <v>518.10676835156528</v>
      </c>
      <c r="E187" s="82"/>
      <c r="F187" s="214">
        <f t="shared" ca="1" si="3"/>
        <v>481.10676835156522</v>
      </c>
    </row>
    <row r="188" spans="2:6" x14ac:dyDescent="0.2">
      <c r="B188" s="231">
        <f ca="1">IF(Altitude_culmi&gt;350, 90, NA())</f>
        <v>90</v>
      </c>
      <c r="C188" s="5">
        <v>25</v>
      </c>
      <c r="D188" s="82">
        <f t="shared" ca="1" si="2"/>
        <v>523.10676835156528</v>
      </c>
      <c r="E188" s="82"/>
      <c r="F188" s="214">
        <f t="shared" ca="1" si="3"/>
        <v>478.10676835156522</v>
      </c>
    </row>
    <row r="189" spans="2:6" x14ac:dyDescent="0.2">
      <c r="B189" s="231">
        <f ca="1">IF(Altitude_culmi&gt;350, 57, NA())</f>
        <v>57</v>
      </c>
      <c r="C189" s="5">
        <v>30</v>
      </c>
      <c r="D189" s="82">
        <f t="shared" ca="1" si="2"/>
        <v>528.10676835156528</v>
      </c>
      <c r="E189" s="82"/>
      <c r="F189" s="214">
        <f t="shared" ca="1" si="3"/>
        <v>473.10676835156522</v>
      </c>
    </row>
    <row r="190" spans="2:6" x14ac:dyDescent="0.2">
      <c r="B190" s="231">
        <f ca="1">IF(Altitude_culmi&gt;350, 40, NA())</f>
        <v>40</v>
      </c>
      <c r="C190" s="5">
        <v>36</v>
      </c>
      <c r="D190" s="82">
        <f t="shared" ca="1" si="2"/>
        <v>534.10676835156528</v>
      </c>
      <c r="E190" s="82"/>
      <c r="F190" s="214">
        <f t="shared" ca="1" si="3"/>
        <v>468.10676835156522</v>
      </c>
    </row>
    <row r="191" spans="2:6" x14ac:dyDescent="0.2">
      <c r="B191" s="231">
        <f ca="1">IF(Altitude_culmi&gt;350, 20, NA())</f>
        <v>20</v>
      </c>
      <c r="C191" s="5">
        <v>48</v>
      </c>
      <c r="D191" s="82">
        <f t="shared" ca="1" si="2"/>
        <v>546.10676835156528</v>
      </c>
      <c r="E191" s="82"/>
      <c r="F191" s="214">
        <f t="shared" ca="1" si="3"/>
        <v>462.10676835156522</v>
      </c>
    </row>
    <row r="192" spans="2:6" x14ac:dyDescent="0.2">
      <c r="B192" s="231">
        <f ca="1">IF(Altitude_culmi&gt;350, 0.5, NA())</f>
        <v>0.5</v>
      </c>
      <c r="C192" s="5">
        <v>62</v>
      </c>
      <c r="D192" s="82">
        <f t="shared" ca="1" si="2"/>
        <v>560.10676835156528</v>
      </c>
      <c r="E192" s="82"/>
      <c r="F192" s="214">
        <f t="shared" ca="1" si="3"/>
        <v>450.10676835156522</v>
      </c>
    </row>
    <row r="193" spans="2:6" x14ac:dyDescent="0.2">
      <c r="B193" s="231">
        <f ca="1">IF(Altitude_culmi&gt;350, 0.5, NA())</f>
        <v>0.5</v>
      </c>
      <c r="C193" s="5">
        <v>37</v>
      </c>
      <c r="D193" s="82">
        <f t="shared" ca="1" si="2"/>
        <v>535.10676835156528</v>
      </c>
      <c r="E193" s="82"/>
      <c r="F193" s="214">
        <f t="shared" ca="1" si="3"/>
        <v>436.10676835156522</v>
      </c>
    </row>
    <row r="194" spans="2:6" x14ac:dyDescent="0.2">
      <c r="B194" s="231">
        <f ca="1">IF(Altitude_culmi&gt;350, 15, NA())</f>
        <v>15</v>
      </c>
      <c r="C194" s="5">
        <v>30</v>
      </c>
      <c r="D194" s="82">
        <f t="shared" ca="1" si="2"/>
        <v>528.10676835156528</v>
      </c>
      <c r="E194" s="82"/>
      <c r="F194" s="214">
        <f t="shared" ca="1" si="3"/>
        <v>461.10676835156522</v>
      </c>
    </row>
    <row r="195" spans="2:6" x14ac:dyDescent="0.2">
      <c r="B195" s="231">
        <f ca="1">IF(Altitude_culmi&gt;350, 30, NA())</f>
        <v>30</v>
      </c>
      <c r="C195" s="5">
        <v>15</v>
      </c>
      <c r="D195" s="82">
        <f t="shared" ca="1" si="2"/>
        <v>513.10676835156528</v>
      </c>
      <c r="E195" s="82"/>
      <c r="F195" s="214">
        <f t="shared" ca="1" si="3"/>
        <v>468.10676835156522</v>
      </c>
    </row>
    <row r="196" spans="2:6" x14ac:dyDescent="0.2">
      <c r="B196" s="231">
        <f ca="1">IF(Altitude_culmi&gt;350, 37, NA())</f>
        <v>37</v>
      </c>
      <c r="C196" s="5">
        <v>0</v>
      </c>
      <c r="D196" s="82">
        <f t="shared" ca="1" si="2"/>
        <v>498.10676835156522</v>
      </c>
      <c r="E196" s="82"/>
      <c r="F196" s="214">
        <f t="shared" ca="1" si="3"/>
        <v>483.10676835156522</v>
      </c>
    </row>
    <row r="197" spans="2:6" x14ac:dyDescent="0.2">
      <c r="B197" s="231">
        <f ca="1">IF(Altitude_culmi&gt;350, 67, NA())</f>
        <v>67</v>
      </c>
      <c r="C197" s="5">
        <v>0</v>
      </c>
      <c r="D197" s="82">
        <f t="shared" ca="1" si="2"/>
        <v>498.10676835156522</v>
      </c>
      <c r="E197" s="82"/>
      <c r="F197" s="214">
        <f t="shared" ca="1" si="3"/>
        <v>498.10676835156522</v>
      </c>
    </row>
    <row r="198" spans="2:6" x14ac:dyDescent="0.2">
      <c r="B198" s="231">
        <f ca="1">IF(Altitude_culmi&gt;350, 67, NA())</f>
        <v>67</v>
      </c>
      <c r="C198" s="5">
        <v>17</v>
      </c>
      <c r="D198" s="82">
        <f t="shared" ca="1" si="2"/>
        <v>515.10676835156528</v>
      </c>
      <c r="E198" s="82"/>
      <c r="F198" s="214">
        <f t="shared" ca="1" si="3"/>
        <v>498.10676835156522</v>
      </c>
    </row>
    <row r="199" spans="2:6" x14ac:dyDescent="0.2">
      <c r="B199" s="231">
        <f ca="1">IF(Altitude_culmi&gt;350, 100, NA())</f>
        <v>100</v>
      </c>
      <c r="C199" s="5">
        <v>11</v>
      </c>
      <c r="D199" s="82">
        <f t="shared" ca="1" si="2"/>
        <v>509.10676835156522</v>
      </c>
      <c r="E199" s="82"/>
      <c r="F199" s="214">
        <f t="shared" ca="1" si="3"/>
        <v>481.10676835156522</v>
      </c>
    </row>
    <row r="200" spans="2:6" x14ac:dyDescent="0.2">
      <c r="B200" s="229">
        <f ca="1">IF(Altitude_culmi&gt;350, 100, NA())</f>
        <v>100</v>
      </c>
      <c r="C200" s="421">
        <v>0</v>
      </c>
      <c r="D200" s="230">
        <f t="shared" ca="1" si="2"/>
        <v>498.10676835156522</v>
      </c>
      <c r="E200" s="82"/>
      <c r="F200" s="214">
        <f t="shared" ca="1" si="3"/>
        <v>487.10676835156522</v>
      </c>
    </row>
    <row r="201" spans="2:6" x14ac:dyDescent="0.2">
      <c r="E201" s="230"/>
      <c r="F201" s="216">
        <f t="shared" ca="1" si="3"/>
        <v>498.10676835156522</v>
      </c>
    </row>
  </sheetData>
  <sheetProtection algorithmName="SHA-512" hashValue="54/g8dQ2RC65LqncMwJ2cd0LY+Ermcd3MHxRhdQ+5eIlTGzg9ayjpzMYUZU3QN55EKjPPfR4x04d0m+MFsILQw==" saltValue="8KZEyW6NBSE9XCBw0cMAWg==" spinCount="100000" sheet="1" objects="1" scenarios="1"/>
  <protectedRanges>
    <protectedRange sqref="C26" name="Plage1"/>
  </protectedRanges>
  <mergeCells count="43">
    <mergeCell ref="C10:D10"/>
    <mergeCell ref="C5:D5"/>
    <mergeCell ref="C2:D3"/>
    <mergeCell ref="C7:D7"/>
    <mergeCell ref="C8:D8"/>
    <mergeCell ref="C9:D9"/>
    <mergeCell ref="C6:D6"/>
    <mergeCell ref="C4:D4"/>
    <mergeCell ref="H35:I35"/>
    <mergeCell ref="H34:I34"/>
    <mergeCell ref="F29:G29"/>
    <mergeCell ref="H33:I33"/>
    <mergeCell ref="A40:D40"/>
    <mergeCell ref="H36:I36"/>
    <mergeCell ref="F36:G36"/>
    <mergeCell ref="F35:G35"/>
    <mergeCell ref="F34:G34"/>
    <mergeCell ref="F40:G40"/>
    <mergeCell ref="C23:D23"/>
    <mergeCell ref="C18:D18"/>
    <mergeCell ref="F24:G24"/>
    <mergeCell ref="F28:G28"/>
    <mergeCell ref="F27:G27"/>
    <mergeCell ref="F25:G25"/>
    <mergeCell ref="F26:G26"/>
    <mergeCell ref="C16:D16"/>
    <mergeCell ref="C11:D11"/>
    <mergeCell ref="C20:D20"/>
    <mergeCell ref="C21:D21"/>
    <mergeCell ref="C12:D12"/>
    <mergeCell ref="C14:D14"/>
    <mergeCell ref="C15:D15"/>
    <mergeCell ref="C19:D19"/>
    <mergeCell ref="F51:G51"/>
    <mergeCell ref="F42:G42"/>
    <mergeCell ref="F43:G43"/>
    <mergeCell ref="F44:G44"/>
    <mergeCell ref="F45:G45"/>
    <mergeCell ref="F50:G50"/>
    <mergeCell ref="F46:G46"/>
    <mergeCell ref="F47:G47"/>
    <mergeCell ref="F49:G49"/>
    <mergeCell ref="F48:G48"/>
  </mergeCells>
  <phoneticPr fontId="8" type="noConversion"/>
  <conditionalFormatting sqref="C27">
    <cfRule type="expression" dxfId="25" priority="247" stopIfTrue="1">
      <formula>NOT(OR(C26=F110,C26=F104))</formula>
    </cfRule>
  </conditionalFormatting>
  <conditionalFormatting sqref="C32">
    <cfRule type="cellIs" dxfId="24" priority="42" stopIfTrue="1" operator="notBetween">
      <formula>5</formula>
      <formula>15</formula>
    </cfRule>
  </conditionalFormatting>
  <conditionalFormatting sqref="D25">
    <cfRule type="expression" dxfId="23" priority="39" stopIfTrue="1">
      <formula>Nb_sat="0 satellite"</formula>
    </cfRule>
  </conditionalFormatting>
  <conditionalFormatting sqref="D26">
    <cfRule type="expression" dxfId="22" priority="2" stopIfTrue="1">
      <formula>Nb_sat="0 satellite"</formula>
    </cfRule>
  </conditionalFormatting>
  <conditionalFormatting sqref="D27:D31 D33:D35">
    <cfRule type="expression" dxfId="21" priority="59" stopIfTrue="1">
      <formula>Nb_sat="0 satellite"</formula>
    </cfRule>
  </conditionalFormatting>
  <conditionalFormatting sqref="D32">
    <cfRule type="expression" dxfId="20" priority="40" stopIfTrue="1">
      <formula>Nb_sat="0 satellite"</formula>
    </cfRule>
    <cfRule type="cellIs" dxfId="19" priority="49" stopIfTrue="1" operator="notBetween">
      <formula>5</formula>
      <formula>15</formula>
    </cfRule>
  </conditionalFormatting>
  <conditionalFormatting sqref="F26">
    <cfRule type="expression" dxfId="18" priority="26" stopIfTrue="1">
      <formula>Nb_sat="0 satellite"</formula>
    </cfRule>
  </conditionalFormatting>
  <conditionalFormatting sqref="F36:I36 F50:M50">
    <cfRule type="expression" dxfId="17" priority="22" stopIfTrue="1">
      <formula>Nb_sat="0 satellite"</formula>
    </cfRule>
  </conditionalFormatting>
  <conditionalFormatting sqref="F51:M51">
    <cfRule type="expression" dxfId="16" priority="21" stopIfTrue="1">
      <formula>Nb_sat="0 satellite"</formula>
    </cfRule>
  </conditionalFormatting>
  <conditionalFormatting sqref="H28 H48">
    <cfRule type="expression" dxfId="15" priority="4" stopIfTrue="1">
      <formula>ABS(Temps_culmi-T_para)&gt;2</formula>
    </cfRule>
  </conditionalFormatting>
  <conditionalFormatting sqref="H34:I34">
    <cfRule type="cellIs" dxfId="14" priority="14" stopIfTrue="1" operator="equal">
      <formula>"Brun/Orange…"</formula>
    </cfRule>
  </conditionalFormatting>
  <conditionalFormatting sqref="H35:I35">
    <cfRule type="cellIs" dxfId="13" priority="13" stopIfTrue="1" operator="equal">
      <formula>"Rouge…"</formula>
    </cfRule>
  </conditionalFormatting>
  <conditionalFormatting sqref="H26:M26">
    <cfRule type="expression" dxfId="12" priority="41" stopIfTrue="1">
      <formula>Nb_sat="0 satellite"</formula>
    </cfRule>
  </conditionalFormatting>
  <conditionalFormatting sqref="J29 J47">
    <cfRule type="expression" dxfId="11" priority="6" stopIfTrue="1">
      <formula>AND(Portee_balistique&gt;200,LEFT(Type_propu,4)="Mini")</formula>
    </cfRule>
  </conditionalFormatting>
  <conditionalFormatting sqref="K24 K43">
    <cfRule type="expression" dxfId="10" priority="44" stopIfTrue="1">
      <formula>AND(Vsortie_de_rampe&lt;18, OR(LEFT(Type_fusee,1)=",",LEFT(Type_fusee,4)="Mini",LEFT(Type_fusee,1)="R"))</formula>
    </cfRule>
    <cfRule type="expression" dxfId="9" priority="45" stopIfTrue="1">
      <formula>AND(Vsortie_de_rampe&lt;20, RIGHT(Type_fusee,1)=".")</formula>
    </cfRule>
  </conditionalFormatting>
  <conditionalFormatting sqref="K42">
    <cfRule type="expression" dxfId="8" priority="34" stopIfTrue="1">
      <formula>AND( $K$22=0, OR( $I$22&gt;0, $J$22&gt;0 ) )</formula>
    </cfRule>
  </conditionalFormatting>
  <conditionalFormatting sqref="N35">
    <cfRule type="expression" dxfId="7" priority="15" stopIfTrue="1">
      <formula>ROUND(SUM(C24:L36),0)=2221</formula>
    </cfRule>
  </conditionalFormatting>
  <conditionalFormatting sqref="N36">
    <cfRule type="expression" dxfId="6" priority="244" stopIfTrue="1">
      <formula>$N$36="propu NOK"</formula>
    </cfRule>
  </conditionalFormatting>
  <dataValidations count="15">
    <dataValidation type="decimal" operator="greaterThanOrEqual" showErrorMessage="1" sqref="H42:K42 C31 D27:D29 C27" xr:uid="{00000000-0002-0000-0100-000000000000}">
      <formula1>0</formula1>
    </dataValidation>
    <dataValidation type="list" allowBlank="1" showInputMessage="1" showErrorMessage="1" sqref="H52" xr:uid="{00000000-0002-0000-0100-000001000000}">
      <formula1>gao</formula1>
    </dataValidation>
    <dataValidation operator="greaterThanOrEqual" showErrorMessage="1" sqref="D31 C29" xr:uid="{00000000-0002-0000-0100-000002000000}"/>
    <dataValidation type="decimal" errorStyle="warning" allowBlank="1" showErrorMessage="1" errorTitle="Cx para" error="Le Cx du parachute est souvent compris entre 0 et 2._x000a_Cx of parachute might be between 0 a 2." sqref="C30:D30" xr:uid="{00000000-0002-0000-0100-000003000000}">
      <formula1>0</formula1>
      <formula2>2</formula2>
    </dataValidation>
    <dataValidation sqref="C12:D12" xr:uid="{00000000-0002-0000-0100-000004000000}"/>
    <dataValidation operator="greaterThanOrEqual" sqref="C11:D11" xr:uid="{00000000-0002-0000-0100-000005000000}"/>
    <dataValidation type="decimal" errorStyle="warning" showErrorMessage="1" errorTitle="Cx" error="Le Cx est souvent compris entre 0,3 et 0,7._x000a_Cx may be between 0,3 &amp; 0,7." sqref="C16:D16" xr:uid="{00000000-0002-0000-0100-000006000000}">
      <formula1>0.3</formula1>
      <formula2>0.7</formula2>
    </dataValidation>
    <dataValidation type="decimal" operator="greaterThanOrEqual" allowBlank="1" showErrorMessage="1" sqref="C19:D19" xr:uid="{00000000-0002-0000-0100-000007000000}">
      <formula1>0</formula1>
    </dataValidation>
    <dataValidation type="decimal" errorStyle="information" allowBlank="1" showInputMessage="1" showErrorMessage="1" errorTitle="Angle de la rampe" error="Il est conseillé d'incliner à rampe entre 75° et 85° par rapport à l'horizontale._x000a_This Angle is recommended between 75° &amp; 85°." sqref="C20:D20" xr:uid="{00000000-0002-0000-0100-000008000000}">
      <formula1>75</formula1>
      <formula2>85</formula2>
    </dataValidation>
    <dataValidation type="whole" operator="greaterThanOrEqual" allowBlank="1" showErrorMessage="1" sqref="C21:D21" xr:uid="{00000000-0002-0000-0100-000009000000}">
      <formula1>0</formula1>
    </dataValidation>
    <dataValidation type="whole" allowBlank="1" showErrorMessage="1" sqref="M42" xr:uid="{00000000-0002-0000-0100-00000A000000}">
      <formula1>-360</formula1>
      <formula2>360</formula2>
    </dataValidation>
    <dataValidation type="list" showInputMessage="1" showErrorMessage="1" sqref="D24" xr:uid="{00000000-0002-0000-0100-00000B000000}">
      <formula1>Menu_sat</formula1>
    </dataValidation>
    <dataValidation type="whole" operator="greaterThanOrEqual" showErrorMessage="1" sqref="B44 B46 B52 B54" xr:uid="{00000000-0002-0000-0100-00000C000000}">
      <formula1>0</formula1>
    </dataValidation>
    <dataValidation type="list" showInputMessage="1" showErrorMessage="1" sqref="C26" xr:uid="{00000000-0002-0000-0100-00000D000000}">
      <formula1>IF(Depotage&lt;&gt;0,IF(LEFT(Type_propu,5)="Micro",$F$110,$F$105:$F$110),$F$104)</formula1>
    </dataValidation>
    <dataValidation type="list" operator="greaterThanOrEqual" showErrorMessage="1" sqref="C28" xr:uid="{901BEB42-9630-4910-AFF4-B844211D2B99}">
      <formula1>Liste_Type_para</formula1>
    </dataValidation>
  </dataValidations>
  <hyperlinks>
    <hyperlink ref="B12" location="Stabilito!C17" display="Stabilito!C17" xr:uid="{00000000-0004-0000-0100-000000000000}"/>
  </hyperlinks>
  <printOptions horizontalCentered="1" verticalCentered="1"/>
  <pageMargins left="7.874015748031496E-2" right="7.874015748031496E-2" top="7.874015748031496E-2" bottom="7.874015748031496E-2" header="0" footer="0"/>
  <pageSetup paperSize="9" firstPageNumber="0" orientation="landscape" horizontalDpi="300" verticalDpi="300" r:id="rId1"/>
  <headerFooter alignWithMargins="0"/>
  <ignoredErrors>
    <ignoredError sqref="B127:B133 B139:B150 C152 C154 C139:C141 C143:C150 C127:C133" formula="1"/>
    <ignoredError sqref="H46:I46 H49 J46:M46" evalError="1"/>
    <ignoredError sqref="G105:G109" numberStoredAsText="1"/>
    <ignoredError sqref="D25" unlockedFormula="1"/>
  </ignoredErrors>
  <drawing r:id="rId2"/>
  <legacyDrawing r:id="rId3"/>
  <oleObjects>
    <mc:AlternateContent xmlns:mc="http://schemas.openxmlformats.org/markup-compatibility/2006">
      <mc:Choice Requires="x14">
        <oleObject progId="Equation.3" shapeId="1425294" r:id="rId4">
          <objectPr defaultSize="0" autoPict="0" r:id="rId5">
            <anchor moveWithCells="1">
              <from>
                <xdr:col>1</xdr:col>
                <xdr:colOff>28575</xdr:colOff>
                <xdr:row>94</xdr:row>
                <xdr:rowOff>76200</xdr:rowOff>
              </from>
              <to>
                <xdr:col>3</xdr:col>
                <xdr:colOff>762000</xdr:colOff>
                <xdr:row>100</xdr:row>
                <xdr:rowOff>95250</xdr:rowOff>
              </to>
            </anchor>
          </objectPr>
        </oleObject>
      </mc:Choice>
      <mc:Fallback>
        <oleObject progId="Equation.3" shapeId="1425294" r:id="rId4"/>
      </mc:Fallback>
    </mc:AlternateContent>
  </oleObjects>
  <mc:AlternateContent xmlns:mc="http://schemas.openxmlformats.org/markup-compatibility/2006">
    <mc:Choice Requires="x14">
      <controls>
        <mc:AlternateContent xmlns:mc="http://schemas.openxmlformats.org/markup-compatibility/2006">
          <mc:Choice Requires="x14">
            <control shapeId="1424424" r:id="rId6" name="Spinner 1064">
              <controlPr defaultSize="0" print="0" autoPict="0">
                <anchor moveWithCells="1" sizeWithCells="1">
                  <from>
                    <xdr:col>3</xdr:col>
                    <xdr:colOff>647700</xdr:colOff>
                    <xdr:row>9</xdr:row>
                    <xdr:rowOff>161925</xdr:rowOff>
                  </from>
                  <to>
                    <xdr:col>4</xdr:col>
                    <xdr:colOff>0</xdr:colOff>
                    <xdr:row>11</xdr:row>
                    <xdr:rowOff>9525</xdr:rowOff>
                  </to>
                </anchor>
              </controlPr>
            </control>
          </mc:Choice>
        </mc:AlternateContent>
        <mc:AlternateContent xmlns:mc="http://schemas.openxmlformats.org/markup-compatibility/2006">
          <mc:Choice Requires="x14">
            <control shapeId="1424589" r:id="rId7" name="Spinner 1229">
              <controlPr defaultSize="0" print="0" autoPict="0">
                <anchor moveWithCells="1" sizeWithCells="1">
                  <from>
                    <xdr:col>1</xdr:col>
                    <xdr:colOff>1181100</xdr:colOff>
                    <xdr:row>43</xdr:row>
                    <xdr:rowOff>9525</xdr:rowOff>
                  </from>
                  <to>
                    <xdr:col>2</xdr:col>
                    <xdr:colOff>0</xdr:colOff>
                    <xdr:row>44</xdr:row>
                    <xdr:rowOff>0</xdr:rowOff>
                  </to>
                </anchor>
              </controlPr>
            </control>
          </mc:Choice>
        </mc:AlternateContent>
        <mc:AlternateContent xmlns:mc="http://schemas.openxmlformats.org/markup-compatibility/2006">
          <mc:Choice Requires="x14">
            <control shapeId="1424590" r:id="rId8" name="Spinner 1230">
              <controlPr defaultSize="0" print="0" autoPict="0">
                <anchor moveWithCells="1" sizeWithCells="1">
                  <from>
                    <xdr:col>1</xdr:col>
                    <xdr:colOff>1181100</xdr:colOff>
                    <xdr:row>45</xdr:row>
                    <xdr:rowOff>9525</xdr:rowOff>
                  </from>
                  <to>
                    <xdr:col>2</xdr:col>
                    <xdr:colOff>0</xdr:colOff>
                    <xdr:row>46</xdr:row>
                    <xdr:rowOff>0</xdr:rowOff>
                  </to>
                </anchor>
              </controlPr>
            </control>
          </mc:Choice>
        </mc:AlternateContent>
        <mc:AlternateContent xmlns:mc="http://schemas.openxmlformats.org/markup-compatibility/2006">
          <mc:Choice Requires="x14">
            <control shapeId="1424591" r:id="rId9" name="Spinner 1231">
              <controlPr defaultSize="0" print="0" autoPict="0">
                <anchor moveWithCells="1" sizeWithCells="1">
                  <from>
                    <xdr:col>1</xdr:col>
                    <xdr:colOff>1181100</xdr:colOff>
                    <xdr:row>51</xdr:row>
                    <xdr:rowOff>9525</xdr:rowOff>
                  </from>
                  <to>
                    <xdr:col>2</xdr:col>
                    <xdr:colOff>0</xdr:colOff>
                    <xdr:row>52</xdr:row>
                    <xdr:rowOff>0</xdr:rowOff>
                  </to>
                </anchor>
              </controlPr>
            </control>
          </mc:Choice>
        </mc:AlternateContent>
        <mc:AlternateContent xmlns:mc="http://schemas.openxmlformats.org/markup-compatibility/2006">
          <mc:Choice Requires="x14">
            <control shapeId="4779462" r:id="rId10" name="Spinner 4550">
              <controlPr defaultSize="0" print="0" autoPict="0">
                <anchor moveWithCells="1" sizeWithCells="1">
                  <from>
                    <xdr:col>1</xdr:col>
                    <xdr:colOff>1181100</xdr:colOff>
                    <xdr:row>53</xdr:row>
                    <xdr:rowOff>9525</xdr:rowOff>
                  </from>
                  <to>
                    <xdr:col>2</xdr:col>
                    <xdr:colOff>0</xdr:colOff>
                    <xdr:row>54</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pageSetUpPr fitToPage="1"/>
  </sheetPr>
  <dimension ref="B75:B146"/>
  <sheetViews>
    <sheetView showGridLines="0" zoomScaleNormal="100" workbookViewId="0">
      <selection activeCell="M48" sqref="M48"/>
    </sheetView>
  </sheetViews>
  <sheetFormatPr baseColWidth="10" defaultRowHeight="12.75" x14ac:dyDescent="0.2"/>
  <sheetData>
    <row r="75" spans="2:2" x14ac:dyDescent="0.2">
      <c r="B75" t="s">
        <v>43</v>
      </c>
    </row>
    <row r="76" spans="2:2" x14ac:dyDescent="0.2">
      <c r="B76" t="str">
        <f>IF(Lang="Français","Ces courbes représentent la trajectoire de la fusée dans l'hypothèse d'une descente balistique (sans ouverture du parachute). ","These curves show the rocket trajectory in case of ballistic fall (without parachute).")</f>
        <v xml:space="preserve">Ces courbes représentent la trajectoire de la fusée dans l'hypothèse d'une descente balistique (sans ouverture du parachute). </v>
      </c>
    </row>
    <row r="77" spans="2:2" x14ac:dyDescent="0.2">
      <c r="B77" t="str">
        <f>IF(Lang="Français","L'accélération longitudinale gravitationnelle définit le mouvement (dérivée de la vitesse) : Acc = (Poussee - Traînée ± Poids) / m",IF(Lang="English","Longitudinal Gravitaionnal Acceleration defines the motion (velocity derivative) : Acc = (Thrust - Drag ± Weight)/m",""))</f>
        <v>L'accélération longitudinale gravitationnelle définit le mouvement (dérivée de la vitesse) : Acc = (Poussee - Traînée ± Poids) / m</v>
      </c>
    </row>
    <row r="78" spans="2:2" x14ac:dyDescent="0.2">
      <c r="B78" t="str">
        <f>IF(Lang="Français","La charge ''non-gravitationnelle'' vue par un capteur d'accélération (masse-ressort) est : Charge = (Poussée - Traînée) / m",IF(Lang="English","''Non-Gravitaionnal'' Load seen by an acceleration sensor (mass-spring) is : Load = (Thrust - Drag) / m",""))</f>
        <v>La charge ''non-gravitationnelle'' vue par un capteur d'accélération (masse-ressort) est : Charge = (Poussée - Traînée) / m</v>
      </c>
    </row>
    <row r="79" spans="2:2" x14ac:dyDescent="0.2">
      <c r="B79" t="str">
        <f>IF(Lang="Français","Exemples : Si Poussée = Poids, Vitesse constante, Acc nulle, Charge = 1G ; En chute libre, Acc = -1G, Charge = 0",IF(Lang="English","",""))</f>
        <v>Exemples : Si Poussée = Poids, Vitesse constante, Acc nulle, Charge = 1G ; En chute libre, Acc = -1G, Charge = 0</v>
      </c>
    </row>
    <row r="131" spans="2:2" x14ac:dyDescent="0.2">
      <c r="B131" s="24" t="str">
        <f>IF(Lang="Français","Textes pour les graphiques :","Texts for graphics :")</f>
        <v>Textes pour les graphiques :</v>
      </c>
    </row>
    <row r="133" spans="2:2" x14ac:dyDescent="0.2">
      <c r="B133" t="str">
        <f>IF(Lang="Français","Traînée",IF(Lang="English","Drag",""))</f>
        <v>Traînée</v>
      </c>
    </row>
    <row r="134" spans="2:2" x14ac:dyDescent="0.2">
      <c r="B134" t="str">
        <f>IF(Lang="Français","Poussée",IF(Lang="English","Thrust",""))</f>
        <v>Poussée</v>
      </c>
    </row>
    <row r="135" spans="2:2" x14ac:dyDescent="0.2">
      <c r="B135" t="str">
        <f>IF(Lang="Français","Poids",IF(Lang="English","Weight",""))</f>
        <v>Poids</v>
      </c>
    </row>
    <row r="137" spans="2:2" x14ac:dyDescent="0.2">
      <c r="B137" t="str">
        <f>IF(Lang="Français","Accélération longitudinale",IF(Lang="English","Longitudinal Acceleration",""))</f>
        <v>Accélération longitudinale</v>
      </c>
    </row>
    <row r="138" spans="2:2" x14ac:dyDescent="0.2">
      <c r="B138" t="str">
        <f>IF(Lang="Français","Charge vue par un capteur",IF(Lang="English","Load seen by a sensor",""))</f>
        <v>Charge vue par un capteur</v>
      </c>
    </row>
    <row r="140" spans="2:2" x14ac:dyDescent="0.2">
      <c r="B140" t="str">
        <f>IF(Lang="Français","Vitesse",IF(Lang="English","Velocity",""))</f>
        <v>Vitesse</v>
      </c>
    </row>
    <row r="141" spans="2:2" x14ac:dyDescent="0.2">
      <c r="B141" t="str">
        <f>IF(Lang="Français","Vitesse [m/s]",IF(Lang="English","Velocity [m/s]",""))</f>
        <v>Vitesse [m/s]</v>
      </c>
    </row>
    <row r="143" spans="2:2" x14ac:dyDescent="0.2">
      <c r="B143" t="s">
        <v>6</v>
      </c>
    </row>
    <row r="144" spans="2:2" x14ac:dyDescent="0.2">
      <c r="B144" t="str">
        <f>IF(Lang="Français","Portée",IF(Lang="English","Range",""))</f>
        <v>Portée</v>
      </c>
    </row>
    <row r="146" spans="2:2" x14ac:dyDescent="0.2">
      <c r="B146" t="str">
        <f>IF(Lang="Français","Temps [s]",IF(Lang="English","Time [s]",""))</f>
        <v>Temps [s]</v>
      </c>
    </row>
  </sheetData>
  <sheetProtection password="C6AC" sheet="1"/>
  <phoneticPr fontId="8" type="noConversion"/>
  <printOptions horizontalCentered="1" verticalCentered="1"/>
  <pageMargins left="0.39370078740157483" right="0.39370078740157483" top="0.39370078740157483" bottom="0.39370078740157483" header="0" footer="0"/>
  <pageSetup scale="76" firstPageNumber="0"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5">
    <pageSetUpPr fitToPage="1"/>
  </sheetPr>
  <dimension ref="A1:Z346"/>
  <sheetViews>
    <sheetView showGridLines="0" zoomScale="80" zoomScaleNormal="80" workbookViewId="0">
      <selection activeCell="B2" sqref="B2"/>
    </sheetView>
  </sheetViews>
  <sheetFormatPr baseColWidth="10" defaultRowHeight="12.75" x14ac:dyDescent="0.2"/>
  <cols>
    <col min="1" max="1" width="22.5703125" bestFit="1" customWidth="1"/>
  </cols>
  <sheetData>
    <row r="1" spans="1:26" ht="13.5" thickBot="1" x14ac:dyDescent="0.25">
      <c r="A1" s="362" t="str">
        <f>IF(Lang="Français","Moteur sélectionné","Selected motor")</f>
        <v>Moteur sélectionné</v>
      </c>
      <c r="B1" s="362" t="s">
        <v>32</v>
      </c>
    </row>
    <row r="2" spans="1:26" ht="13.5" thickBot="1" x14ac:dyDescent="0.25">
      <c r="A2" s="352" t="str">
        <f>Propu</f>
        <v>Pro54-5G WT</v>
      </c>
      <c r="B2" s="352">
        <f>VLOOKUP(A2,A26:B314,2,FALSE)</f>
        <v>284</v>
      </c>
      <c r="C2" s="363" t="s">
        <v>115</v>
      </c>
      <c r="D2" s="353">
        <f ca="1">INDIRECT(ADDRESS(B2,4))</f>
        <v>1998.2428999999995</v>
      </c>
      <c r="E2" s="363" t="s">
        <v>114</v>
      </c>
      <c r="F2" s="354">
        <f ca="1">INDIRECT(ADDRESS(B2,6))</f>
        <v>207.42819268753979</v>
      </c>
      <c r="G2" s="363" t="s">
        <v>56</v>
      </c>
      <c r="H2" s="355">
        <f ca="1">INDIRECT(ADDRESS(B2,8))</f>
        <v>1.6319999999999999</v>
      </c>
      <c r="I2" s="363" t="s">
        <v>273</v>
      </c>
      <c r="J2" s="356">
        <f ca="1">INDIRECT(ADDRESS(B2,10))</f>
        <v>0.98199999999999987</v>
      </c>
      <c r="K2" s="363" t="s">
        <v>58</v>
      </c>
      <c r="L2" s="355">
        <f ca="1">INDIRECT(ADDRESS(B2,12))</f>
        <v>0.65</v>
      </c>
      <c r="M2" s="363" t="s">
        <v>57</v>
      </c>
      <c r="N2" s="357">
        <f ca="1">INDIRECT(ADDRESS(B2,14))</f>
        <v>250</v>
      </c>
      <c r="O2" s="363" t="s">
        <v>59</v>
      </c>
      <c r="P2" s="357">
        <f ca="1">INDIRECT(ADDRESS(B2,16))</f>
        <v>240</v>
      </c>
      <c r="Q2" s="363" t="s">
        <v>60</v>
      </c>
      <c r="R2" s="357">
        <f ca="1">INDIRECT(ADDRESS(B2,18))</f>
        <v>488</v>
      </c>
      <c r="S2" s="363" t="s">
        <v>61</v>
      </c>
      <c r="T2" s="357">
        <f ca="1">INDIRECT(ADDRESS(B2,20))</f>
        <v>54</v>
      </c>
      <c r="U2" s="363" t="s">
        <v>54</v>
      </c>
      <c r="V2" s="358" t="str">
        <f ca="1">INDIRECT(ADDRESS(B2,22))</f>
        <v>Fusex</v>
      </c>
      <c r="W2" s="463" t="s">
        <v>394</v>
      </c>
      <c r="X2" s="464">
        <f ca="1">INDIRECT(ADDRESS(B2,24))</f>
        <v>0</v>
      </c>
      <c r="Y2" s="463" t="s">
        <v>393</v>
      </c>
      <c r="Z2" s="358">
        <f ca="1">INDIRECT(ADDRESS(B2,26))</f>
        <v>0</v>
      </c>
    </row>
    <row r="3" spans="1:26" x14ac:dyDescent="0.2">
      <c r="A3" s="362" t="str">
        <f>IF(Lang="Français","Temps (en s)","Time (s)")</f>
        <v>Temps (en s)</v>
      </c>
      <c r="B3" s="364">
        <f t="shared" ref="B3:Y3" ca="1" si="0">INDIRECT(ADDRESS($B2+1,COLUMN(B3)))</f>
        <v>0</v>
      </c>
      <c r="C3" s="365">
        <f t="shared" ca="1" si="0"/>
        <v>0.01</v>
      </c>
      <c r="D3" s="365">
        <f t="shared" ca="1" si="0"/>
        <v>0.02</v>
      </c>
      <c r="E3" s="365">
        <f t="shared" ca="1" si="0"/>
        <v>0.05</v>
      </c>
      <c r="F3" s="365">
        <f t="shared" ca="1" si="0"/>
        <v>0.1</v>
      </c>
      <c r="G3" s="365">
        <f t="shared" ca="1" si="0"/>
        <v>0.2</v>
      </c>
      <c r="H3" s="365">
        <f t="shared" ca="1" si="0"/>
        <v>0.4</v>
      </c>
      <c r="I3" s="365">
        <f t="shared" ca="1" si="0"/>
        <v>0.8</v>
      </c>
      <c r="J3" s="365">
        <f t="shared" ca="1" si="0"/>
        <v>0.9</v>
      </c>
      <c r="K3" s="365">
        <f t="shared" ca="1" si="0"/>
        <v>1</v>
      </c>
      <c r="L3" s="365">
        <f t="shared" ca="1" si="0"/>
        <v>1.1000000000000001</v>
      </c>
      <c r="M3" s="365">
        <f t="shared" ca="1" si="0"/>
        <v>1.2</v>
      </c>
      <c r="N3" s="365">
        <f t="shared" ca="1" si="0"/>
        <v>1.3</v>
      </c>
      <c r="O3" s="365">
        <f t="shared" ca="1" si="0"/>
        <v>1.4</v>
      </c>
      <c r="P3" s="365">
        <f t="shared" ca="1" si="0"/>
        <v>1.55</v>
      </c>
      <c r="Q3" s="365">
        <f t="shared" ca="1" si="0"/>
        <v>1.6</v>
      </c>
      <c r="R3" s="365">
        <f t="shared" ca="1" si="0"/>
        <v>1.62</v>
      </c>
      <c r="S3" s="365">
        <f t="shared" ca="1" si="0"/>
        <v>1.64</v>
      </c>
      <c r="T3" s="365">
        <f t="shared" ca="1" si="0"/>
        <v>1.66</v>
      </c>
      <c r="U3" s="365">
        <f t="shared" ca="1" si="0"/>
        <v>1.67</v>
      </c>
      <c r="V3" s="365">
        <f t="shared" ca="1" si="0"/>
        <v>1.68</v>
      </c>
      <c r="W3" s="365">
        <f t="shared" ca="1" si="0"/>
        <v>1.69</v>
      </c>
      <c r="X3" s="365">
        <f ca="1">INDIRECT(ADDRESS($B2+1,COLUMN(X3)))</f>
        <v>1.7</v>
      </c>
      <c r="Y3" s="366">
        <f t="shared" ca="1" si="0"/>
        <v>1000</v>
      </c>
    </row>
    <row r="4" spans="1:26" ht="13.5" thickBot="1" x14ac:dyDescent="0.25">
      <c r="A4" s="379" t="str">
        <f>IF(Lang="Français","Poussée (en N)","Thrust (N)")</f>
        <v>Poussée (en N)</v>
      </c>
      <c r="B4" s="367">
        <f t="shared" ref="B4:Y4" ca="1" si="1">INDIRECT(ADDRESS($B2+2,COLUMN(B3)))</f>
        <v>0</v>
      </c>
      <c r="C4" s="368">
        <f t="shared" ca="1" si="1"/>
        <v>492.25</v>
      </c>
      <c r="D4" s="368">
        <f t="shared" ca="1" si="1"/>
        <v>1369.46</v>
      </c>
      <c r="E4" s="368">
        <f t="shared" ca="1" si="1"/>
        <v>1236.01</v>
      </c>
      <c r="F4" s="368">
        <f t="shared" ca="1" si="1"/>
        <v>1279.47</v>
      </c>
      <c r="G4" s="368">
        <f t="shared" ca="1" si="1"/>
        <v>1311.39</v>
      </c>
      <c r="H4" s="368">
        <f t="shared" ca="1" si="1"/>
        <v>1331.39</v>
      </c>
      <c r="I4" s="368">
        <f t="shared" ca="1" si="1"/>
        <v>1304.08</v>
      </c>
      <c r="J4" s="368">
        <f t="shared" ca="1" si="1"/>
        <v>1280.6199999999999</v>
      </c>
      <c r="K4" s="368">
        <f t="shared" ca="1" si="1"/>
        <v>1249.8599999999999</v>
      </c>
      <c r="L4" s="368">
        <f t="shared" ca="1" si="1"/>
        <v>1217.94</v>
      </c>
      <c r="M4" s="368">
        <f t="shared" ca="1" si="1"/>
        <v>1199.29</v>
      </c>
      <c r="N4" s="368">
        <f t="shared" ca="1" si="1"/>
        <v>1158.77</v>
      </c>
      <c r="O4" s="368">
        <f t="shared" ca="1" si="1"/>
        <v>1112.56</v>
      </c>
      <c r="P4" s="368">
        <f t="shared" ca="1" si="1"/>
        <v>941.81</v>
      </c>
      <c r="Q4" s="368">
        <f t="shared" ca="1" si="1"/>
        <v>726.07</v>
      </c>
      <c r="R4" s="368">
        <f t="shared" ca="1" si="1"/>
        <v>559.16999999999996</v>
      </c>
      <c r="S4" s="368">
        <f t="shared" ca="1" si="1"/>
        <v>399.95</v>
      </c>
      <c r="T4" s="368">
        <f t="shared" ca="1" si="1"/>
        <v>317.66000000000003</v>
      </c>
      <c r="U4" s="368">
        <f t="shared" ca="1" si="1"/>
        <v>247.28</v>
      </c>
      <c r="V4" s="368">
        <f t="shared" ca="1" si="1"/>
        <v>198.05</v>
      </c>
      <c r="W4" s="368">
        <f t="shared" ca="1" si="1"/>
        <v>67.3</v>
      </c>
      <c r="X4" s="368">
        <f ca="1">INDIRECT(ADDRESS($B2+2,COLUMN(X3)))</f>
        <v>0</v>
      </c>
      <c r="Y4" s="369">
        <f t="shared" ca="1" si="1"/>
        <v>0</v>
      </c>
    </row>
    <row r="5" spans="1:26" x14ac:dyDescent="0.2">
      <c r="B5" s="12"/>
      <c r="C5" s="12"/>
      <c r="D5" s="12"/>
      <c r="E5" s="12"/>
      <c r="F5" s="12"/>
      <c r="G5" s="12"/>
      <c r="H5" s="12"/>
      <c r="I5" s="12"/>
      <c r="J5" s="12"/>
      <c r="K5" s="12"/>
      <c r="L5" s="12"/>
      <c r="M5" s="12"/>
      <c r="N5" s="12"/>
      <c r="O5" s="12"/>
      <c r="P5" s="12"/>
      <c r="Q5" s="12"/>
      <c r="R5" s="12"/>
      <c r="S5" s="12"/>
      <c r="T5" s="12"/>
      <c r="U5" s="12"/>
      <c r="V5" s="12"/>
      <c r="W5" s="12"/>
      <c r="X5" s="12"/>
      <c r="Y5" s="12"/>
    </row>
    <row r="6" spans="1:26" x14ac:dyDescent="0.2">
      <c r="B6" s="12"/>
      <c r="C6" s="12"/>
      <c r="D6" s="12"/>
      <c r="E6" s="12"/>
      <c r="F6" s="12"/>
      <c r="G6" s="12"/>
      <c r="H6" s="12"/>
      <c r="I6" s="12"/>
      <c r="J6" s="12"/>
      <c r="K6" s="12"/>
      <c r="L6" s="12"/>
      <c r="M6" s="12"/>
      <c r="N6" s="12"/>
      <c r="O6" s="12"/>
      <c r="P6" s="12"/>
      <c r="Q6" s="12"/>
      <c r="R6" s="12"/>
      <c r="S6" s="12"/>
      <c r="T6" s="12"/>
      <c r="U6" s="12"/>
      <c r="V6" s="12"/>
      <c r="W6" s="12"/>
      <c r="X6" s="12"/>
      <c r="Y6" s="12"/>
    </row>
    <row r="7" spans="1:26" x14ac:dyDescent="0.2">
      <c r="B7" s="12"/>
      <c r="C7" s="12"/>
      <c r="D7" s="12"/>
      <c r="E7" s="12"/>
      <c r="F7" s="12"/>
      <c r="G7" s="12"/>
      <c r="H7" s="12"/>
      <c r="I7" s="12"/>
      <c r="J7" s="12"/>
      <c r="K7" s="12"/>
      <c r="L7" s="12"/>
      <c r="M7" s="12"/>
    </row>
    <row r="8" spans="1:26" x14ac:dyDescent="0.2">
      <c r="B8" s="12"/>
      <c r="C8" s="12"/>
      <c r="D8" s="12"/>
      <c r="E8" s="12"/>
      <c r="F8" s="12"/>
      <c r="G8" s="12"/>
      <c r="H8" s="12"/>
      <c r="I8" s="12"/>
      <c r="J8" s="12"/>
      <c r="K8" s="12"/>
      <c r="L8" s="12"/>
      <c r="M8" s="12"/>
    </row>
    <row r="9" spans="1:26" x14ac:dyDescent="0.2">
      <c r="B9" s="12"/>
      <c r="C9" s="12"/>
      <c r="D9" s="12"/>
      <c r="E9" s="12"/>
      <c r="F9" s="12"/>
      <c r="G9" s="12"/>
      <c r="H9" s="12"/>
      <c r="I9" s="12"/>
      <c r="J9" s="12"/>
      <c r="K9" s="12"/>
      <c r="L9" s="12"/>
      <c r="M9" s="12"/>
    </row>
    <row r="10" spans="1:26" x14ac:dyDescent="0.2">
      <c r="B10" s="12"/>
      <c r="C10" s="12"/>
      <c r="D10" s="12"/>
      <c r="E10" s="12"/>
      <c r="F10" s="12"/>
      <c r="G10" s="12"/>
      <c r="H10" s="12"/>
      <c r="I10" s="12"/>
      <c r="J10" s="12"/>
    </row>
    <row r="11" spans="1:26" x14ac:dyDescent="0.2">
      <c r="B11" s="12"/>
      <c r="C11" s="12"/>
      <c r="D11" s="12"/>
      <c r="E11" s="12"/>
      <c r="F11" s="12"/>
      <c r="G11" s="12"/>
      <c r="H11" s="12"/>
      <c r="I11" s="12"/>
      <c r="J11" s="12"/>
    </row>
    <row r="12" spans="1:26" x14ac:dyDescent="0.2">
      <c r="B12" s="12"/>
      <c r="C12" s="12"/>
      <c r="D12" s="12"/>
      <c r="E12" s="12"/>
      <c r="F12" s="12"/>
      <c r="G12" s="12"/>
      <c r="H12" s="12"/>
      <c r="I12" s="12"/>
      <c r="J12" s="12"/>
    </row>
    <row r="13" spans="1:26" x14ac:dyDescent="0.2">
      <c r="B13" s="12"/>
      <c r="C13" s="12"/>
      <c r="D13" s="12"/>
      <c r="E13" s="12"/>
      <c r="F13" s="12"/>
      <c r="G13" s="12"/>
      <c r="H13" s="12"/>
      <c r="I13" s="12"/>
      <c r="J13" s="12"/>
    </row>
    <row r="14" spans="1:26" x14ac:dyDescent="0.2">
      <c r="B14" s="12"/>
      <c r="C14" s="12"/>
      <c r="D14" s="12"/>
      <c r="E14" s="12"/>
      <c r="F14" s="12"/>
      <c r="G14" s="12"/>
      <c r="H14" s="12"/>
      <c r="I14" s="12"/>
      <c r="J14" s="12"/>
    </row>
    <row r="15" spans="1:26" x14ac:dyDescent="0.2">
      <c r="B15" s="12"/>
      <c r="C15" s="12"/>
      <c r="D15" s="12"/>
      <c r="E15" s="12"/>
      <c r="F15" s="12"/>
      <c r="G15" s="12"/>
      <c r="H15" s="12"/>
      <c r="I15" s="12"/>
      <c r="J15" s="12"/>
      <c r="K15" s="12"/>
      <c r="L15" s="12"/>
      <c r="M15" s="12"/>
    </row>
    <row r="16" spans="1:26" x14ac:dyDescent="0.2">
      <c r="B16" s="12"/>
      <c r="C16" s="12"/>
      <c r="D16" s="12"/>
      <c r="E16" s="12"/>
      <c r="F16" s="12"/>
      <c r="G16" s="12"/>
      <c r="H16" s="12"/>
      <c r="I16" s="12"/>
      <c r="J16" s="12"/>
      <c r="K16" s="12"/>
      <c r="L16" s="12"/>
      <c r="M16" s="12"/>
    </row>
    <row r="17" spans="1:25" x14ac:dyDescent="0.2">
      <c r="B17" s="12"/>
      <c r="C17" s="12"/>
      <c r="D17" s="12"/>
      <c r="E17" s="12"/>
      <c r="F17" s="12"/>
      <c r="G17" s="12"/>
      <c r="H17" s="12"/>
      <c r="I17" s="12"/>
      <c r="J17" s="12"/>
      <c r="K17" s="12"/>
      <c r="L17" s="12"/>
      <c r="M17" s="12"/>
    </row>
    <row r="18" spans="1:25" x14ac:dyDescent="0.2">
      <c r="B18" s="12"/>
      <c r="C18" s="12"/>
      <c r="D18" s="12"/>
      <c r="E18" s="12"/>
      <c r="F18" s="12"/>
      <c r="G18" s="12"/>
      <c r="H18" s="12"/>
      <c r="I18" s="12"/>
      <c r="J18" s="12"/>
      <c r="K18" s="12"/>
      <c r="L18" s="12"/>
      <c r="M18" s="12"/>
      <c r="N18" s="12"/>
      <c r="O18" s="12"/>
      <c r="P18" s="12"/>
      <c r="Q18" s="12"/>
      <c r="R18" s="12"/>
      <c r="S18" s="12"/>
      <c r="T18" s="12"/>
      <c r="U18" s="12"/>
      <c r="V18" s="12"/>
      <c r="W18" s="12"/>
      <c r="X18" s="12"/>
      <c r="Y18" s="12"/>
    </row>
    <row r="19" spans="1:25" x14ac:dyDescent="0.2">
      <c r="B19" s="12"/>
      <c r="C19" s="12"/>
      <c r="D19" s="12"/>
      <c r="E19" s="12"/>
      <c r="F19" s="12"/>
      <c r="G19" s="12"/>
      <c r="H19" s="12"/>
      <c r="I19" s="12"/>
      <c r="J19" s="12"/>
      <c r="K19" s="12"/>
      <c r="L19" s="12"/>
      <c r="M19" s="12"/>
      <c r="N19" s="12"/>
      <c r="O19" s="12"/>
      <c r="P19" s="12"/>
      <c r="Q19" s="12"/>
      <c r="R19" s="12"/>
      <c r="S19" s="12"/>
      <c r="T19" s="12"/>
      <c r="U19" s="12"/>
      <c r="V19" s="12"/>
      <c r="W19" s="12"/>
      <c r="X19" s="12"/>
      <c r="Y19" s="12"/>
    </row>
    <row r="20" spans="1:25" x14ac:dyDescent="0.2">
      <c r="B20" s="12"/>
      <c r="C20" s="12"/>
      <c r="D20" s="12"/>
      <c r="E20" s="12"/>
      <c r="F20" s="12"/>
      <c r="G20" s="12"/>
      <c r="H20" s="12"/>
      <c r="I20" s="12"/>
      <c r="J20" s="12"/>
      <c r="K20" s="12"/>
      <c r="L20" s="12"/>
      <c r="M20" s="12"/>
      <c r="N20" s="12"/>
      <c r="O20" s="12"/>
      <c r="P20" s="12"/>
      <c r="Q20" s="12"/>
      <c r="R20" s="12"/>
      <c r="S20" s="12"/>
      <c r="T20" s="12"/>
      <c r="U20" s="12"/>
      <c r="V20" s="12"/>
      <c r="W20" s="12"/>
      <c r="X20" s="12"/>
      <c r="Y20" s="12"/>
    </row>
    <row r="21" spans="1:25" x14ac:dyDescent="0.2">
      <c r="B21" s="12"/>
      <c r="C21" s="12"/>
      <c r="D21" s="12"/>
      <c r="E21" s="12"/>
      <c r="F21" s="12"/>
      <c r="G21" s="12"/>
      <c r="H21" s="12"/>
      <c r="I21" s="12"/>
      <c r="J21" s="12"/>
      <c r="K21" s="12"/>
      <c r="L21" s="12"/>
      <c r="M21" s="12"/>
      <c r="N21" s="12"/>
      <c r="O21" s="12"/>
      <c r="P21" s="12"/>
      <c r="Q21" s="12"/>
      <c r="R21" s="12"/>
      <c r="S21" s="12"/>
      <c r="T21" s="12"/>
      <c r="U21" s="12"/>
      <c r="V21" s="12"/>
      <c r="W21" s="12"/>
      <c r="X21" s="12"/>
      <c r="Y21" s="12"/>
    </row>
    <row r="22" spans="1:25" x14ac:dyDescent="0.2">
      <c r="B22" s="12"/>
      <c r="C22" s="12"/>
      <c r="D22" s="12"/>
      <c r="E22" s="12"/>
      <c r="F22" s="12"/>
      <c r="G22" s="12"/>
      <c r="H22" s="12"/>
      <c r="I22" s="12"/>
      <c r="J22" s="12"/>
      <c r="K22" s="12"/>
      <c r="L22" s="12"/>
      <c r="M22" s="12"/>
      <c r="N22" s="12"/>
      <c r="O22" s="12"/>
      <c r="P22" s="12"/>
      <c r="Q22" s="12"/>
      <c r="R22" s="12"/>
      <c r="S22" s="12"/>
      <c r="T22" s="12"/>
      <c r="U22" s="12"/>
      <c r="V22" s="12"/>
      <c r="W22" s="12"/>
      <c r="X22" s="12"/>
      <c r="Y22" s="12"/>
    </row>
    <row r="23" spans="1:25" x14ac:dyDescent="0.2">
      <c r="B23" s="12"/>
      <c r="C23" s="12"/>
      <c r="D23" s="12"/>
      <c r="E23" s="12"/>
      <c r="F23" s="12"/>
      <c r="G23" s="12"/>
      <c r="H23" s="12"/>
      <c r="I23" s="12"/>
      <c r="J23" s="12"/>
      <c r="K23" s="12"/>
      <c r="L23" s="12"/>
      <c r="M23" s="12"/>
      <c r="N23" s="12"/>
      <c r="O23" s="12"/>
      <c r="P23" s="12"/>
      <c r="Q23" s="12"/>
      <c r="R23" s="12"/>
      <c r="S23" s="12"/>
      <c r="T23" s="12"/>
      <c r="U23" s="12"/>
      <c r="V23" s="12"/>
      <c r="W23" s="12"/>
      <c r="X23" s="12"/>
      <c r="Y23" s="12"/>
    </row>
    <row r="25" spans="1:25" ht="13.5" thickBot="1" x14ac:dyDescent="0.25">
      <c r="A25" s="6" t="s">
        <v>276</v>
      </c>
    </row>
    <row r="26" spans="1:25" ht="13.5" thickBot="1" x14ac:dyDescent="0.25">
      <c r="A26" s="361" t="s">
        <v>309</v>
      </c>
      <c r="B26" s="359">
        <f>ROW(A26)</f>
        <v>26</v>
      </c>
      <c r="C26" s="363" t="s">
        <v>115</v>
      </c>
      <c r="D26" s="353">
        <f>SUM(B29:Y29)</f>
        <v>9.8449999999999989</v>
      </c>
      <c r="E26" s="363" t="s">
        <v>114</v>
      </c>
      <c r="F26" s="399">
        <f>D26/g/J26</f>
        <v>3.3452259599048584</v>
      </c>
      <c r="G26" s="363" t="s">
        <v>56</v>
      </c>
      <c r="H26" s="64">
        <v>0.3</v>
      </c>
      <c r="I26" s="363" t="s">
        <v>271</v>
      </c>
      <c r="J26" s="355">
        <f>H26-L26</f>
        <v>0.3</v>
      </c>
      <c r="K26" s="363" t="s">
        <v>272</v>
      </c>
      <c r="L26" s="64">
        <v>0</v>
      </c>
      <c r="M26" s="363" t="s">
        <v>57</v>
      </c>
      <c r="N26" s="65">
        <f>0.2*R26</f>
        <v>60</v>
      </c>
      <c r="O26" s="363" t="s">
        <v>59</v>
      </c>
      <c r="P26" s="65">
        <v>150</v>
      </c>
      <c r="Q26" s="363" t="s">
        <v>60</v>
      </c>
      <c r="R26" s="65">
        <v>300</v>
      </c>
      <c r="S26" s="363" t="s">
        <v>61</v>
      </c>
      <c r="T26" s="65">
        <v>90</v>
      </c>
      <c r="U26" s="363" t="s">
        <v>54</v>
      </c>
      <c r="V26" s="66" t="s">
        <v>276</v>
      </c>
      <c r="W26" s="12"/>
      <c r="X26" s="12"/>
      <c r="Y26" s="12"/>
    </row>
    <row r="27" spans="1:25" x14ac:dyDescent="0.2">
      <c r="A27" s="362" t="s">
        <v>33</v>
      </c>
      <c r="B27" s="370">
        <v>0</v>
      </c>
      <c r="C27" s="371">
        <v>1E-3</v>
      </c>
      <c r="D27" s="371">
        <v>0.02</v>
      </c>
      <c r="E27" s="371">
        <v>3.7999999999999999E-2</v>
      </c>
      <c r="F27" s="371">
        <v>0.04</v>
      </c>
      <c r="G27" s="371">
        <v>0.04</v>
      </c>
      <c r="H27" s="371">
        <v>0.04</v>
      </c>
      <c r="I27" s="371">
        <v>0.04</v>
      </c>
      <c r="J27" s="371">
        <v>0.04</v>
      </c>
      <c r="K27" s="371">
        <v>0.04</v>
      </c>
      <c r="L27" s="371">
        <v>0.04</v>
      </c>
      <c r="M27" s="371">
        <v>0.04</v>
      </c>
      <c r="N27" s="371">
        <v>0.04</v>
      </c>
      <c r="O27" s="371">
        <v>0.04</v>
      </c>
      <c r="P27" s="371">
        <v>0.04</v>
      </c>
      <c r="Q27" s="371">
        <v>0.04</v>
      </c>
      <c r="R27" s="371">
        <v>0.04</v>
      </c>
      <c r="S27" s="371">
        <v>0.04</v>
      </c>
      <c r="T27" s="371">
        <v>0.04</v>
      </c>
      <c r="U27" s="371">
        <v>0.04</v>
      </c>
      <c r="V27" s="371">
        <v>0.04</v>
      </c>
      <c r="W27" s="371">
        <v>0.04</v>
      </c>
      <c r="X27" s="371">
        <v>0.04</v>
      </c>
      <c r="Y27" s="381">
        <v>1000</v>
      </c>
    </row>
    <row r="28" spans="1:25" x14ac:dyDescent="0.2">
      <c r="A28" s="378" t="s">
        <v>34</v>
      </c>
      <c r="B28" s="372">
        <v>0</v>
      </c>
      <c r="C28" s="373">
        <v>310</v>
      </c>
      <c r="D28" s="373">
        <v>250</v>
      </c>
      <c r="E28" s="373">
        <v>212</v>
      </c>
      <c r="F28" s="373">
        <v>0</v>
      </c>
      <c r="G28" s="373">
        <v>0</v>
      </c>
      <c r="H28" s="373">
        <v>0</v>
      </c>
      <c r="I28" s="373">
        <v>0</v>
      </c>
      <c r="J28" s="373">
        <v>0</v>
      </c>
      <c r="K28" s="373">
        <v>0</v>
      </c>
      <c r="L28" s="373">
        <v>0</v>
      </c>
      <c r="M28" s="373">
        <v>0</v>
      </c>
      <c r="N28" s="373">
        <v>0</v>
      </c>
      <c r="O28" s="373">
        <v>0</v>
      </c>
      <c r="P28" s="373">
        <v>0</v>
      </c>
      <c r="Q28" s="373">
        <v>0</v>
      </c>
      <c r="R28" s="373">
        <v>0</v>
      </c>
      <c r="S28" s="373">
        <v>0</v>
      </c>
      <c r="T28" s="373">
        <v>0</v>
      </c>
      <c r="U28" s="373">
        <v>0</v>
      </c>
      <c r="V28" s="373">
        <v>0</v>
      </c>
      <c r="W28" s="373">
        <v>0</v>
      </c>
      <c r="X28" s="373">
        <v>0</v>
      </c>
      <c r="Y28" s="382">
        <v>0</v>
      </c>
    </row>
    <row r="29" spans="1:25" ht="13.5" thickBot="1" x14ac:dyDescent="0.25">
      <c r="A29" s="379" t="s">
        <v>116</v>
      </c>
      <c r="B29" s="374">
        <f t="shared" ref="B29:X29" si="2">(C28+B28)*(C27-B27)/2</f>
        <v>0.155</v>
      </c>
      <c r="C29" s="375">
        <f t="shared" si="2"/>
        <v>5.32</v>
      </c>
      <c r="D29" s="375">
        <f t="shared" si="2"/>
        <v>4.1579999999999995</v>
      </c>
      <c r="E29" s="375">
        <f t="shared" si="2"/>
        <v>0.21200000000000019</v>
      </c>
      <c r="F29" s="375">
        <f t="shared" si="2"/>
        <v>0</v>
      </c>
      <c r="G29" s="375">
        <f t="shared" si="2"/>
        <v>0</v>
      </c>
      <c r="H29" s="375">
        <f t="shared" si="2"/>
        <v>0</v>
      </c>
      <c r="I29" s="375">
        <f t="shared" si="2"/>
        <v>0</v>
      </c>
      <c r="J29" s="375">
        <f t="shared" si="2"/>
        <v>0</v>
      </c>
      <c r="K29" s="375">
        <f t="shared" si="2"/>
        <v>0</v>
      </c>
      <c r="L29" s="375">
        <f t="shared" si="2"/>
        <v>0</v>
      </c>
      <c r="M29" s="375">
        <f t="shared" si="2"/>
        <v>0</v>
      </c>
      <c r="N29" s="375">
        <f t="shared" si="2"/>
        <v>0</v>
      </c>
      <c r="O29" s="375">
        <f t="shared" si="2"/>
        <v>0</v>
      </c>
      <c r="P29" s="375">
        <f t="shared" si="2"/>
        <v>0</v>
      </c>
      <c r="Q29" s="375">
        <f t="shared" si="2"/>
        <v>0</v>
      </c>
      <c r="R29" s="375">
        <f t="shared" si="2"/>
        <v>0</v>
      </c>
      <c r="S29" s="375">
        <f t="shared" si="2"/>
        <v>0</v>
      </c>
      <c r="T29" s="375">
        <f t="shared" si="2"/>
        <v>0</v>
      </c>
      <c r="U29" s="375">
        <f t="shared" si="2"/>
        <v>0</v>
      </c>
      <c r="V29" s="375">
        <f t="shared" si="2"/>
        <v>0</v>
      </c>
      <c r="W29" s="375">
        <f t="shared" si="2"/>
        <v>0</v>
      </c>
      <c r="X29" s="375">
        <f t="shared" si="2"/>
        <v>0</v>
      </c>
      <c r="Y29" s="369"/>
    </row>
    <row r="30" spans="1:25" ht="13.5" thickBot="1" x14ac:dyDescent="0.25">
      <c r="A30" s="12"/>
      <c r="L30" s="12"/>
      <c r="M30" s="12"/>
      <c r="N30" s="12"/>
      <c r="O30" s="12"/>
      <c r="P30" s="12"/>
      <c r="Q30" s="12"/>
      <c r="R30" s="12"/>
      <c r="S30" s="12"/>
      <c r="T30" s="12"/>
      <c r="U30" s="12"/>
      <c r="V30" s="12"/>
      <c r="W30" s="12"/>
      <c r="X30" s="12"/>
      <c r="Y30" s="12"/>
    </row>
    <row r="31" spans="1:25" ht="13.5" thickBot="1" x14ac:dyDescent="0.25">
      <c r="A31" s="361" t="s">
        <v>310</v>
      </c>
      <c r="B31" s="359">
        <f>ROW(A31)</f>
        <v>31</v>
      </c>
      <c r="C31" s="363" t="s">
        <v>115</v>
      </c>
      <c r="D31" s="353">
        <f>SUM(B34:Y34)</f>
        <v>13.814500000000002</v>
      </c>
      <c r="E31" s="363" t="s">
        <v>114</v>
      </c>
      <c r="F31" s="399">
        <f>D31/g/J31</f>
        <v>3.1293464718541175</v>
      </c>
      <c r="G31" s="363" t="s">
        <v>56</v>
      </c>
      <c r="H31" s="64">
        <v>0.45</v>
      </c>
      <c r="I31" s="363" t="s">
        <v>271</v>
      </c>
      <c r="J31" s="355">
        <f>H31-L31</f>
        <v>0.45</v>
      </c>
      <c r="K31" s="363" t="s">
        <v>272</v>
      </c>
      <c r="L31" s="64">
        <v>0</v>
      </c>
      <c r="M31" s="363" t="s">
        <v>57</v>
      </c>
      <c r="N31" s="65">
        <f>0.3*R31</f>
        <v>90</v>
      </c>
      <c r="O31" s="363" t="s">
        <v>59</v>
      </c>
      <c r="P31" s="65">
        <v>150</v>
      </c>
      <c r="Q31" s="363" t="s">
        <v>60</v>
      </c>
      <c r="R31" s="65">
        <v>300</v>
      </c>
      <c r="S31" s="363" t="s">
        <v>61</v>
      </c>
      <c r="T31" s="65">
        <v>90</v>
      </c>
      <c r="U31" s="363" t="s">
        <v>54</v>
      </c>
      <c r="V31" s="66" t="s">
        <v>276</v>
      </c>
      <c r="W31" s="12"/>
      <c r="X31" s="12"/>
      <c r="Y31" s="12"/>
    </row>
    <row r="32" spans="1:25" x14ac:dyDescent="0.2">
      <c r="A32" s="362" t="s">
        <v>33</v>
      </c>
      <c r="B32" s="370">
        <v>0</v>
      </c>
      <c r="C32" s="371">
        <v>1E-3</v>
      </c>
      <c r="D32" s="371">
        <v>0.02</v>
      </c>
      <c r="E32" s="371">
        <v>0.04</v>
      </c>
      <c r="F32" s="371">
        <v>6.0999999999999999E-2</v>
      </c>
      <c r="G32" s="371">
        <v>6.2E-2</v>
      </c>
      <c r="H32" s="371">
        <v>6.2E-2</v>
      </c>
      <c r="I32" s="371">
        <v>6.2E-2</v>
      </c>
      <c r="J32" s="371">
        <v>6.2E-2</v>
      </c>
      <c r="K32" s="371">
        <v>6.2E-2</v>
      </c>
      <c r="L32" s="371">
        <v>6.2E-2</v>
      </c>
      <c r="M32" s="371">
        <v>6.2E-2</v>
      </c>
      <c r="N32" s="371">
        <v>6.2E-2</v>
      </c>
      <c r="O32" s="371">
        <v>6.2E-2</v>
      </c>
      <c r="P32" s="371">
        <v>6.2E-2</v>
      </c>
      <c r="Q32" s="371">
        <v>6.2E-2</v>
      </c>
      <c r="R32" s="371">
        <v>6.2E-2</v>
      </c>
      <c r="S32" s="371">
        <v>6.2E-2</v>
      </c>
      <c r="T32" s="371">
        <v>6.2E-2</v>
      </c>
      <c r="U32" s="371">
        <v>6.2E-2</v>
      </c>
      <c r="V32" s="371">
        <v>6.2E-2</v>
      </c>
      <c r="W32" s="371">
        <v>6.2E-2</v>
      </c>
      <c r="X32" s="371">
        <v>6.2E-2</v>
      </c>
      <c r="Y32" s="381">
        <v>1000</v>
      </c>
    </row>
    <row r="33" spans="1:25" x14ac:dyDescent="0.2">
      <c r="A33" s="378" t="s">
        <v>34</v>
      </c>
      <c r="B33" s="372">
        <v>0</v>
      </c>
      <c r="C33" s="373">
        <v>310</v>
      </c>
      <c r="D33" s="373">
        <v>245</v>
      </c>
      <c r="E33" s="373">
        <v>200</v>
      </c>
      <c r="F33" s="373">
        <v>167</v>
      </c>
      <c r="G33" s="373">
        <v>0</v>
      </c>
      <c r="H33" s="373">
        <v>0</v>
      </c>
      <c r="I33" s="373">
        <v>0</v>
      </c>
      <c r="J33" s="373">
        <v>0</v>
      </c>
      <c r="K33" s="373">
        <v>0</v>
      </c>
      <c r="L33" s="373">
        <v>0</v>
      </c>
      <c r="M33" s="373">
        <v>0</v>
      </c>
      <c r="N33" s="373">
        <v>0</v>
      </c>
      <c r="O33" s="373">
        <v>0</v>
      </c>
      <c r="P33" s="373">
        <v>0</v>
      </c>
      <c r="Q33" s="373">
        <v>0</v>
      </c>
      <c r="R33" s="373">
        <v>0</v>
      </c>
      <c r="S33" s="373">
        <v>0</v>
      </c>
      <c r="T33" s="373">
        <v>0</v>
      </c>
      <c r="U33" s="373">
        <v>0</v>
      </c>
      <c r="V33" s="373">
        <v>0</v>
      </c>
      <c r="W33" s="373">
        <v>0</v>
      </c>
      <c r="X33" s="373">
        <v>0</v>
      </c>
      <c r="Y33" s="382">
        <v>0</v>
      </c>
    </row>
    <row r="34" spans="1:25" ht="13.5" thickBot="1" x14ac:dyDescent="0.25">
      <c r="A34" s="379" t="s">
        <v>116</v>
      </c>
      <c r="B34" s="374">
        <f t="shared" ref="B34:X34" si="3">(C33+B33)*(C32-B32)/2</f>
        <v>0.155</v>
      </c>
      <c r="C34" s="375">
        <f t="shared" si="3"/>
        <v>5.2725</v>
      </c>
      <c r="D34" s="375">
        <f t="shared" si="3"/>
        <v>4.45</v>
      </c>
      <c r="E34" s="375">
        <f t="shared" si="3"/>
        <v>3.8534999999999995</v>
      </c>
      <c r="F34" s="375">
        <f t="shared" si="3"/>
        <v>8.3500000000000074E-2</v>
      </c>
      <c r="G34" s="375">
        <f t="shared" si="3"/>
        <v>0</v>
      </c>
      <c r="H34" s="375">
        <f t="shared" si="3"/>
        <v>0</v>
      </c>
      <c r="I34" s="375">
        <f t="shared" si="3"/>
        <v>0</v>
      </c>
      <c r="J34" s="375">
        <f t="shared" si="3"/>
        <v>0</v>
      </c>
      <c r="K34" s="375">
        <f t="shared" si="3"/>
        <v>0</v>
      </c>
      <c r="L34" s="375">
        <f t="shared" si="3"/>
        <v>0</v>
      </c>
      <c r="M34" s="375">
        <f t="shared" si="3"/>
        <v>0</v>
      </c>
      <c r="N34" s="375">
        <f t="shared" si="3"/>
        <v>0</v>
      </c>
      <c r="O34" s="375">
        <f t="shared" si="3"/>
        <v>0</v>
      </c>
      <c r="P34" s="375">
        <f t="shared" si="3"/>
        <v>0</v>
      </c>
      <c r="Q34" s="375">
        <f t="shared" si="3"/>
        <v>0</v>
      </c>
      <c r="R34" s="375">
        <f t="shared" si="3"/>
        <v>0</v>
      </c>
      <c r="S34" s="375">
        <f t="shared" si="3"/>
        <v>0</v>
      </c>
      <c r="T34" s="375">
        <f t="shared" si="3"/>
        <v>0</v>
      </c>
      <c r="U34" s="375">
        <f t="shared" si="3"/>
        <v>0</v>
      </c>
      <c r="V34" s="375">
        <f t="shared" si="3"/>
        <v>0</v>
      </c>
      <c r="W34" s="375">
        <f t="shared" si="3"/>
        <v>0</v>
      </c>
      <c r="X34" s="375">
        <f t="shared" si="3"/>
        <v>0</v>
      </c>
      <c r="Y34" s="369"/>
    </row>
    <row r="35" spans="1:25" ht="13.5" thickBot="1" x14ac:dyDescent="0.25">
      <c r="B35" s="12"/>
      <c r="C35" s="12"/>
      <c r="D35" s="12"/>
      <c r="E35" s="12"/>
      <c r="F35" s="12"/>
      <c r="G35" s="12"/>
      <c r="H35" s="12"/>
      <c r="I35" s="12"/>
      <c r="J35" s="12"/>
      <c r="K35" s="12"/>
      <c r="L35" s="12"/>
      <c r="M35" s="12"/>
      <c r="N35" s="12"/>
      <c r="O35" s="12"/>
      <c r="P35" s="12"/>
      <c r="Q35" s="12"/>
      <c r="R35" s="12"/>
      <c r="S35" s="12"/>
      <c r="T35" s="12"/>
      <c r="U35" s="12"/>
      <c r="V35" s="12"/>
      <c r="W35" s="12"/>
      <c r="X35" s="12"/>
      <c r="Y35" s="12"/>
    </row>
    <row r="36" spans="1:25" ht="13.5" thickBot="1" x14ac:dyDescent="0.25">
      <c r="A36" s="361" t="s">
        <v>311</v>
      </c>
      <c r="B36" s="359">
        <f>ROW(A36)</f>
        <v>36</v>
      </c>
      <c r="C36" s="363" t="s">
        <v>115</v>
      </c>
      <c r="D36" s="353">
        <f>SUM(B39:Y39)</f>
        <v>17.144499999999997</v>
      </c>
      <c r="E36" s="363" t="s">
        <v>114</v>
      </c>
      <c r="F36" s="399">
        <f>D36/g/J36</f>
        <v>2.9127590893645934</v>
      </c>
      <c r="G36" s="363" t="s">
        <v>56</v>
      </c>
      <c r="H36" s="64">
        <v>0.6</v>
      </c>
      <c r="I36" s="363" t="s">
        <v>271</v>
      </c>
      <c r="J36" s="355">
        <f>H36-L36</f>
        <v>0.6</v>
      </c>
      <c r="K36" s="363" t="s">
        <v>272</v>
      </c>
      <c r="L36" s="64">
        <v>0</v>
      </c>
      <c r="M36" s="363" t="s">
        <v>57</v>
      </c>
      <c r="N36" s="65">
        <f>0.4*R36</f>
        <v>120</v>
      </c>
      <c r="O36" s="363" t="s">
        <v>59</v>
      </c>
      <c r="P36" s="65">
        <v>150</v>
      </c>
      <c r="Q36" s="363" t="s">
        <v>60</v>
      </c>
      <c r="R36" s="65">
        <v>300</v>
      </c>
      <c r="S36" s="363" t="s">
        <v>61</v>
      </c>
      <c r="T36" s="65">
        <v>90</v>
      </c>
      <c r="U36" s="363" t="s">
        <v>54</v>
      </c>
      <c r="V36" s="66" t="s">
        <v>276</v>
      </c>
      <c r="W36" s="12"/>
      <c r="X36" s="12"/>
      <c r="Y36" s="12"/>
    </row>
    <row r="37" spans="1:25" x14ac:dyDescent="0.2">
      <c r="A37" s="362" t="s">
        <v>33</v>
      </c>
      <c r="B37" s="370">
        <v>0</v>
      </c>
      <c r="C37" s="371">
        <v>1E-3</v>
      </c>
      <c r="D37" s="371">
        <v>0.02</v>
      </c>
      <c r="E37" s="371">
        <v>0.04</v>
      </c>
      <c r="F37" s="371">
        <v>0.06</v>
      </c>
      <c r="G37" s="371">
        <v>0.08</v>
      </c>
      <c r="H37" s="371">
        <v>8.7999999999999995E-2</v>
      </c>
      <c r="I37" s="371">
        <v>8.8999999999999996E-2</v>
      </c>
      <c r="J37" s="371">
        <v>8.8999999999999996E-2</v>
      </c>
      <c r="K37" s="371">
        <v>8.8999999999999996E-2</v>
      </c>
      <c r="L37" s="371">
        <v>8.8999999999999996E-2</v>
      </c>
      <c r="M37" s="371">
        <v>8.8999999999999996E-2</v>
      </c>
      <c r="N37" s="371">
        <v>8.8999999999999996E-2</v>
      </c>
      <c r="O37" s="371">
        <v>8.8999999999999996E-2</v>
      </c>
      <c r="P37" s="371">
        <v>8.8999999999999996E-2</v>
      </c>
      <c r="Q37" s="371">
        <v>8.8999999999999996E-2</v>
      </c>
      <c r="R37" s="371">
        <v>8.8999999999999996E-2</v>
      </c>
      <c r="S37" s="371">
        <v>8.8999999999999996E-2</v>
      </c>
      <c r="T37" s="371">
        <v>8.8999999999999996E-2</v>
      </c>
      <c r="U37" s="371">
        <v>8.8999999999999996E-2</v>
      </c>
      <c r="V37" s="371">
        <v>8.8999999999999996E-2</v>
      </c>
      <c r="W37" s="371">
        <v>8.8999999999999996E-2</v>
      </c>
      <c r="X37" s="371">
        <v>8.8999999999999996E-2</v>
      </c>
      <c r="Y37" s="381">
        <v>1000</v>
      </c>
    </row>
    <row r="38" spans="1:25" x14ac:dyDescent="0.2">
      <c r="A38" s="378" t="s">
        <v>34</v>
      </c>
      <c r="B38" s="372">
        <v>0</v>
      </c>
      <c r="C38" s="373">
        <v>310</v>
      </c>
      <c r="D38" s="373">
        <v>240</v>
      </c>
      <c r="E38" s="373">
        <v>190</v>
      </c>
      <c r="F38" s="373">
        <v>157</v>
      </c>
      <c r="G38" s="373">
        <v>133</v>
      </c>
      <c r="H38" s="373">
        <v>125</v>
      </c>
      <c r="I38" s="373">
        <v>0</v>
      </c>
      <c r="J38" s="373">
        <v>0</v>
      </c>
      <c r="K38" s="373">
        <v>0</v>
      </c>
      <c r="L38" s="373">
        <v>0</v>
      </c>
      <c r="M38" s="373">
        <v>0</v>
      </c>
      <c r="N38" s="373">
        <v>0</v>
      </c>
      <c r="O38" s="373">
        <v>0</v>
      </c>
      <c r="P38" s="373">
        <v>0</v>
      </c>
      <c r="Q38" s="373">
        <v>0</v>
      </c>
      <c r="R38" s="373">
        <v>0</v>
      </c>
      <c r="S38" s="373">
        <v>0</v>
      </c>
      <c r="T38" s="373">
        <v>0</v>
      </c>
      <c r="U38" s="373">
        <v>0</v>
      </c>
      <c r="V38" s="373">
        <v>0</v>
      </c>
      <c r="W38" s="373">
        <v>0</v>
      </c>
      <c r="X38" s="373">
        <v>0</v>
      </c>
      <c r="Y38" s="382">
        <v>0</v>
      </c>
    </row>
    <row r="39" spans="1:25" ht="13.5" thickBot="1" x14ac:dyDescent="0.25">
      <c r="A39" s="379" t="s">
        <v>116</v>
      </c>
      <c r="B39" s="374">
        <f t="shared" ref="B39:X39" si="4">(C38+B38)*(C37-B37)/2</f>
        <v>0.155</v>
      </c>
      <c r="C39" s="375">
        <f t="shared" si="4"/>
        <v>5.2249999999999996</v>
      </c>
      <c r="D39" s="375">
        <f t="shared" si="4"/>
        <v>4.3</v>
      </c>
      <c r="E39" s="375">
        <f t="shared" si="4"/>
        <v>3.4699999999999993</v>
      </c>
      <c r="F39" s="375">
        <f t="shared" si="4"/>
        <v>2.9000000000000004</v>
      </c>
      <c r="G39" s="375">
        <f t="shared" si="4"/>
        <v>1.0319999999999991</v>
      </c>
      <c r="H39" s="375">
        <f t="shared" si="4"/>
        <v>6.2500000000000056E-2</v>
      </c>
      <c r="I39" s="375">
        <f t="shared" si="4"/>
        <v>0</v>
      </c>
      <c r="J39" s="375">
        <f t="shared" si="4"/>
        <v>0</v>
      </c>
      <c r="K39" s="375">
        <f t="shared" si="4"/>
        <v>0</v>
      </c>
      <c r="L39" s="375">
        <f t="shared" si="4"/>
        <v>0</v>
      </c>
      <c r="M39" s="375">
        <f t="shared" si="4"/>
        <v>0</v>
      </c>
      <c r="N39" s="375">
        <f t="shared" si="4"/>
        <v>0</v>
      </c>
      <c r="O39" s="375">
        <f t="shared" si="4"/>
        <v>0</v>
      </c>
      <c r="P39" s="375">
        <f t="shared" si="4"/>
        <v>0</v>
      </c>
      <c r="Q39" s="375">
        <f t="shared" si="4"/>
        <v>0</v>
      </c>
      <c r="R39" s="375">
        <f t="shared" si="4"/>
        <v>0</v>
      </c>
      <c r="S39" s="375">
        <f t="shared" si="4"/>
        <v>0</v>
      </c>
      <c r="T39" s="375">
        <f t="shared" si="4"/>
        <v>0</v>
      </c>
      <c r="U39" s="375">
        <f t="shared" si="4"/>
        <v>0</v>
      </c>
      <c r="V39" s="375">
        <f t="shared" si="4"/>
        <v>0</v>
      </c>
      <c r="W39" s="375">
        <f t="shared" si="4"/>
        <v>0</v>
      </c>
      <c r="X39" s="375">
        <f t="shared" si="4"/>
        <v>0</v>
      </c>
      <c r="Y39" s="369"/>
    </row>
    <row r="40" spans="1:25" ht="13.5" thickBot="1" x14ac:dyDescent="0.25">
      <c r="A40" s="12"/>
      <c r="L40" s="12"/>
      <c r="M40" s="12"/>
      <c r="N40" s="12"/>
      <c r="O40" s="12"/>
      <c r="P40" s="12"/>
      <c r="Q40" s="12"/>
      <c r="R40" s="12"/>
      <c r="S40" s="12"/>
      <c r="T40" s="12"/>
      <c r="U40" s="12"/>
      <c r="V40" s="12"/>
      <c r="W40" s="12"/>
      <c r="X40" s="12"/>
      <c r="Y40" s="12"/>
    </row>
    <row r="41" spans="1:25" ht="13.5" thickBot="1" x14ac:dyDescent="0.25">
      <c r="A41" s="361" t="s">
        <v>312</v>
      </c>
      <c r="B41" s="359">
        <f>ROW(A41)</f>
        <v>41</v>
      </c>
      <c r="C41" s="363" t="s">
        <v>115</v>
      </c>
      <c r="D41" s="353">
        <f>SUM(B44:Y44)</f>
        <v>19.415000000000003</v>
      </c>
      <c r="E41" s="363" t="s">
        <v>114</v>
      </c>
      <c r="F41" s="399">
        <f>D41/g/J41</f>
        <v>2.6388039415562354</v>
      </c>
      <c r="G41" s="363" t="s">
        <v>56</v>
      </c>
      <c r="H41" s="64">
        <v>0.75</v>
      </c>
      <c r="I41" s="363" t="s">
        <v>271</v>
      </c>
      <c r="J41" s="355">
        <f>H41-L41</f>
        <v>0.75</v>
      </c>
      <c r="K41" s="363" t="s">
        <v>272</v>
      </c>
      <c r="L41" s="64">
        <v>0</v>
      </c>
      <c r="M41" s="363" t="s">
        <v>57</v>
      </c>
      <c r="N41" s="65">
        <f>0.5*R41</f>
        <v>150</v>
      </c>
      <c r="O41" s="363" t="s">
        <v>59</v>
      </c>
      <c r="P41" s="65">
        <v>150</v>
      </c>
      <c r="Q41" s="363" t="s">
        <v>60</v>
      </c>
      <c r="R41" s="65">
        <v>300</v>
      </c>
      <c r="S41" s="363" t="s">
        <v>61</v>
      </c>
      <c r="T41" s="65">
        <v>90</v>
      </c>
      <c r="U41" s="363" t="s">
        <v>54</v>
      </c>
      <c r="V41" s="66" t="s">
        <v>276</v>
      </c>
      <c r="W41" s="12"/>
      <c r="X41" s="12"/>
      <c r="Y41" s="12"/>
    </row>
    <row r="42" spans="1:25" x14ac:dyDescent="0.2">
      <c r="A42" s="362" t="s">
        <v>33</v>
      </c>
      <c r="B42" s="370">
        <v>0</v>
      </c>
      <c r="C42" s="371">
        <v>1E-3</v>
      </c>
      <c r="D42" s="371">
        <v>0.02</v>
      </c>
      <c r="E42" s="371">
        <v>0.04</v>
      </c>
      <c r="F42" s="371">
        <v>0.06</v>
      </c>
      <c r="G42" s="371">
        <v>0.08</v>
      </c>
      <c r="H42" s="371">
        <v>0.1</v>
      </c>
      <c r="I42" s="371">
        <v>0.123</v>
      </c>
      <c r="J42" s="371">
        <v>0.124</v>
      </c>
      <c r="K42" s="371">
        <v>0.124</v>
      </c>
      <c r="L42" s="371">
        <v>0.124</v>
      </c>
      <c r="M42" s="371">
        <v>0.124</v>
      </c>
      <c r="N42" s="371">
        <v>0.124</v>
      </c>
      <c r="O42" s="371">
        <v>0.124</v>
      </c>
      <c r="P42" s="371">
        <v>0.124</v>
      </c>
      <c r="Q42" s="371">
        <v>0.124</v>
      </c>
      <c r="R42" s="371">
        <v>0.124</v>
      </c>
      <c r="S42" s="371">
        <v>0.124</v>
      </c>
      <c r="T42" s="371">
        <v>0.124</v>
      </c>
      <c r="U42" s="371">
        <v>0.124</v>
      </c>
      <c r="V42" s="371">
        <v>0.124</v>
      </c>
      <c r="W42" s="371">
        <v>0.124</v>
      </c>
      <c r="X42" s="371">
        <v>0.124</v>
      </c>
      <c r="Y42" s="381">
        <v>1000</v>
      </c>
    </row>
    <row r="43" spans="1:25" x14ac:dyDescent="0.2">
      <c r="A43" s="378" t="s">
        <v>34</v>
      </c>
      <c r="B43" s="372">
        <v>0</v>
      </c>
      <c r="C43" s="373">
        <v>310</v>
      </c>
      <c r="D43" s="373">
        <v>230</v>
      </c>
      <c r="E43" s="373">
        <v>175</v>
      </c>
      <c r="F43" s="373">
        <v>140</v>
      </c>
      <c r="G43" s="373">
        <v>118</v>
      </c>
      <c r="H43" s="373">
        <v>100</v>
      </c>
      <c r="I43" s="373">
        <v>85</v>
      </c>
      <c r="J43" s="373">
        <v>0</v>
      </c>
      <c r="K43" s="373">
        <v>0</v>
      </c>
      <c r="L43" s="373">
        <v>0</v>
      </c>
      <c r="M43" s="373">
        <v>0</v>
      </c>
      <c r="N43" s="373">
        <v>0</v>
      </c>
      <c r="O43" s="373">
        <v>0</v>
      </c>
      <c r="P43" s="373">
        <v>0</v>
      </c>
      <c r="Q43" s="373">
        <v>0</v>
      </c>
      <c r="R43" s="373">
        <v>0</v>
      </c>
      <c r="S43" s="373">
        <v>0</v>
      </c>
      <c r="T43" s="373">
        <v>0</v>
      </c>
      <c r="U43" s="373">
        <v>0</v>
      </c>
      <c r="V43" s="373">
        <v>0</v>
      </c>
      <c r="W43" s="373">
        <v>0</v>
      </c>
      <c r="X43" s="373">
        <v>0</v>
      </c>
      <c r="Y43" s="382">
        <v>0</v>
      </c>
    </row>
    <row r="44" spans="1:25" ht="13.5" thickBot="1" x14ac:dyDescent="0.25">
      <c r="A44" s="379" t="s">
        <v>116</v>
      </c>
      <c r="B44" s="374">
        <f t="shared" ref="B44:X44" si="5">(C43+B43)*(C42-B42)/2</f>
        <v>0.155</v>
      </c>
      <c r="C44" s="375">
        <f t="shared" si="5"/>
        <v>5.13</v>
      </c>
      <c r="D44" s="375">
        <f t="shared" si="5"/>
        <v>4.05</v>
      </c>
      <c r="E44" s="375">
        <f t="shared" si="5"/>
        <v>3.1499999999999995</v>
      </c>
      <c r="F44" s="375">
        <f t="shared" si="5"/>
        <v>2.5800000000000005</v>
      </c>
      <c r="G44" s="375">
        <f t="shared" si="5"/>
        <v>2.1800000000000006</v>
      </c>
      <c r="H44" s="375">
        <f t="shared" si="5"/>
        <v>2.1274999999999995</v>
      </c>
      <c r="I44" s="375">
        <f t="shared" si="5"/>
        <v>4.2500000000000038E-2</v>
      </c>
      <c r="J44" s="375">
        <f t="shared" si="5"/>
        <v>0</v>
      </c>
      <c r="K44" s="375">
        <f t="shared" si="5"/>
        <v>0</v>
      </c>
      <c r="L44" s="375">
        <f t="shared" si="5"/>
        <v>0</v>
      </c>
      <c r="M44" s="375">
        <f t="shared" si="5"/>
        <v>0</v>
      </c>
      <c r="N44" s="375">
        <f t="shared" si="5"/>
        <v>0</v>
      </c>
      <c r="O44" s="375">
        <f t="shared" si="5"/>
        <v>0</v>
      </c>
      <c r="P44" s="375">
        <f t="shared" si="5"/>
        <v>0</v>
      </c>
      <c r="Q44" s="375">
        <f t="shared" si="5"/>
        <v>0</v>
      </c>
      <c r="R44" s="375">
        <f t="shared" si="5"/>
        <v>0</v>
      </c>
      <c r="S44" s="375">
        <f t="shared" si="5"/>
        <v>0</v>
      </c>
      <c r="T44" s="375">
        <f t="shared" si="5"/>
        <v>0</v>
      </c>
      <c r="U44" s="375">
        <f t="shared" si="5"/>
        <v>0</v>
      </c>
      <c r="V44" s="375">
        <f t="shared" si="5"/>
        <v>0</v>
      </c>
      <c r="W44" s="375">
        <f t="shared" si="5"/>
        <v>0</v>
      </c>
      <c r="X44" s="375">
        <f t="shared" si="5"/>
        <v>0</v>
      </c>
      <c r="Y44" s="369"/>
    </row>
    <row r="45" spans="1:25" ht="13.5" thickBot="1" x14ac:dyDescent="0.25"/>
    <row r="46" spans="1:25" ht="13.5" thickBot="1" x14ac:dyDescent="0.25">
      <c r="A46" s="361" t="s">
        <v>277</v>
      </c>
      <c r="B46" s="359">
        <f>ROW(A46)</f>
        <v>46</v>
      </c>
      <c r="C46" s="363" t="s">
        <v>115</v>
      </c>
      <c r="D46" s="353">
        <f>SUM(B49:Y49)</f>
        <v>12.8695</v>
      </c>
      <c r="E46" s="363" t="s">
        <v>114</v>
      </c>
      <c r="F46" s="399">
        <f>D46/g/J46</f>
        <v>3.2796890927624869</v>
      </c>
      <c r="G46" s="363" t="s">
        <v>56</v>
      </c>
      <c r="H46" s="64">
        <v>0.5</v>
      </c>
      <c r="I46" s="363" t="s">
        <v>271</v>
      </c>
      <c r="J46" s="355">
        <f>H46-L46</f>
        <v>0.4</v>
      </c>
      <c r="K46" s="363" t="s">
        <v>272</v>
      </c>
      <c r="L46" s="64">
        <v>0.1</v>
      </c>
      <c r="M46" s="363" t="s">
        <v>57</v>
      </c>
      <c r="N46" s="65">
        <f>0.2*R46</f>
        <v>60</v>
      </c>
      <c r="O46" s="363" t="s">
        <v>59</v>
      </c>
      <c r="P46" s="65">
        <v>150</v>
      </c>
      <c r="Q46" s="363" t="s">
        <v>60</v>
      </c>
      <c r="R46" s="65">
        <v>300</v>
      </c>
      <c r="S46" s="363" t="s">
        <v>61</v>
      </c>
      <c r="T46" s="65">
        <v>98</v>
      </c>
      <c r="U46" s="363" t="s">
        <v>54</v>
      </c>
      <c r="V46" s="66" t="s">
        <v>276</v>
      </c>
      <c r="W46" s="12"/>
      <c r="X46" s="12"/>
      <c r="Y46" s="12"/>
    </row>
    <row r="47" spans="1:25" x14ac:dyDescent="0.2">
      <c r="A47" s="362" t="s">
        <v>33</v>
      </c>
      <c r="B47" s="370">
        <v>0</v>
      </c>
      <c r="C47" s="371">
        <v>1E-3</v>
      </c>
      <c r="D47" s="371">
        <v>0.02</v>
      </c>
      <c r="E47" s="371">
        <v>0.04</v>
      </c>
      <c r="F47" s="371">
        <v>0.05</v>
      </c>
      <c r="G47" s="371">
        <v>5.0999999999999997E-2</v>
      </c>
      <c r="H47" s="371">
        <v>5.0999999999999997E-2</v>
      </c>
      <c r="I47" s="371">
        <v>5.0999999999999997E-2</v>
      </c>
      <c r="J47" s="371">
        <v>5.0999999999999997E-2</v>
      </c>
      <c r="K47" s="371">
        <v>5.0999999999999997E-2</v>
      </c>
      <c r="L47" s="371">
        <v>5.0999999999999997E-2</v>
      </c>
      <c r="M47" s="371">
        <v>5.0999999999999997E-2</v>
      </c>
      <c r="N47" s="371">
        <v>5.0999999999999997E-2</v>
      </c>
      <c r="O47" s="371">
        <v>5.0999999999999997E-2</v>
      </c>
      <c r="P47" s="371">
        <v>5.0999999999999997E-2</v>
      </c>
      <c r="Q47" s="371">
        <v>5.0999999999999997E-2</v>
      </c>
      <c r="R47" s="371">
        <v>5.0999999999999997E-2</v>
      </c>
      <c r="S47" s="371">
        <v>5.0999999999999997E-2</v>
      </c>
      <c r="T47" s="371">
        <v>5.0999999999999997E-2</v>
      </c>
      <c r="U47" s="371">
        <v>5.0999999999999997E-2</v>
      </c>
      <c r="V47" s="371">
        <v>5.0999999999999997E-2</v>
      </c>
      <c r="W47" s="371">
        <v>5.0999999999999997E-2</v>
      </c>
      <c r="X47" s="371">
        <v>5.0999999999999997E-2</v>
      </c>
      <c r="Y47" s="381">
        <v>1000</v>
      </c>
    </row>
    <row r="48" spans="1:25" x14ac:dyDescent="0.2">
      <c r="A48" s="378" t="s">
        <v>34</v>
      </c>
      <c r="B48" s="372">
        <v>0</v>
      </c>
      <c r="C48" s="373">
        <v>310</v>
      </c>
      <c r="D48" s="373">
        <v>264</v>
      </c>
      <c r="E48" s="373">
        <v>230</v>
      </c>
      <c r="F48" s="373">
        <v>213</v>
      </c>
      <c r="G48" s="373">
        <v>0</v>
      </c>
      <c r="H48" s="373">
        <v>0</v>
      </c>
      <c r="I48" s="373">
        <v>0</v>
      </c>
      <c r="J48" s="373">
        <v>0</v>
      </c>
      <c r="K48" s="373">
        <v>0</v>
      </c>
      <c r="L48" s="373">
        <v>0</v>
      </c>
      <c r="M48" s="373">
        <v>0</v>
      </c>
      <c r="N48" s="373">
        <v>0</v>
      </c>
      <c r="O48" s="373">
        <v>0</v>
      </c>
      <c r="P48" s="373">
        <v>0</v>
      </c>
      <c r="Q48" s="373">
        <v>0</v>
      </c>
      <c r="R48" s="373">
        <v>0</v>
      </c>
      <c r="S48" s="373">
        <v>0</v>
      </c>
      <c r="T48" s="373">
        <v>0</v>
      </c>
      <c r="U48" s="373">
        <v>0</v>
      </c>
      <c r="V48" s="373">
        <v>0</v>
      </c>
      <c r="W48" s="373">
        <v>0</v>
      </c>
      <c r="X48" s="373">
        <v>0</v>
      </c>
      <c r="Y48" s="382">
        <v>0</v>
      </c>
    </row>
    <row r="49" spans="1:25" ht="13.5" thickBot="1" x14ac:dyDescent="0.25">
      <c r="A49" s="379" t="s">
        <v>116</v>
      </c>
      <c r="B49" s="374">
        <f t="shared" ref="B49:X49" si="6">(C48+B48)*(C47-B47)/2</f>
        <v>0.155</v>
      </c>
      <c r="C49" s="375">
        <f t="shared" si="6"/>
        <v>5.4530000000000003</v>
      </c>
      <c r="D49" s="375">
        <f t="shared" si="6"/>
        <v>4.9400000000000004</v>
      </c>
      <c r="E49" s="375">
        <f t="shared" si="6"/>
        <v>2.2150000000000003</v>
      </c>
      <c r="F49" s="375">
        <f t="shared" si="6"/>
        <v>0.10649999999999936</v>
      </c>
      <c r="G49" s="375">
        <f t="shared" si="6"/>
        <v>0</v>
      </c>
      <c r="H49" s="375">
        <f t="shared" si="6"/>
        <v>0</v>
      </c>
      <c r="I49" s="375">
        <f t="shared" si="6"/>
        <v>0</v>
      </c>
      <c r="J49" s="375">
        <f t="shared" si="6"/>
        <v>0</v>
      </c>
      <c r="K49" s="375">
        <f t="shared" si="6"/>
        <v>0</v>
      </c>
      <c r="L49" s="375">
        <f t="shared" si="6"/>
        <v>0</v>
      </c>
      <c r="M49" s="375">
        <f t="shared" si="6"/>
        <v>0</v>
      </c>
      <c r="N49" s="375">
        <f t="shared" si="6"/>
        <v>0</v>
      </c>
      <c r="O49" s="375">
        <f t="shared" si="6"/>
        <v>0</v>
      </c>
      <c r="P49" s="375">
        <f t="shared" si="6"/>
        <v>0</v>
      </c>
      <c r="Q49" s="375">
        <f t="shared" si="6"/>
        <v>0</v>
      </c>
      <c r="R49" s="375">
        <f t="shared" si="6"/>
        <v>0</v>
      </c>
      <c r="S49" s="375">
        <f t="shared" si="6"/>
        <v>0</v>
      </c>
      <c r="T49" s="375">
        <f t="shared" si="6"/>
        <v>0</v>
      </c>
      <c r="U49" s="375">
        <f t="shared" si="6"/>
        <v>0</v>
      </c>
      <c r="V49" s="375">
        <f t="shared" si="6"/>
        <v>0</v>
      </c>
      <c r="W49" s="375">
        <f t="shared" si="6"/>
        <v>0</v>
      </c>
      <c r="X49" s="375">
        <f t="shared" si="6"/>
        <v>0</v>
      </c>
      <c r="Y49" s="369"/>
    </row>
    <row r="50" spans="1:25" ht="13.5" thickBot="1" x14ac:dyDescent="0.25">
      <c r="A50" s="12"/>
      <c r="L50" s="12"/>
      <c r="M50" s="12"/>
      <c r="N50" s="12"/>
      <c r="O50" s="12"/>
      <c r="P50" s="12"/>
      <c r="Q50" s="12"/>
      <c r="R50" s="12"/>
      <c r="S50" s="12"/>
      <c r="T50" s="12"/>
      <c r="U50" s="12"/>
      <c r="V50" s="12"/>
      <c r="W50" s="12"/>
      <c r="X50" s="12"/>
      <c r="Y50" s="12"/>
    </row>
    <row r="51" spans="1:25" ht="13.5" thickBot="1" x14ac:dyDescent="0.25">
      <c r="A51" s="361" t="s">
        <v>278</v>
      </c>
      <c r="B51" s="359">
        <f>ROW(A51)</f>
        <v>51</v>
      </c>
      <c r="C51" s="363" t="s">
        <v>115</v>
      </c>
      <c r="D51" s="353">
        <f>SUM(B54:Y54)</f>
        <v>18.123500000000003</v>
      </c>
      <c r="E51" s="363" t="s">
        <v>114</v>
      </c>
      <c r="F51" s="399">
        <f>D51/g/J51</f>
        <v>3.0790859667006463</v>
      </c>
      <c r="G51" s="363" t="s">
        <v>56</v>
      </c>
      <c r="H51" s="64">
        <v>0.7</v>
      </c>
      <c r="I51" s="363" t="s">
        <v>271</v>
      </c>
      <c r="J51" s="355">
        <f>H51-L51</f>
        <v>0.6</v>
      </c>
      <c r="K51" s="363" t="s">
        <v>272</v>
      </c>
      <c r="L51" s="64">
        <v>0.1</v>
      </c>
      <c r="M51" s="363" t="s">
        <v>57</v>
      </c>
      <c r="N51" s="65">
        <f>0.3*R51</f>
        <v>90</v>
      </c>
      <c r="O51" s="363" t="s">
        <v>59</v>
      </c>
      <c r="P51" s="65">
        <v>150</v>
      </c>
      <c r="Q51" s="363" t="s">
        <v>60</v>
      </c>
      <c r="R51" s="65">
        <v>300</v>
      </c>
      <c r="S51" s="363" t="s">
        <v>61</v>
      </c>
      <c r="T51" s="65">
        <v>98</v>
      </c>
      <c r="U51" s="363" t="s">
        <v>54</v>
      </c>
      <c r="V51" s="66" t="s">
        <v>276</v>
      </c>
      <c r="W51" s="12"/>
      <c r="X51" s="12"/>
      <c r="Y51" s="12"/>
    </row>
    <row r="52" spans="1:25" x14ac:dyDescent="0.2">
      <c r="A52" s="362" t="s">
        <v>33</v>
      </c>
      <c r="B52" s="370">
        <v>0</v>
      </c>
      <c r="C52" s="371">
        <v>1E-3</v>
      </c>
      <c r="D52" s="371">
        <v>0.02</v>
      </c>
      <c r="E52" s="371">
        <v>0.04</v>
      </c>
      <c r="F52" s="371">
        <v>0.06</v>
      </c>
      <c r="G52" s="371">
        <v>0.08</v>
      </c>
      <c r="H52" s="371">
        <v>8.1000000000000003E-2</v>
      </c>
      <c r="I52" s="371">
        <v>8.1000000000000003E-2</v>
      </c>
      <c r="J52" s="371">
        <v>8.1000000000000003E-2</v>
      </c>
      <c r="K52" s="371">
        <v>8.1000000000000003E-2</v>
      </c>
      <c r="L52" s="371">
        <v>8.1000000000000003E-2</v>
      </c>
      <c r="M52" s="371">
        <v>8.1000000000000003E-2</v>
      </c>
      <c r="N52" s="371">
        <v>8.1000000000000003E-2</v>
      </c>
      <c r="O52" s="371">
        <v>8.1000000000000003E-2</v>
      </c>
      <c r="P52" s="371">
        <v>8.1000000000000003E-2</v>
      </c>
      <c r="Q52" s="371">
        <v>8.1000000000000003E-2</v>
      </c>
      <c r="R52" s="371">
        <v>8.1000000000000003E-2</v>
      </c>
      <c r="S52" s="371">
        <v>8.1000000000000003E-2</v>
      </c>
      <c r="T52" s="371">
        <v>8.1000000000000003E-2</v>
      </c>
      <c r="U52" s="371">
        <v>8.1000000000000003E-2</v>
      </c>
      <c r="V52" s="371">
        <v>8.1000000000000003E-2</v>
      </c>
      <c r="W52" s="371">
        <v>8.1000000000000003E-2</v>
      </c>
      <c r="X52" s="371">
        <v>8.1000000000000003E-2</v>
      </c>
      <c r="Y52" s="381">
        <v>1000</v>
      </c>
    </row>
    <row r="53" spans="1:25" x14ac:dyDescent="0.2">
      <c r="A53" s="378" t="s">
        <v>34</v>
      </c>
      <c r="B53" s="372">
        <v>0</v>
      </c>
      <c r="C53" s="373">
        <v>310</v>
      </c>
      <c r="D53" s="373">
        <v>260</v>
      </c>
      <c r="E53" s="373">
        <v>220</v>
      </c>
      <c r="F53" s="373">
        <v>190</v>
      </c>
      <c r="G53" s="373">
        <v>167</v>
      </c>
      <c r="H53" s="373">
        <v>0</v>
      </c>
      <c r="I53" s="373">
        <v>0</v>
      </c>
      <c r="J53" s="373">
        <v>0</v>
      </c>
      <c r="K53" s="373">
        <v>0</v>
      </c>
      <c r="L53" s="373">
        <v>0</v>
      </c>
      <c r="M53" s="373">
        <v>0</v>
      </c>
      <c r="N53" s="373">
        <v>0</v>
      </c>
      <c r="O53" s="373">
        <v>0</v>
      </c>
      <c r="P53" s="373">
        <v>0</v>
      </c>
      <c r="Q53" s="373">
        <v>0</v>
      </c>
      <c r="R53" s="373">
        <v>0</v>
      </c>
      <c r="S53" s="373">
        <v>0</v>
      </c>
      <c r="T53" s="373">
        <v>0</v>
      </c>
      <c r="U53" s="373">
        <v>0</v>
      </c>
      <c r="V53" s="373">
        <v>0</v>
      </c>
      <c r="W53" s="373">
        <v>0</v>
      </c>
      <c r="X53" s="373">
        <v>0</v>
      </c>
      <c r="Y53" s="382">
        <v>0</v>
      </c>
    </row>
    <row r="54" spans="1:25" ht="13.5" thickBot="1" x14ac:dyDescent="0.25">
      <c r="A54" s="379" t="s">
        <v>116</v>
      </c>
      <c r="B54" s="374">
        <f t="shared" ref="B54:X54" si="7">(C53+B53)*(C52-B52)/2</f>
        <v>0.155</v>
      </c>
      <c r="C54" s="375">
        <f t="shared" si="7"/>
        <v>5.415</v>
      </c>
      <c r="D54" s="375">
        <f t="shared" si="7"/>
        <v>4.8</v>
      </c>
      <c r="E54" s="375">
        <f t="shared" si="7"/>
        <v>4.0999999999999996</v>
      </c>
      <c r="F54" s="375">
        <f t="shared" si="7"/>
        <v>3.5700000000000007</v>
      </c>
      <c r="G54" s="375">
        <f t="shared" si="7"/>
        <v>8.3500000000000074E-2</v>
      </c>
      <c r="H54" s="375">
        <f t="shared" si="7"/>
        <v>0</v>
      </c>
      <c r="I54" s="375">
        <f t="shared" si="7"/>
        <v>0</v>
      </c>
      <c r="J54" s="375">
        <f t="shared" si="7"/>
        <v>0</v>
      </c>
      <c r="K54" s="375">
        <f t="shared" si="7"/>
        <v>0</v>
      </c>
      <c r="L54" s="375">
        <f t="shared" si="7"/>
        <v>0</v>
      </c>
      <c r="M54" s="375">
        <f t="shared" si="7"/>
        <v>0</v>
      </c>
      <c r="N54" s="375">
        <f t="shared" si="7"/>
        <v>0</v>
      </c>
      <c r="O54" s="375">
        <f t="shared" si="7"/>
        <v>0</v>
      </c>
      <c r="P54" s="375">
        <f t="shared" si="7"/>
        <v>0</v>
      </c>
      <c r="Q54" s="375">
        <f t="shared" si="7"/>
        <v>0</v>
      </c>
      <c r="R54" s="375">
        <f t="shared" si="7"/>
        <v>0</v>
      </c>
      <c r="S54" s="375">
        <f t="shared" si="7"/>
        <v>0</v>
      </c>
      <c r="T54" s="375">
        <f t="shared" si="7"/>
        <v>0</v>
      </c>
      <c r="U54" s="375">
        <f t="shared" si="7"/>
        <v>0</v>
      </c>
      <c r="V54" s="375">
        <f t="shared" si="7"/>
        <v>0</v>
      </c>
      <c r="W54" s="375">
        <f t="shared" si="7"/>
        <v>0</v>
      </c>
      <c r="X54" s="375">
        <f t="shared" si="7"/>
        <v>0</v>
      </c>
      <c r="Y54" s="369"/>
    </row>
    <row r="55" spans="1:25" ht="13.5" thickBot="1" x14ac:dyDescent="0.25">
      <c r="B55" s="12"/>
      <c r="C55" s="12"/>
      <c r="D55" s="12"/>
      <c r="E55" s="12"/>
      <c r="F55" s="12"/>
      <c r="G55" s="12"/>
      <c r="H55" s="12"/>
      <c r="I55" s="12"/>
      <c r="J55" s="12"/>
      <c r="K55" s="12"/>
      <c r="L55" s="12"/>
      <c r="M55" s="12"/>
      <c r="N55" s="12"/>
      <c r="O55" s="12"/>
      <c r="P55" s="12"/>
      <c r="Q55" s="12"/>
      <c r="R55" s="12"/>
      <c r="S55" s="12"/>
      <c r="T55" s="12"/>
      <c r="U55" s="12"/>
      <c r="V55" s="12"/>
      <c r="W55" s="12"/>
      <c r="X55" s="12"/>
      <c r="Y55" s="12"/>
    </row>
    <row r="56" spans="1:25" ht="13.5" thickBot="1" x14ac:dyDescent="0.25">
      <c r="A56" s="361" t="s">
        <v>279</v>
      </c>
      <c r="B56" s="359">
        <f>ROW(A56)</f>
        <v>56</v>
      </c>
      <c r="C56" s="363" t="s">
        <v>115</v>
      </c>
      <c r="D56" s="353">
        <f>SUM(B59:Y59)</f>
        <v>22.610000000000003</v>
      </c>
      <c r="E56" s="363" t="s">
        <v>114</v>
      </c>
      <c r="F56" s="399">
        <f>D56/g/J56</f>
        <v>2.88098878695209</v>
      </c>
      <c r="G56" s="363" t="s">
        <v>56</v>
      </c>
      <c r="H56" s="64">
        <v>0.9</v>
      </c>
      <c r="I56" s="363" t="s">
        <v>271</v>
      </c>
      <c r="J56" s="355">
        <f>H56-L56</f>
        <v>0.8</v>
      </c>
      <c r="K56" s="363" t="s">
        <v>272</v>
      </c>
      <c r="L56" s="64">
        <v>0.1</v>
      </c>
      <c r="M56" s="363" t="s">
        <v>57</v>
      </c>
      <c r="N56" s="65">
        <f>0.4*R56</f>
        <v>120</v>
      </c>
      <c r="O56" s="363" t="s">
        <v>59</v>
      </c>
      <c r="P56" s="65">
        <v>150</v>
      </c>
      <c r="Q56" s="363" t="s">
        <v>60</v>
      </c>
      <c r="R56" s="65">
        <v>300</v>
      </c>
      <c r="S56" s="363" t="s">
        <v>61</v>
      </c>
      <c r="T56" s="65">
        <v>98</v>
      </c>
      <c r="U56" s="363" t="s">
        <v>54</v>
      </c>
      <c r="V56" s="66" t="s">
        <v>276</v>
      </c>
      <c r="W56" s="12"/>
      <c r="X56" s="12"/>
      <c r="Y56" s="12"/>
    </row>
    <row r="57" spans="1:25" x14ac:dyDescent="0.2">
      <c r="A57" s="362" t="s">
        <v>33</v>
      </c>
      <c r="B57" s="370">
        <v>0</v>
      </c>
      <c r="C57" s="371">
        <v>1E-3</v>
      </c>
      <c r="D57" s="371">
        <v>0.02</v>
      </c>
      <c r="E57" s="371">
        <v>0.04</v>
      </c>
      <c r="F57" s="371">
        <v>0.06</v>
      </c>
      <c r="G57" s="371">
        <v>0.08</v>
      </c>
      <c r="H57" s="371">
        <v>0.1</v>
      </c>
      <c r="I57" s="371">
        <v>0.11700000000000001</v>
      </c>
      <c r="J57" s="371">
        <v>0.11799999999999999</v>
      </c>
      <c r="K57" s="371">
        <v>0.11799999999999999</v>
      </c>
      <c r="L57" s="371">
        <v>0.11799999999999999</v>
      </c>
      <c r="M57" s="371">
        <v>0.11799999999999999</v>
      </c>
      <c r="N57" s="371">
        <v>0.11799999999999999</v>
      </c>
      <c r="O57" s="371">
        <v>0.11799999999999999</v>
      </c>
      <c r="P57" s="371">
        <v>0.11799999999999999</v>
      </c>
      <c r="Q57" s="371">
        <v>0.11799999999999999</v>
      </c>
      <c r="R57" s="371">
        <v>0.11799999999999999</v>
      </c>
      <c r="S57" s="371">
        <v>0.11799999999999999</v>
      </c>
      <c r="T57" s="371">
        <v>0.11799999999999999</v>
      </c>
      <c r="U57" s="371">
        <v>0.11799999999999999</v>
      </c>
      <c r="V57" s="371">
        <v>0.11799999999999999</v>
      </c>
      <c r="W57" s="371">
        <v>0.11799999999999999</v>
      </c>
      <c r="X57" s="371">
        <v>0.11799999999999999</v>
      </c>
      <c r="Y57" s="381">
        <v>1000</v>
      </c>
    </row>
    <row r="58" spans="1:25" x14ac:dyDescent="0.2">
      <c r="A58" s="378" t="s">
        <v>34</v>
      </c>
      <c r="B58" s="372">
        <v>0</v>
      </c>
      <c r="C58" s="373">
        <v>310</v>
      </c>
      <c r="D58" s="373">
        <v>250</v>
      </c>
      <c r="E58" s="373">
        <v>210</v>
      </c>
      <c r="F58" s="373">
        <v>180</v>
      </c>
      <c r="G58" s="373">
        <v>156</v>
      </c>
      <c r="H58" s="373">
        <v>140</v>
      </c>
      <c r="I58" s="373">
        <v>125</v>
      </c>
      <c r="J58" s="373">
        <v>0</v>
      </c>
      <c r="K58" s="373">
        <v>0</v>
      </c>
      <c r="L58" s="373">
        <v>0</v>
      </c>
      <c r="M58" s="373">
        <v>0</v>
      </c>
      <c r="N58" s="373">
        <v>0</v>
      </c>
      <c r="O58" s="373">
        <v>0</v>
      </c>
      <c r="P58" s="373">
        <v>0</v>
      </c>
      <c r="Q58" s="373">
        <v>0</v>
      </c>
      <c r="R58" s="373">
        <v>0</v>
      </c>
      <c r="S58" s="373">
        <v>0</v>
      </c>
      <c r="T58" s="373">
        <v>0</v>
      </c>
      <c r="U58" s="373">
        <v>0</v>
      </c>
      <c r="V58" s="373">
        <v>0</v>
      </c>
      <c r="W58" s="373">
        <v>0</v>
      </c>
      <c r="X58" s="373">
        <v>0</v>
      </c>
      <c r="Y58" s="382">
        <v>0</v>
      </c>
    </row>
    <row r="59" spans="1:25" ht="13.5" thickBot="1" x14ac:dyDescent="0.25">
      <c r="A59" s="379" t="s">
        <v>116</v>
      </c>
      <c r="B59" s="374">
        <f t="shared" ref="B59:X59" si="8">(C58+B58)*(C57-B57)/2</f>
        <v>0.155</v>
      </c>
      <c r="C59" s="375">
        <f t="shared" si="8"/>
        <v>5.32</v>
      </c>
      <c r="D59" s="375">
        <f t="shared" si="8"/>
        <v>4.6000000000000005</v>
      </c>
      <c r="E59" s="375">
        <f t="shared" si="8"/>
        <v>3.8999999999999995</v>
      </c>
      <c r="F59" s="375">
        <f t="shared" si="8"/>
        <v>3.3600000000000008</v>
      </c>
      <c r="G59" s="375">
        <f t="shared" si="8"/>
        <v>2.9600000000000004</v>
      </c>
      <c r="H59" s="375">
        <f t="shared" si="8"/>
        <v>2.2524999999999999</v>
      </c>
      <c r="I59" s="375">
        <f t="shared" si="8"/>
        <v>6.2499999999999188E-2</v>
      </c>
      <c r="J59" s="375">
        <f t="shared" si="8"/>
        <v>0</v>
      </c>
      <c r="K59" s="375">
        <f t="shared" si="8"/>
        <v>0</v>
      </c>
      <c r="L59" s="375">
        <f t="shared" si="8"/>
        <v>0</v>
      </c>
      <c r="M59" s="375">
        <f t="shared" si="8"/>
        <v>0</v>
      </c>
      <c r="N59" s="375">
        <f t="shared" si="8"/>
        <v>0</v>
      </c>
      <c r="O59" s="375">
        <f t="shared" si="8"/>
        <v>0</v>
      </c>
      <c r="P59" s="375">
        <f t="shared" si="8"/>
        <v>0</v>
      </c>
      <c r="Q59" s="375">
        <f t="shared" si="8"/>
        <v>0</v>
      </c>
      <c r="R59" s="375">
        <f t="shared" si="8"/>
        <v>0</v>
      </c>
      <c r="S59" s="375">
        <f t="shared" si="8"/>
        <v>0</v>
      </c>
      <c r="T59" s="375">
        <f t="shared" si="8"/>
        <v>0</v>
      </c>
      <c r="U59" s="375">
        <f t="shared" si="8"/>
        <v>0</v>
      </c>
      <c r="V59" s="375">
        <f t="shared" si="8"/>
        <v>0</v>
      </c>
      <c r="W59" s="375">
        <f t="shared" si="8"/>
        <v>0</v>
      </c>
      <c r="X59" s="375">
        <f t="shared" si="8"/>
        <v>0</v>
      </c>
      <c r="Y59" s="369"/>
    </row>
    <row r="60" spans="1:25" ht="13.5" thickBot="1" x14ac:dyDescent="0.25">
      <c r="A60" s="12"/>
      <c r="L60" s="12"/>
      <c r="M60" s="12"/>
      <c r="N60" s="12"/>
      <c r="O60" s="12"/>
      <c r="P60" s="12"/>
      <c r="Q60" s="12"/>
      <c r="R60" s="12"/>
      <c r="S60" s="12"/>
      <c r="T60" s="12"/>
      <c r="U60" s="12"/>
      <c r="V60" s="12"/>
      <c r="W60" s="12"/>
      <c r="X60" s="12"/>
      <c r="Y60" s="12"/>
    </row>
    <row r="61" spans="1:25" ht="13.5" thickBot="1" x14ac:dyDescent="0.25">
      <c r="A61" s="361" t="s">
        <v>280</v>
      </c>
      <c r="B61" s="359">
        <f>ROW(A61)</f>
        <v>61</v>
      </c>
      <c r="C61" s="363" t="s">
        <v>115</v>
      </c>
      <c r="D61" s="353">
        <f>SUM(B64:Y64)</f>
        <v>25.874000000000006</v>
      </c>
      <c r="E61" s="363" t="s">
        <v>114</v>
      </c>
      <c r="F61" s="399">
        <f>D61/g/J61</f>
        <v>2.6375127420998985</v>
      </c>
      <c r="G61" s="363" t="s">
        <v>56</v>
      </c>
      <c r="H61" s="64">
        <v>1.1000000000000001</v>
      </c>
      <c r="I61" s="363" t="s">
        <v>271</v>
      </c>
      <c r="J61" s="355">
        <f>H61-L61</f>
        <v>1</v>
      </c>
      <c r="K61" s="363" t="s">
        <v>272</v>
      </c>
      <c r="L61" s="64">
        <v>0.1</v>
      </c>
      <c r="M61" s="363" t="s">
        <v>57</v>
      </c>
      <c r="N61" s="65">
        <f>0.5*R61</f>
        <v>150</v>
      </c>
      <c r="O61" s="363" t="s">
        <v>59</v>
      </c>
      <c r="P61" s="65">
        <v>150</v>
      </c>
      <c r="Q61" s="363" t="s">
        <v>60</v>
      </c>
      <c r="R61" s="65">
        <v>300</v>
      </c>
      <c r="S61" s="363" t="s">
        <v>61</v>
      </c>
      <c r="T61" s="65">
        <v>98</v>
      </c>
      <c r="U61" s="363" t="s">
        <v>54</v>
      </c>
      <c r="V61" s="66" t="s">
        <v>276</v>
      </c>
      <c r="W61" s="12"/>
      <c r="X61" s="12"/>
      <c r="Y61" s="12"/>
    </row>
    <row r="62" spans="1:25" x14ac:dyDescent="0.2">
      <c r="A62" s="362" t="s">
        <v>33</v>
      </c>
      <c r="B62" s="370">
        <v>0</v>
      </c>
      <c r="C62" s="371">
        <v>1E-3</v>
      </c>
      <c r="D62" s="371">
        <v>0.02</v>
      </c>
      <c r="E62" s="371">
        <v>0.04</v>
      </c>
      <c r="F62" s="371">
        <v>0.06</v>
      </c>
      <c r="G62" s="371">
        <v>0.08</v>
      </c>
      <c r="H62" s="371">
        <v>0.1</v>
      </c>
      <c r="I62" s="371">
        <v>0.12</v>
      </c>
      <c r="J62" s="371">
        <v>0.14000000000000001</v>
      </c>
      <c r="K62" s="371">
        <v>0.16400000000000001</v>
      </c>
      <c r="L62" s="371">
        <v>0.16500000000000001</v>
      </c>
      <c r="M62" s="371">
        <v>0.16500000000000001</v>
      </c>
      <c r="N62" s="371">
        <v>0.16500000000000001</v>
      </c>
      <c r="O62" s="371">
        <v>0.16500000000000001</v>
      </c>
      <c r="P62" s="371">
        <v>0.16500000000000001</v>
      </c>
      <c r="Q62" s="371">
        <v>0.16500000000000001</v>
      </c>
      <c r="R62" s="371">
        <v>0.16500000000000001</v>
      </c>
      <c r="S62" s="371">
        <v>0.16500000000000001</v>
      </c>
      <c r="T62" s="371">
        <v>0.16500000000000001</v>
      </c>
      <c r="U62" s="371">
        <v>0.16500000000000001</v>
      </c>
      <c r="V62" s="371">
        <v>0.16500000000000001</v>
      </c>
      <c r="W62" s="371">
        <v>0.16500000000000001</v>
      </c>
      <c r="X62" s="371">
        <v>0.16500000000000001</v>
      </c>
      <c r="Y62" s="381">
        <v>1000</v>
      </c>
    </row>
    <row r="63" spans="1:25" x14ac:dyDescent="0.2">
      <c r="A63" s="378" t="s">
        <v>34</v>
      </c>
      <c r="B63" s="372">
        <v>0</v>
      </c>
      <c r="C63" s="373">
        <v>310</v>
      </c>
      <c r="D63" s="373">
        <v>245</v>
      </c>
      <c r="E63" s="373">
        <v>200</v>
      </c>
      <c r="F63" s="373">
        <v>165</v>
      </c>
      <c r="G63" s="373">
        <v>143</v>
      </c>
      <c r="H63" s="373">
        <v>124</v>
      </c>
      <c r="I63" s="373">
        <v>108</v>
      </c>
      <c r="J63" s="373">
        <v>97</v>
      </c>
      <c r="K63" s="373">
        <v>85</v>
      </c>
      <c r="L63" s="373">
        <v>0</v>
      </c>
      <c r="M63" s="373">
        <v>0</v>
      </c>
      <c r="N63" s="373">
        <v>0</v>
      </c>
      <c r="O63" s="373">
        <v>0</v>
      </c>
      <c r="P63" s="373">
        <v>0</v>
      </c>
      <c r="Q63" s="373">
        <v>0</v>
      </c>
      <c r="R63" s="373">
        <v>0</v>
      </c>
      <c r="S63" s="373">
        <v>0</v>
      </c>
      <c r="T63" s="373">
        <v>0</v>
      </c>
      <c r="U63" s="373">
        <v>0</v>
      </c>
      <c r="V63" s="373">
        <v>0</v>
      </c>
      <c r="W63" s="373">
        <v>0</v>
      </c>
      <c r="X63" s="373">
        <v>0</v>
      </c>
      <c r="Y63" s="382">
        <v>0</v>
      </c>
    </row>
    <row r="64" spans="1:25" ht="13.5" thickBot="1" x14ac:dyDescent="0.25">
      <c r="A64" s="379" t="s">
        <v>116</v>
      </c>
      <c r="B64" s="374">
        <f t="shared" ref="B64:X64" si="9">(C63+B63)*(C62-B62)/2</f>
        <v>0.155</v>
      </c>
      <c r="C64" s="375">
        <f t="shared" si="9"/>
        <v>5.2725</v>
      </c>
      <c r="D64" s="375">
        <f t="shared" si="9"/>
        <v>4.45</v>
      </c>
      <c r="E64" s="375">
        <f t="shared" si="9"/>
        <v>3.6499999999999995</v>
      </c>
      <c r="F64" s="375">
        <f t="shared" si="9"/>
        <v>3.0800000000000005</v>
      </c>
      <c r="G64" s="375">
        <f t="shared" si="9"/>
        <v>2.6700000000000004</v>
      </c>
      <c r="H64" s="375">
        <f t="shared" si="9"/>
        <v>2.319999999999999</v>
      </c>
      <c r="I64" s="375">
        <f t="shared" si="9"/>
        <v>2.0500000000000016</v>
      </c>
      <c r="J64" s="375">
        <f t="shared" si="9"/>
        <v>2.1839999999999993</v>
      </c>
      <c r="K64" s="375">
        <f t="shared" si="9"/>
        <v>4.2500000000000038E-2</v>
      </c>
      <c r="L64" s="375">
        <f t="shared" si="9"/>
        <v>0</v>
      </c>
      <c r="M64" s="375">
        <f t="shared" si="9"/>
        <v>0</v>
      </c>
      <c r="N64" s="375">
        <f t="shared" si="9"/>
        <v>0</v>
      </c>
      <c r="O64" s="375">
        <f t="shared" si="9"/>
        <v>0</v>
      </c>
      <c r="P64" s="375">
        <f t="shared" si="9"/>
        <v>0</v>
      </c>
      <c r="Q64" s="375">
        <f t="shared" si="9"/>
        <v>0</v>
      </c>
      <c r="R64" s="375">
        <f t="shared" si="9"/>
        <v>0</v>
      </c>
      <c r="S64" s="375">
        <f t="shared" si="9"/>
        <v>0</v>
      </c>
      <c r="T64" s="375">
        <f t="shared" si="9"/>
        <v>0</v>
      </c>
      <c r="U64" s="375">
        <f t="shared" si="9"/>
        <v>0</v>
      </c>
      <c r="V64" s="375">
        <f t="shared" si="9"/>
        <v>0</v>
      </c>
      <c r="W64" s="375">
        <f t="shared" si="9"/>
        <v>0</v>
      </c>
      <c r="X64" s="375">
        <f t="shared" si="9"/>
        <v>0</v>
      </c>
      <c r="Y64" s="369"/>
    </row>
    <row r="66" spans="1:26" ht="13.5" thickBot="1" x14ac:dyDescent="0.25">
      <c r="A66" s="6" t="s">
        <v>181</v>
      </c>
    </row>
    <row r="67" spans="1:26" ht="13.5" thickBot="1" x14ac:dyDescent="0.25">
      <c r="A67" s="361" t="s">
        <v>111</v>
      </c>
      <c r="B67" s="359">
        <f>ROW(A67)</f>
        <v>67</v>
      </c>
      <c r="C67" s="363" t="s">
        <v>115</v>
      </c>
      <c r="D67" s="353">
        <f>SUM(B70:Y70)</f>
        <v>2.65</v>
      </c>
      <c r="E67" s="363" t="s">
        <v>114</v>
      </c>
      <c r="F67" s="354">
        <f>D67/g/J67</f>
        <v>54.026503567787969</v>
      </c>
      <c r="G67" s="363" t="s">
        <v>56</v>
      </c>
      <c r="H67" s="64">
        <v>1.4999999999999999E-2</v>
      </c>
      <c r="I67" s="363" t="s">
        <v>271</v>
      </c>
      <c r="J67" s="355">
        <f>H67-L67</f>
        <v>4.9999999999999992E-3</v>
      </c>
      <c r="K67" s="363" t="s">
        <v>272</v>
      </c>
      <c r="L67" s="64">
        <v>0.01</v>
      </c>
      <c r="M67" s="363" t="s">
        <v>57</v>
      </c>
      <c r="N67" s="65">
        <v>30</v>
      </c>
      <c r="O67" s="363" t="s">
        <v>59</v>
      </c>
      <c r="P67" s="65">
        <v>30</v>
      </c>
      <c r="Q67" s="363" t="s">
        <v>60</v>
      </c>
      <c r="R67" s="65">
        <v>70</v>
      </c>
      <c r="S67" s="363" t="s">
        <v>61</v>
      </c>
      <c r="T67" s="65">
        <v>15</v>
      </c>
      <c r="U67" s="363" t="s">
        <v>54</v>
      </c>
      <c r="V67" s="66" t="s">
        <v>117</v>
      </c>
      <c r="W67" s="463" t="s">
        <v>394</v>
      </c>
      <c r="X67" s="465">
        <v>0.32</v>
      </c>
      <c r="Y67" s="463" t="s">
        <v>393</v>
      </c>
      <c r="Z67" s="358">
        <v>3</v>
      </c>
    </row>
    <row r="68" spans="1:26" x14ac:dyDescent="0.2">
      <c r="A68" s="362" t="s">
        <v>33</v>
      </c>
      <c r="B68" s="370">
        <v>0</v>
      </c>
      <c r="C68" s="371">
        <v>0.2</v>
      </c>
      <c r="D68" s="371">
        <v>0.3</v>
      </c>
      <c r="E68" s="371">
        <v>0.4</v>
      </c>
      <c r="F68" s="371">
        <v>0.5</v>
      </c>
      <c r="G68" s="371">
        <v>0.55000000000000004</v>
      </c>
      <c r="H68" s="371">
        <v>0.6</v>
      </c>
      <c r="I68" s="371">
        <v>0.6</v>
      </c>
      <c r="J68" s="371">
        <v>0.6</v>
      </c>
      <c r="K68" s="371">
        <v>0.6</v>
      </c>
      <c r="L68" s="371">
        <v>0.6</v>
      </c>
      <c r="M68" s="371">
        <v>0.6</v>
      </c>
      <c r="N68" s="371">
        <v>0.6</v>
      </c>
      <c r="O68" s="371">
        <v>0.6</v>
      </c>
      <c r="P68" s="371">
        <v>0.6</v>
      </c>
      <c r="Q68" s="371">
        <v>0.6</v>
      </c>
      <c r="R68" s="371">
        <v>0.6</v>
      </c>
      <c r="S68" s="371">
        <v>0.6</v>
      </c>
      <c r="T68" s="371">
        <v>0.6</v>
      </c>
      <c r="U68" s="371">
        <v>0.6</v>
      </c>
      <c r="V68" s="371">
        <v>0.6</v>
      </c>
      <c r="W68" s="371">
        <v>0.6</v>
      </c>
      <c r="X68" s="371">
        <v>0.6</v>
      </c>
      <c r="Y68" s="381">
        <v>1000</v>
      </c>
    </row>
    <row r="69" spans="1:26" x14ac:dyDescent="0.2">
      <c r="A69" s="378" t="s">
        <v>34</v>
      </c>
      <c r="B69" s="372">
        <v>0</v>
      </c>
      <c r="C69" s="373">
        <v>9</v>
      </c>
      <c r="D69" s="373">
        <v>4.5</v>
      </c>
      <c r="E69" s="373">
        <v>4</v>
      </c>
      <c r="F69" s="373">
        <v>4</v>
      </c>
      <c r="G69" s="373">
        <v>3</v>
      </c>
      <c r="H69" s="373">
        <v>0</v>
      </c>
      <c r="I69" s="373">
        <v>0</v>
      </c>
      <c r="J69" s="373">
        <v>0</v>
      </c>
      <c r="K69" s="373">
        <v>0</v>
      </c>
      <c r="L69" s="373">
        <v>0</v>
      </c>
      <c r="M69" s="373">
        <v>0</v>
      </c>
      <c r="N69" s="373">
        <v>0</v>
      </c>
      <c r="O69" s="373">
        <v>0</v>
      </c>
      <c r="P69" s="373">
        <v>0</v>
      </c>
      <c r="Q69" s="373">
        <v>0</v>
      </c>
      <c r="R69" s="373">
        <v>0</v>
      </c>
      <c r="S69" s="373">
        <v>0</v>
      </c>
      <c r="T69" s="373">
        <v>0</v>
      </c>
      <c r="U69" s="373">
        <v>0</v>
      </c>
      <c r="V69" s="373">
        <v>0</v>
      </c>
      <c r="W69" s="373">
        <v>0</v>
      </c>
      <c r="X69" s="373">
        <v>0</v>
      </c>
      <c r="Y69" s="382">
        <v>0</v>
      </c>
    </row>
    <row r="70" spans="1:26" ht="13.5" thickBot="1" x14ac:dyDescent="0.25">
      <c r="A70" s="379" t="s">
        <v>116</v>
      </c>
      <c r="B70" s="374">
        <f t="shared" ref="B70:X70" si="10">(C69+B69)*(C68-B68)/2</f>
        <v>0.9</v>
      </c>
      <c r="C70" s="375">
        <f t="shared" si="10"/>
        <v>0.67499999999999982</v>
      </c>
      <c r="D70" s="375">
        <f t="shared" si="10"/>
        <v>0.42500000000000016</v>
      </c>
      <c r="E70" s="375">
        <f t="shared" si="10"/>
        <v>0.39999999999999991</v>
      </c>
      <c r="F70" s="375">
        <f t="shared" si="10"/>
        <v>0.17500000000000016</v>
      </c>
      <c r="G70" s="375">
        <f t="shared" si="10"/>
        <v>7.49999999999999E-2</v>
      </c>
      <c r="H70" s="375">
        <f t="shared" si="10"/>
        <v>0</v>
      </c>
      <c r="I70" s="375">
        <f t="shared" si="10"/>
        <v>0</v>
      </c>
      <c r="J70" s="375">
        <f t="shared" si="10"/>
        <v>0</v>
      </c>
      <c r="K70" s="375">
        <f t="shared" si="10"/>
        <v>0</v>
      </c>
      <c r="L70" s="375">
        <f t="shared" si="10"/>
        <v>0</v>
      </c>
      <c r="M70" s="375">
        <f t="shared" si="10"/>
        <v>0</v>
      </c>
      <c r="N70" s="375">
        <f t="shared" si="10"/>
        <v>0</v>
      </c>
      <c r="O70" s="375">
        <f t="shared" si="10"/>
        <v>0</v>
      </c>
      <c r="P70" s="375">
        <f t="shared" si="10"/>
        <v>0</v>
      </c>
      <c r="Q70" s="375">
        <f t="shared" si="10"/>
        <v>0</v>
      </c>
      <c r="R70" s="375">
        <f t="shared" si="10"/>
        <v>0</v>
      </c>
      <c r="S70" s="375">
        <f t="shared" si="10"/>
        <v>0</v>
      </c>
      <c r="T70" s="375">
        <f t="shared" si="10"/>
        <v>0</v>
      </c>
      <c r="U70" s="375">
        <f t="shared" si="10"/>
        <v>0</v>
      </c>
      <c r="V70" s="375">
        <f t="shared" si="10"/>
        <v>0</v>
      </c>
      <c r="W70" s="375">
        <f t="shared" si="10"/>
        <v>0</v>
      </c>
      <c r="X70" s="375">
        <f t="shared" si="10"/>
        <v>0</v>
      </c>
      <c r="Y70" s="369"/>
    </row>
    <row r="71" spans="1:26" ht="13.5" thickBot="1" x14ac:dyDescent="0.25">
      <c r="A71" s="12"/>
      <c r="L71" s="12"/>
      <c r="M71" s="12"/>
      <c r="N71" s="12"/>
      <c r="O71" s="12"/>
      <c r="P71" s="12"/>
      <c r="Q71" s="12"/>
      <c r="R71" s="12"/>
      <c r="S71" s="12"/>
      <c r="T71" s="12"/>
      <c r="U71" s="12"/>
      <c r="V71" s="12"/>
      <c r="W71" s="12"/>
      <c r="X71" s="12"/>
      <c r="Y71" s="12"/>
    </row>
    <row r="72" spans="1:26" ht="13.5" thickBot="1" x14ac:dyDescent="0.25">
      <c r="A72" s="361" t="s">
        <v>112</v>
      </c>
      <c r="B72" s="359">
        <f>ROW(A72)</f>
        <v>72</v>
      </c>
      <c r="C72" s="363" t="s">
        <v>115</v>
      </c>
      <c r="D72" s="353">
        <f>SUM(B75:Y75)</f>
        <v>5.25</v>
      </c>
      <c r="E72" s="363" t="s">
        <v>114</v>
      </c>
      <c r="F72" s="354">
        <f>D72/g/J72</f>
        <v>89.1946992864424</v>
      </c>
      <c r="G72" s="363" t="s">
        <v>56</v>
      </c>
      <c r="H72" s="64">
        <v>0.02</v>
      </c>
      <c r="I72" s="363" t="s">
        <v>271</v>
      </c>
      <c r="J72" s="355">
        <f>H72-L72</f>
        <v>6.0000000000000001E-3</v>
      </c>
      <c r="K72" s="363" t="s">
        <v>272</v>
      </c>
      <c r="L72" s="64">
        <v>1.4E-2</v>
      </c>
      <c r="M72" s="363" t="s">
        <v>57</v>
      </c>
      <c r="N72" s="65">
        <v>30</v>
      </c>
      <c r="O72" s="363" t="s">
        <v>59</v>
      </c>
      <c r="P72" s="65">
        <v>30</v>
      </c>
      <c r="Q72" s="363" t="s">
        <v>60</v>
      </c>
      <c r="R72" s="65">
        <v>70</v>
      </c>
      <c r="S72" s="363" t="s">
        <v>61</v>
      </c>
      <c r="T72" s="65">
        <v>15</v>
      </c>
      <c r="U72" s="363" t="s">
        <v>54</v>
      </c>
      <c r="V72" s="66" t="s">
        <v>117</v>
      </c>
      <c r="W72" s="463" t="s">
        <v>394</v>
      </c>
      <c r="X72" s="465">
        <v>1.2</v>
      </c>
      <c r="Y72" s="463" t="s">
        <v>393</v>
      </c>
      <c r="Z72" s="358">
        <v>4</v>
      </c>
    </row>
    <row r="73" spans="1:26" x14ac:dyDescent="0.2">
      <c r="A73" s="362" t="s">
        <v>33</v>
      </c>
      <c r="B73" s="370">
        <v>0</v>
      </c>
      <c r="C73" s="371">
        <v>0.2</v>
      </c>
      <c r="D73" s="371">
        <v>0.3</v>
      </c>
      <c r="E73" s="371">
        <v>0.55000000000000004</v>
      </c>
      <c r="F73" s="371">
        <v>1.05</v>
      </c>
      <c r="G73" s="371">
        <v>1.1499999999999999</v>
      </c>
      <c r="H73" s="371">
        <v>1.1499999999999999</v>
      </c>
      <c r="I73" s="371">
        <v>1.1499999999999999</v>
      </c>
      <c r="J73" s="371">
        <v>1.1499999999999999</v>
      </c>
      <c r="K73" s="371">
        <v>1.1499999999999999</v>
      </c>
      <c r="L73" s="371">
        <v>1.1499999999999999</v>
      </c>
      <c r="M73" s="371">
        <v>1.1499999999999999</v>
      </c>
      <c r="N73" s="371">
        <v>1.1499999999999999</v>
      </c>
      <c r="O73" s="371">
        <v>1.1499999999999999</v>
      </c>
      <c r="P73" s="371">
        <v>1.1499999999999999</v>
      </c>
      <c r="Q73" s="371">
        <v>1.1499999999999999</v>
      </c>
      <c r="R73" s="371">
        <v>1.1499999999999999</v>
      </c>
      <c r="S73" s="371">
        <v>1.1499999999999999</v>
      </c>
      <c r="T73" s="371">
        <v>1.1499999999999999</v>
      </c>
      <c r="U73" s="371">
        <v>1.1499999999999999</v>
      </c>
      <c r="V73" s="371">
        <v>1.1499999999999999</v>
      </c>
      <c r="W73" s="371">
        <v>1.1499999999999999</v>
      </c>
      <c r="X73" s="371">
        <v>1.1499999999999999</v>
      </c>
      <c r="Y73" s="381">
        <v>1000</v>
      </c>
    </row>
    <row r="74" spans="1:26" x14ac:dyDescent="0.2">
      <c r="A74" s="378" t="s">
        <v>34</v>
      </c>
      <c r="B74" s="372">
        <v>0</v>
      </c>
      <c r="C74" s="373">
        <v>10</v>
      </c>
      <c r="D74" s="373">
        <v>6</v>
      </c>
      <c r="E74" s="373">
        <v>4</v>
      </c>
      <c r="F74" s="373">
        <v>4</v>
      </c>
      <c r="G74" s="373">
        <v>0</v>
      </c>
      <c r="H74" s="373">
        <v>0</v>
      </c>
      <c r="I74" s="373">
        <v>0</v>
      </c>
      <c r="J74" s="373">
        <v>0</v>
      </c>
      <c r="K74" s="373">
        <v>0</v>
      </c>
      <c r="L74" s="373">
        <v>0</v>
      </c>
      <c r="M74" s="373">
        <v>0</v>
      </c>
      <c r="N74" s="373">
        <v>0</v>
      </c>
      <c r="O74" s="373">
        <v>0</v>
      </c>
      <c r="P74" s="373">
        <v>0</v>
      </c>
      <c r="Q74" s="373">
        <v>0</v>
      </c>
      <c r="R74" s="373">
        <v>0</v>
      </c>
      <c r="S74" s="373">
        <v>0</v>
      </c>
      <c r="T74" s="373">
        <v>0</v>
      </c>
      <c r="U74" s="373">
        <v>0</v>
      </c>
      <c r="V74" s="373">
        <v>0</v>
      </c>
      <c r="W74" s="373">
        <v>0</v>
      </c>
      <c r="X74" s="373">
        <v>0</v>
      </c>
      <c r="Y74" s="382">
        <v>0</v>
      </c>
    </row>
    <row r="75" spans="1:26" ht="13.5" thickBot="1" x14ac:dyDescent="0.25">
      <c r="A75" s="379" t="s">
        <v>116</v>
      </c>
      <c r="B75" s="374">
        <f t="shared" ref="B75:V75" si="11">(C74+B74)*(C73-B73)/2</f>
        <v>1</v>
      </c>
      <c r="C75" s="375">
        <f t="shared" si="11"/>
        <v>0.79999999999999982</v>
      </c>
      <c r="D75" s="375">
        <f t="shared" si="11"/>
        <v>1.2500000000000002</v>
      </c>
      <c r="E75" s="375">
        <f t="shared" si="11"/>
        <v>2</v>
      </c>
      <c r="F75" s="375">
        <f t="shared" si="11"/>
        <v>0.19999999999999973</v>
      </c>
      <c r="G75" s="375">
        <f t="shared" si="11"/>
        <v>0</v>
      </c>
      <c r="H75" s="375">
        <f t="shared" si="11"/>
        <v>0</v>
      </c>
      <c r="I75" s="375">
        <f t="shared" si="11"/>
        <v>0</v>
      </c>
      <c r="J75" s="375">
        <f>(K74+J74)*(K73-J73)/2</f>
        <v>0</v>
      </c>
      <c r="K75" s="375">
        <f t="shared" si="11"/>
        <v>0</v>
      </c>
      <c r="L75" s="375">
        <f t="shared" si="11"/>
        <v>0</v>
      </c>
      <c r="M75" s="375">
        <f t="shared" si="11"/>
        <v>0</v>
      </c>
      <c r="N75" s="375">
        <f t="shared" si="11"/>
        <v>0</v>
      </c>
      <c r="O75" s="375">
        <f t="shared" si="11"/>
        <v>0</v>
      </c>
      <c r="P75" s="375">
        <f t="shared" si="11"/>
        <v>0</v>
      </c>
      <c r="Q75" s="375">
        <f t="shared" si="11"/>
        <v>0</v>
      </c>
      <c r="R75" s="375">
        <f t="shared" si="11"/>
        <v>0</v>
      </c>
      <c r="S75" s="375">
        <f>(T74+S74)*(T73-S73)/2</f>
        <v>0</v>
      </c>
      <c r="T75" s="375">
        <f t="shared" si="11"/>
        <v>0</v>
      </c>
      <c r="U75" s="375">
        <f t="shared" si="11"/>
        <v>0</v>
      </c>
      <c r="V75" s="375">
        <f t="shared" si="11"/>
        <v>0</v>
      </c>
      <c r="W75" s="375">
        <f>(X74+W74)*(X73-W73)/2</f>
        <v>0</v>
      </c>
      <c r="X75" s="375">
        <f>(Y74+X74)*(Y73-X73)/2</f>
        <v>0</v>
      </c>
      <c r="Y75" s="369"/>
    </row>
    <row r="76" spans="1:26" ht="13.5" thickBot="1" x14ac:dyDescent="0.25">
      <c r="B76" s="12"/>
      <c r="C76" s="12"/>
      <c r="D76" s="12"/>
      <c r="E76" s="12"/>
      <c r="F76" s="12"/>
      <c r="G76" s="12"/>
      <c r="H76" s="12"/>
      <c r="I76" s="12"/>
      <c r="J76" s="12"/>
      <c r="K76" s="12"/>
      <c r="L76" s="12"/>
      <c r="M76" s="12"/>
      <c r="N76" s="12"/>
      <c r="O76" s="12"/>
      <c r="P76" s="12"/>
      <c r="Q76" s="12"/>
      <c r="R76" s="12"/>
      <c r="S76" s="12"/>
      <c r="T76" s="12"/>
      <c r="U76" s="12"/>
      <c r="V76" s="12"/>
      <c r="W76" s="12"/>
      <c r="X76" s="12"/>
      <c r="Y76" s="12"/>
    </row>
    <row r="77" spans="1:26" ht="13.5" thickBot="1" x14ac:dyDescent="0.25">
      <c r="A77" s="361" t="s">
        <v>113</v>
      </c>
      <c r="B77" s="359">
        <f>ROW(A77)</f>
        <v>77</v>
      </c>
      <c r="C77" s="363" t="s">
        <v>115</v>
      </c>
      <c r="D77" s="353">
        <f>SUM(B80:Y80)</f>
        <v>10.26</v>
      </c>
      <c r="E77" s="363" t="s">
        <v>114</v>
      </c>
      <c r="F77" s="354">
        <f>D77/g/J77</f>
        <v>80.451658433309802</v>
      </c>
      <c r="G77" s="363" t="s">
        <v>56</v>
      </c>
      <c r="H77" s="64">
        <v>2.4E-2</v>
      </c>
      <c r="I77" s="363" t="s">
        <v>271</v>
      </c>
      <c r="J77" s="355">
        <f>H77-L77</f>
        <v>1.3000000000000001E-2</v>
      </c>
      <c r="K77" s="363" t="s">
        <v>272</v>
      </c>
      <c r="L77" s="64">
        <v>1.0999999999999999E-2</v>
      </c>
      <c r="M77" s="363" t="s">
        <v>57</v>
      </c>
      <c r="N77" s="65">
        <v>30</v>
      </c>
      <c r="O77" s="363" t="s">
        <v>59</v>
      </c>
      <c r="P77" s="65">
        <v>30</v>
      </c>
      <c r="Q77" s="363" t="s">
        <v>60</v>
      </c>
      <c r="R77" s="65">
        <v>70</v>
      </c>
      <c r="S77" s="363" t="s">
        <v>61</v>
      </c>
      <c r="T77" s="65">
        <v>15</v>
      </c>
      <c r="U77" s="363" t="s">
        <v>54</v>
      </c>
      <c r="V77" s="66" t="s">
        <v>117</v>
      </c>
      <c r="W77" s="463" t="s">
        <v>394</v>
      </c>
      <c r="X77" s="465">
        <v>1.7</v>
      </c>
      <c r="Y77" s="463" t="s">
        <v>393</v>
      </c>
      <c r="Z77" s="358">
        <v>3</v>
      </c>
    </row>
    <row r="78" spans="1:26" x14ac:dyDescent="0.2">
      <c r="A78" s="362" t="s">
        <v>33</v>
      </c>
      <c r="B78" s="370">
        <v>0</v>
      </c>
      <c r="C78" s="371">
        <v>0.2</v>
      </c>
      <c r="D78" s="371">
        <v>0.3</v>
      </c>
      <c r="E78" s="371">
        <v>0.6</v>
      </c>
      <c r="F78" s="371">
        <v>0.8</v>
      </c>
      <c r="G78" s="371">
        <v>2</v>
      </c>
      <c r="H78" s="371">
        <v>2.1</v>
      </c>
      <c r="I78" s="371">
        <v>2.1</v>
      </c>
      <c r="J78" s="371">
        <v>2.1</v>
      </c>
      <c r="K78" s="371">
        <v>2.1</v>
      </c>
      <c r="L78" s="371">
        <v>2.1</v>
      </c>
      <c r="M78" s="371">
        <v>2.1</v>
      </c>
      <c r="N78" s="371">
        <v>2.1</v>
      </c>
      <c r="O78" s="371">
        <v>2.1</v>
      </c>
      <c r="P78" s="371">
        <v>2.1</v>
      </c>
      <c r="Q78" s="371">
        <v>2.1</v>
      </c>
      <c r="R78" s="371">
        <v>2.1</v>
      </c>
      <c r="S78" s="371">
        <v>2.1</v>
      </c>
      <c r="T78" s="371">
        <v>2.1</v>
      </c>
      <c r="U78" s="371">
        <v>2.1</v>
      </c>
      <c r="V78" s="371">
        <v>2.1</v>
      </c>
      <c r="W78" s="371">
        <v>2.1</v>
      </c>
      <c r="X78" s="371">
        <v>2.1</v>
      </c>
      <c r="Y78" s="381">
        <v>1000</v>
      </c>
    </row>
    <row r="79" spans="1:26" x14ac:dyDescent="0.2">
      <c r="A79" s="378" t="s">
        <v>34</v>
      </c>
      <c r="B79" s="372">
        <v>0</v>
      </c>
      <c r="C79" s="373">
        <v>11</v>
      </c>
      <c r="D79" s="373">
        <v>7</v>
      </c>
      <c r="E79" s="373">
        <v>4</v>
      </c>
      <c r="F79" s="373">
        <v>4.5999999999999996</v>
      </c>
      <c r="G79" s="373">
        <v>4.5999999999999996</v>
      </c>
      <c r="H79" s="373">
        <v>0</v>
      </c>
      <c r="I79" s="373">
        <v>0</v>
      </c>
      <c r="J79" s="373">
        <v>0</v>
      </c>
      <c r="K79" s="373">
        <v>0</v>
      </c>
      <c r="L79" s="373">
        <v>0</v>
      </c>
      <c r="M79" s="373">
        <v>0</v>
      </c>
      <c r="N79" s="373">
        <v>0</v>
      </c>
      <c r="O79" s="373">
        <v>0</v>
      </c>
      <c r="P79" s="373">
        <v>0</v>
      </c>
      <c r="Q79" s="373">
        <v>0</v>
      </c>
      <c r="R79" s="373">
        <v>0</v>
      </c>
      <c r="S79" s="373">
        <v>0</v>
      </c>
      <c r="T79" s="373">
        <v>0</v>
      </c>
      <c r="U79" s="373">
        <v>0</v>
      </c>
      <c r="V79" s="373">
        <v>0</v>
      </c>
      <c r="W79" s="373">
        <v>0</v>
      </c>
      <c r="X79" s="373">
        <v>0</v>
      </c>
      <c r="Y79" s="382">
        <v>0</v>
      </c>
    </row>
    <row r="80" spans="1:26" ht="13.5" thickBot="1" x14ac:dyDescent="0.25">
      <c r="A80" s="379" t="s">
        <v>116</v>
      </c>
      <c r="B80" s="374">
        <f t="shared" ref="B80:G80" si="12">(C79+B79)*(C78-B78)/2</f>
        <v>1.1000000000000001</v>
      </c>
      <c r="C80" s="375">
        <f t="shared" si="12"/>
        <v>0.8999999999999998</v>
      </c>
      <c r="D80" s="375">
        <f t="shared" si="12"/>
        <v>1.65</v>
      </c>
      <c r="E80" s="375">
        <f t="shared" si="12"/>
        <v>0.86000000000000021</v>
      </c>
      <c r="F80" s="375">
        <f t="shared" si="12"/>
        <v>5.52</v>
      </c>
      <c r="G80" s="375">
        <f t="shared" si="12"/>
        <v>0.23000000000000018</v>
      </c>
      <c r="H80" s="375">
        <f t="shared" ref="H80:V80" si="13">(I79+H79)*(I78-H78)/2</f>
        <v>0</v>
      </c>
      <c r="I80" s="375">
        <f t="shared" si="13"/>
        <v>0</v>
      </c>
      <c r="J80" s="375">
        <f>(K79+J79)*(K78-J78)/2</f>
        <v>0</v>
      </c>
      <c r="K80" s="375">
        <f t="shared" si="13"/>
        <v>0</v>
      </c>
      <c r="L80" s="375">
        <f t="shared" si="13"/>
        <v>0</v>
      </c>
      <c r="M80" s="375">
        <f t="shared" si="13"/>
        <v>0</v>
      </c>
      <c r="N80" s="375">
        <f t="shared" si="13"/>
        <v>0</v>
      </c>
      <c r="O80" s="375">
        <f t="shared" si="13"/>
        <v>0</v>
      </c>
      <c r="P80" s="375">
        <f t="shared" si="13"/>
        <v>0</v>
      </c>
      <c r="Q80" s="375">
        <f t="shared" si="13"/>
        <v>0</v>
      </c>
      <c r="R80" s="375">
        <f t="shared" si="13"/>
        <v>0</v>
      </c>
      <c r="S80" s="375">
        <f>(T79+S79)*(T78-S78)/2</f>
        <v>0</v>
      </c>
      <c r="T80" s="375">
        <f t="shared" si="13"/>
        <v>0</v>
      </c>
      <c r="U80" s="375">
        <f t="shared" si="13"/>
        <v>0</v>
      </c>
      <c r="V80" s="375">
        <f t="shared" si="13"/>
        <v>0</v>
      </c>
      <c r="W80" s="375">
        <f>(X79+W79)*(X78-W78)/2</f>
        <v>0</v>
      </c>
      <c r="X80" s="375">
        <f>(Y79+X79)*(Y78-X78)/2</f>
        <v>0</v>
      </c>
      <c r="Y80" s="369"/>
    </row>
    <row r="81" spans="1:26" ht="13.5" thickBot="1" x14ac:dyDescent="0.25">
      <c r="A81" s="12"/>
      <c r="L81" s="12"/>
      <c r="M81" s="12"/>
      <c r="N81" s="12"/>
      <c r="O81" s="12"/>
      <c r="P81" s="12"/>
      <c r="Q81" s="12"/>
      <c r="R81" s="12"/>
      <c r="S81" s="12"/>
      <c r="T81" s="12"/>
      <c r="U81" s="12"/>
      <c r="V81" s="12"/>
      <c r="W81" s="12"/>
      <c r="X81" s="12"/>
      <c r="Y81" s="12"/>
    </row>
    <row r="82" spans="1:26" ht="13.5" thickBot="1" x14ac:dyDescent="0.25">
      <c r="A82" s="361" t="s">
        <v>329</v>
      </c>
      <c r="B82" s="359">
        <f>ROW(A82)</f>
        <v>82</v>
      </c>
      <c r="C82" s="363" t="s">
        <v>115</v>
      </c>
      <c r="D82" s="353">
        <f>SUM(B85:Y85)</f>
        <v>20.52</v>
      </c>
      <c r="E82" s="363" t="s">
        <v>114</v>
      </c>
      <c r="F82" s="354">
        <f>D82/g/J82</f>
        <v>80.451658433309802</v>
      </c>
      <c r="G82" s="363" t="s">
        <v>56</v>
      </c>
      <c r="H82" s="64">
        <f>H77*2</f>
        <v>4.8000000000000001E-2</v>
      </c>
      <c r="I82" s="363" t="s">
        <v>271</v>
      </c>
      <c r="J82" s="355">
        <f>H82-L82</f>
        <v>2.6000000000000002E-2</v>
      </c>
      <c r="K82" s="363" t="s">
        <v>272</v>
      </c>
      <c r="L82" s="64">
        <f>L77*2</f>
        <v>2.1999999999999999E-2</v>
      </c>
      <c r="M82" s="363" t="s">
        <v>57</v>
      </c>
      <c r="N82" s="65">
        <v>30</v>
      </c>
      <c r="O82" s="363" t="s">
        <v>59</v>
      </c>
      <c r="P82" s="65">
        <v>30</v>
      </c>
      <c r="Q82" s="363" t="s">
        <v>60</v>
      </c>
      <c r="R82" s="65">
        <v>70</v>
      </c>
      <c r="S82" s="363" t="s">
        <v>61</v>
      </c>
      <c r="T82" s="65">
        <v>30</v>
      </c>
      <c r="U82" s="363" t="s">
        <v>54</v>
      </c>
      <c r="V82" s="66" t="s">
        <v>117</v>
      </c>
      <c r="W82" s="463" t="s">
        <v>394</v>
      </c>
      <c r="X82" s="465">
        <v>1.7</v>
      </c>
      <c r="Y82" s="463" t="s">
        <v>393</v>
      </c>
      <c r="Z82" s="358">
        <v>3</v>
      </c>
    </row>
    <row r="83" spans="1:26" x14ac:dyDescent="0.2">
      <c r="A83" s="362" t="s">
        <v>33</v>
      </c>
      <c r="B83" s="370">
        <v>0</v>
      </c>
      <c r="C83" s="371">
        <v>0.2</v>
      </c>
      <c r="D83" s="371">
        <v>0.3</v>
      </c>
      <c r="E83" s="371">
        <v>0.6</v>
      </c>
      <c r="F83" s="371">
        <v>0.8</v>
      </c>
      <c r="G83" s="371">
        <v>2</v>
      </c>
      <c r="H83" s="371">
        <v>2.1</v>
      </c>
      <c r="I83" s="371">
        <v>2.1</v>
      </c>
      <c r="J83" s="371">
        <v>2.1</v>
      </c>
      <c r="K83" s="371">
        <v>2.1</v>
      </c>
      <c r="L83" s="371">
        <v>2.1</v>
      </c>
      <c r="M83" s="371">
        <v>2.1</v>
      </c>
      <c r="N83" s="371">
        <v>2.1</v>
      </c>
      <c r="O83" s="371">
        <v>2.1</v>
      </c>
      <c r="P83" s="371">
        <v>2.1</v>
      </c>
      <c r="Q83" s="371">
        <v>2.1</v>
      </c>
      <c r="R83" s="371">
        <v>2.1</v>
      </c>
      <c r="S83" s="371">
        <v>2.1</v>
      </c>
      <c r="T83" s="371">
        <v>2.1</v>
      </c>
      <c r="U83" s="371">
        <v>2.1</v>
      </c>
      <c r="V83" s="371">
        <v>2.1</v>
      </c>
      <c r="W83" s="371">
        <v>2.1</v>
      </c>
      <c r="X83" s="371">
        <v>2.1</v>
      </c>
      <c r="Y83" s="381">
        <v>1000</v>
      </c>
    </row>
    <row r="84" spans="1:26" x14ac:dyDescent="0.2">
      <c r="A84" s="378" t="s">
        <v>34</v>
      </c>
      <c r="B84" s="372">
        <f>B79*2</f>
        <v>0</v>
      </c>
      <c r="C84" s="373">
        <f t="shared" ref="C84:X84" si="14">C79*2</f>
        <v>22</v>
      </c>
      <c r="D84" s="373">
        <f t="shared" si="14"/>
        <v>14</v>
      </c>
      <c r="E84" s="373">
        <f t="shared" si="14"/>
        <v>8</v>
      </c>
      <c r="F84" s="373">
        <f t="shared" si="14"/>
        <v>9.1999999999999993</v>
      </c>
      <c r="G84" s="373">
        <f t="shared" si="14"/>
        <v>9.1999999999999993</v>
      </c>
      <c r="H84" s="373">
        <f t="shared" si="14"/>
        <v>0</v>
      </c>
      <c r="I84" s="373">
        <f t="shared" si="14"/>
        <v>0</v>
      </c>
      <c r="J84" s="373">
        <f t="shared" si="14"/>
        <v>0</v>
      </c>
      <c r="K84" s="373">
        <f t="shared" si="14"/>
        <v>0</v>
      </c>
      <c r="L84" s="373">
        <f t="shared" si="14"/>
        <v>0</v>
      </c>
      <c r="M84" s="373">
        <f t="shared" si="14"/>
        <v>0</v>
      </c>
      <c r="N84" s="373">
        <f t="shared" si="14"/>
        <v>0</v>
      </c>
      <c r="O84" s="373">
        <f t="shared" si="14"/>
        <v>0</v>
      </c>
      <c r="P84" s="373">
        <f t="shared" si="14"/>
        <v>0</v>
      </c>
      <c r="Q84" s="373">
        <f t="shared" si="14"/>
        <v>0</v>
      </c>
      <c r="R84" s="373">
        <f t="shared" si="14"/>
        <v>0</v>
      </c>
      <c r="S84" s="373">
        <f t="shared" si="14"/>
        <v>0</v>
      </c>
      <c r="T84" s="373">
        <f t="shared" si="14"/>
        <v>0</v>
      </c>
      <c r="U84" s="373">
        <f t="shared" si="14"/>
        <v>0</v>
      </c>
      <c r="V84" s="373">
        <f t="shared" si="14"/>
        <v>0</v>
      </c>
      <c r="W84" s="373">
        <f t="shared" si="14"/>
        <v>0</v>
      </c>
      <c r="X84" s="373">
        <f t="shared" si="14"/>
        <v>0</v>
      </c>
      <c r="Y84" s="382">
        <v>0</v>
      </c>
    </row>
    <row r="85" spans="1:26" ht="13.5" thickBot="1" x14ac:dyDescent="0.25">
      <c r="A85" s="379" t="s">
        <v>116</v>
      </c>
      <c r="B85" s="374">
        <f t="shared" ref="B85:X85" si="15">(C84+B84)*(C83-B83)/2</f>
        <v>2.2000000000000002</v>
      </c>
      <c r="C85" s="375">
        <f t="shared" si="15"/>
        <v>1.7999999999999996</v>
      </c>
      <c r="D85" s="375">
        <f t="shared" si="15"/>
        <v>3.3</v>
      </c>
      <c r="E85" s="375">
        <f t="shared" si="15"/>
        <v>1.7200000000000004</v>
      </c>
      <c r="F85" s="375">
        <f t="shared" si="15"/>
        <v>11.04</v>
      </c>
      <c r="G85" s="375">
        <f t="shared" si="15"/>
        <v>0.46000000000000035</v>
      </c>
      <c r="H85" s="375">
        <f t="shared" si="15"/>
        <v>0</v>
      </c>
      <c r="I85" s="375">
        <f t="shared" si="15"/>
        <v>0</v>
      </c>
      <c r="J85" s="375">
        <f t="shared" si="15"/>
        <v>0</v>
      </c>
      <c r="K85" s="375">
        <f t="shared" si="15"/>
        <v>0</v>
      </c>
      <c r="L85" s="375">
        <f t="shared" si="15"/>
        <v>0</v>
      </c>
      <c r="M85" s="375">
        <f t="shared" si="15"/>
        <v>0</v>
      </c>
      <c r="N85" s="375">
        <f t="shared" si="15"/>
        <v>0</v>
      </c>
      <c r="O85" s="375">
        <f t="shared" si="15"/>
        <v>0</v>
      </c>
      <c r="P85" s="375">
        <f t="shared" si="15"/>
        <v>0</v>
      </c>
      <c r="Q85" s="375">
        <f t="shared" si="15"/>
        <v>0</v>
      </c>
      <c r="R85" s="375">
        <f t="shared" si="15"/>
        <v>0</v>
      </c>
      <c r="S85" s="375">
        <f t="shared" si="15"/>
        <v>0</v>
      </c>
      <c r="T85" s="375">
        <f t="shared" si="15"/>
        <v>0</v>
      </c>
      <c r="U85" s="375">
        <f t="shared" si="15"/>
        <v>0</v>
      </c>
      <c r="V85" s="375">
        <f t="shared" si="15"/>
        <v>0</v>
      </c>
      <c r="W85" s="375">
        <f t="shared" si="15"/>
        <v>0</v>
      </c>
      <c r="X85" s="375">
        <f t="shared" si="15"/>
        <v>0</v>
      </c>
      <c r="Y85" s="369"/>
    </row>
    <row r="86" spans="1:26" ht="13.5" thickBot="1" x14ac:dyDescent="0.25">
      <c r="B86" s="12"/>
      <c r="C86" s="12"/>
      <c r="D86" s="12"/>
      <c r="E86" s="12"/>
      <c r="F86" s="12"/>
      <c r="G86" s="12"/>
      <c r="H86" s="12"/>
      <c r="I86" s="12"/>
      <c r="J86" s="12"/>
      <c r="K86" s="12"/>
      <c r="L86" s="12"/>
      <c r="M86" s="12"/>
      <c r="N86" s="12"/>
      <c r="O86" s="12"/>
      <c r="P86" s="12"/>
      <c r="Q86" s="12"/>
      <c r="R86" s="12"/>
      <c r="S86" s="12"/>
      <c r="T86" s="12"/>
      <c r="U86" s="12"/>
      <c r="V86" s="12"/>
      <c r="W86" s="12"/>
      <c r="X86" s="12"/>
      <c r="Y86" s="12"/>
    </row>
    <row r="87" spans="1:26" ht="13.5" thickBot="1" x14ac:dyDescent="0.25">
      <c r="A87" s="361" t="s">
        <v>330</v>
      </c>
      <c r="B87" s="359">
        <f>ROW(A87)</f>
        <v>87</v>
      </c>
      <c r="C87" s="363" t="s">
        <v>115</v>
      </c>
      <c r="D87" s="353">
        <f>SUM(B90:Y90)</f>
        <v>30.779999999999998</v>
      </c>
      <c r="E87" s="363" t="s">
        <v>114</v>
      </c>
      <c r="F87" s="354">
        <f>D87/g/J87</f>
        <v>80.451658433309774</v>
      </c>
      <c r="G87" s="363" t="s">
        <v>56</v>
      </c>
      <c r="H87" s="64">
        <f>H77*3</f>
        <v>7.2000000000000008E-2</v>
      </c>
      <c r="I87" s="363" t="s">
        <v>271</v>
      </c>
      <c r="J87" s="355">
        <f>H87-L87</f>
        <v>3.9000000000000007E-2</v>
      </c>
      <c r="K87" s="363" t="s">
        <v>272</v>
      </c>
      <c r="L87" s="64">
        <f>L77*3</f>
        <v>3.3000000000000002E-2</v>
      </c>
      <c r="M87" s="363" t="s">
        <v>57</v>
      </c>
      <c r="N87" s="65">
        <v>30</v>
      </c>
      <c r="O87" s="363" t="s">
        <v>59</v>
      </c>
      <c r="P87" s="65">
        <v>30</v>
      </c>
      <c r="Q87" s="363" t="s">
        <v>60</v>
      </c>
      <c r="R87" s="65">
        <v>70</v>
      </c>
      <c r="S87" s="363" t="s">
        <v>61</v>
      </c>
      <c r="T87" s="65">
        <v>40</v>
      </c>
      <c r="U87" s="363" t="s">
        <v>54</v>
      </c>
      <c r="V87" s="66" t="s">
        <v>117</v>
      </c>
      <c r="W87" s="463" t="s">
        <v>394</v>
      </c>
      <c r="X87" s="465">
        <v>1.7</v>
      </c>
      <c r="Y87" s="463" t="s">
        <v>393</v>
      </c>
      <c r="Z87" s="358">
        <v>3</v>
      </c>
    </row>
    <row r="88" spans="1:26" x14ac:dyDescent="0.2">
      <c r="A88" s="362" t="s">
        <v>33</v>
      </c>
      <c r="B88" s="370">
        <v>0</v>
      </c>
      <c r="C88" s="371">
        <v>0.2</v>
      </c>
      <c r="D88" s="371">
        <v>0.3</v>
      </c>
      <c r="E88" s="371">
        <v>0.6</v>
      </c>
      <c r="F88" s="371">
        <v>0.8</v>
      </c>
      <c r="G88" s="371">
        <v>2</v>
      </c>
      <c r="H88" s="371">
        <v>2.1</v>
      </c>
      <c r="I88" s="371">
        <v>2.1</v>
      </c>
      <c r="J88" s="371">
        <v>2.1</v>
      </c>
      <c r="K88" s="371">
        <v>2.1</v>
      </c>
      <c r="L88" s="371">
        <v>2.1</v>
      </c>
      <c r="M88" s="371">
        <v>2.1</v>
      </c>
      <c r="N88" s="371">
        <v>2.1</v>
      </c>
      <c r="O88" s="371">
        <v>2.1</v>
      </c>
      <c r="P88" s="371">
        <v>2.1</v>
      </c>
      <c r="Q88" s="371">
        <v>2.1</v>
      </c>
      <c r="R88" s="371">
        <v>2.1</v>
      </c>
      <c r="S88" s="371">
        <v>2.1</v>
      </c>
      <c r="T88" s="371">
        <v>2.1</v>
      </c>
      <c r="U88" s="371">
        <v>2.1</v>
      </c>
      <c r="V88" s="371">
        <v>2.1</v>
      </c>
      <c r="W88" s="371">
        <v>2.1</v>
      </c>
      <c r="X88" s="371">
        <v>2.1</v>
      </c>
      <c r="Y88" s="381">
        <v>1000</v>
      </c>
    </row>
    <row r="89" spans="1:26" x14ac:dyDescent="0.2">
      <c r="A89" s="378" t="s">
        <v>34</v>
      </c>
      <c r="B89" s="372">
        <f>B79*3</f>
        <v>0</v>
      </c>
      <c r="C89" s="373">
        <f t="shared" ref="C89:X89" si="16">C79*3</f>
        <v>33</v>
      </c>
      <c r="D89" s="373">
        <f t="shared" si="16"/>
        <v>21</v>
      </c>
      <c r="E89" s="373">
        <f t="shared" si="16"/>
        <v>12</v>
      </c>
      <c r="F89" s="373">
        <f t="shared" si="16"/>
        <v>13.799999999999999</v>
      </c>
      <c r="G89" s="373">
        <f t="shared" si="16"/>
        <v>13.799999999999999</v>
      </c>
      <c r="H89" s="373">
        <f t="shared" si="16"/>
        <v>0</v>
      </c>
      <c r="I89" s="373">
        <f t="shared" si="16"/>
        <v>0</v>
      </c>
      <c r="J89" s="373">
        <f t="shared" si="16"/>
        <v>0</v>
      </c>
      <c r="K89" s="373">
        <f t="shared" si="16"/>
        <v>0</v>
      </c>
      <c r="L89" s="373">
        <f t="shared" si="16"/>
        <v>0</v>
      </c>
      <c r="M89" s="373">
        <f t="shared" si="16"/>
        <v>0</v>
      </c>
      <c r="N89" s="373">
        <f t="shared" si="16"/>
        <v>0</v>
      </c>
      <c r="O89" s="373">
        <f t="shared" si="16"/>
        <v>0</v>
      </c>
      <c r="P89" s="373">
        <f t="shared" si="16"/>
        <v>0</v>
      </c>
      <c r="Q89" s="373">
        <f t="shared" si="16"/>
        <v>0</v>
      </c>
      <c r="R89" s="373">
        <f t="shared" si="16"/>
        <v>0</v>
      </c>
      <c r="S89" s="373">
        <f t="shared" si="16"/>
        <v>0</v>
      </c>
      <c r="T89" s="373">
        <f t="shared" si="16"/>
        <v>0</v>
      </c>
      <c r="U89" s="373">
        <f t="shared" si="16"/>
        <v>0</v>
      </c>
      <c r="V89" s="373">
        <f t="shared" si="16"/>
        <v>0</v>
      </c>
      <c r="W89" s="373">
        <f t="shared" si="16"/>
        <v>0</v>
      </c>
      <c r="X89" s="373">
        <f t="shared" si="16"/>
        <v>0</v>
      </c>
      <c r="Y89" s="382">
        <v>0</v>
      </c>
    </row>
    <row r="90" spans="1:26" ht="13.5" thickBot="1" x14ac:dyDescent="0.25">
      <c r="A90" s="379" t="s">
        <v>116</v>
      </c>
      <c r="B90" s="374">
        <f t="shared" ref="B90:X90" si="17">(C89+B89)*(C88-B88)/2</f>
        <v>3.3000000000000003</v>
      </c>
      <c r="C90" s="375">
        <f t="shared" si="17"/>
        <v>2.6999999999999993</v>
      </c>
      <c r="D90" s="375">
        <f t="shared" si="17"/>
        <v>4.95</v>
      </c>
      <c r="E90" s="375">
        <f t="shared" si="17"/>
        <v>2.5800000000000005</v>
      </c>
      <c r="F90" s="375">
        <f t="shared" si="17"/>
        <v>16.559999999999999</v>
      </c>
      <c r="G90" s="375">
        <f t="shared" si="17"/>
        <v>0.69000000000000061</v>
      </c>
      <c r="H90" s="375">
        <f t="shared" si="17"/>
        <v>0</v>
      </c>
      <c r="I90" s="375">
        <f t="shared" si="17"/>
        <v>0</v>
      </c>
      <c r="J90" s="375">
        <f t="shared" si="17"/>
        <v>0</v>
      </c>
      <c r="K90" s="375">
        <f t="shared" si="17"/>
        <v>0</v>
      </c>
      <c r="L90" s="375">
        <f t="shared" si="17"/>
        <v>0</v>
      </c>
      <c r="M90" s="375">
        <f t="shared" si="17"/>
        <v>0</v>
      </c>
      <c r="N90" s="375">
        <f t="shared" si="17"/>
        <v>0</v>
      </c>
      <c r="O90" s="375">
        <f t="shared" si="17"/>
        <v>0</v>
      </c>
      <c r="P90" s="375">
        <f t="shared" si="17"/>
        <v>0</v>
      </c>
      <c r="Q90" s="375">
        <f t="shared" si="17"/>
        <v>0</v>
      </c>
      <c r="R90" s="375">
        <f t="shared" si="17"/>
        <v>0</v>
      </c>
      <c r="S90" s="375">
        <f t="shared" si="17"/>
        <v>0</v>
      </c>
      <c r="T90" s="375">
        <f t="shared" si="17"/>
        <v>0</v>
      </c>
      <c r="U90" s="375">
        <f t="shared" si="17"/>
        <v>0</v>
      </c>
      <c r="V90" s="375">
        <f t="shared" si="17"/>
        <v>0</v>
      </c>
      <c r="W90" s="375">
        <f t="shared" si="17"/>
        <v>0</v>
      </c>
      <c r="X90" s="375">
        <f t="shared" si="17"/>
        <v>0</v>
      </c>
      <c r="Y90" s="369"/>
    </row>
    <row r="91" spans="1:26" ht="13.5" thickBot="1" x14ac:dyDescent="0.25">
      <c r="B91" s="12"/>
      <c r="C91" s="12"/>
      <c r="D91" s="12"/>
      <c r="E91" s="12"/>
      <c r="F91" s="12"/>
      <c r="G91" s="12"/>
      <c r="H91" s="12"/>
      <c r="I91" s="12"/>
      <c r="J91" s="12"/>
      <c r="K91" s="12"/>
      <c r="L91" s="12"/>
      <c r="M91" s="12"/>
      <c r="N91" s="12"/>
      <c r="O91" s="12"/>
      <c r="P91" s="12"/>
      <c r="Q91" s="12"/>
      <c r="R91" s="12"/>
      <c r="S91" s="12"/>
      <c r="T91" s="12"/>
      <c r="U91" s="12"/>
      <c r="V91" s="12"/>
      <c r="W91" s="12"/>
      <c r="X91" s="12"/>
      <c r="Y91" s="12"/>
    </row>
    <row r="92" spans="1:26" ht="13.5" thickBot="1" x14ac:dyDescent="0.25">
      <c r="A92" s="361" t="s">
        <v>541</v>
      </c>
      <c r="B92" s="359">
        <f>ROW(A92)</f>
        <v>92</v>
      </c>
      <c r="C92" s="363" t="s">
        <v>115</v>
      </c>
      <c r="D92" s="353">
        <f>SUM(B95:Y95)</f>
        <v>19.961989000000003</v>
      </c>
      <c r="E92" s="363" t="s">
        <v>114</v>
      </c>
      <c r="F92" s="354">
        <f>D92/g/J92</f>
        <v>118.30588744280873</v>
      </c>
      <c r="G92" s="363" t="s">
        <v>56</v>
      </c>
      <c r="H92" s="64">
        <v>2.8199999999999999E-2</v>
      </c>
      <c r="I92" s="363" t="s">
        <v>271</v>
      </c>
      <c r="J92" s="355">
        <f>H92-L92</f>
        <v>1.72E-2</v>
      </c>
      <c r="K92" s="363" t="s">
        <v>272</v>
      </c>
      <c r="L92" s="64">
        <v>1.0999999999999999E-2</v>
      </c>
      <c r="M92" s="363" t="s">
        <v>57</v>
      </c>
      <c r="N92" s="65">
        <v>30</v>
      </c>
      <c r="O92" s="363" t="s">
        <v>59</v>
      </c>
      <c r="P92" s="65">
        <v>30</v>
      </c>
      <c r="Q92" s="363" t="s">
        <v>60</v>
      </c>
      <c r="R92" s="65">
        <v>70</v>
      </c>
      <c r="S92" s="363" t="s">
        <v>61</v>
      </c>
      <c r="T92" s="65">
        <v>18</v>
      </c>
      <c r="U92" s="363" t="s">
        <v>54</v>
      </c>
      <c r="V92" s="66" t="s">
        <v>401</v>
      </c>
      <c r="W92" s="463" t="s">
        <v>394</v>
      </c>
      <c r="X92" s="465">
        <v>2.1</v>
      </c>
      <c r="Y92" s="463" t="s">
        <v>393</v>
      </c>
      <c r="Z92" s="358">
        <v>7</v>
      </c>
    </row>
    <row r="93" spans="1:26" x14ac:dyDescent="0.2">
      <c r="A93" s="362" t="s">
        <v>33</v>
      </c>
      <c r="B93" s="370">
        <v>0</v>
      </c>
      <c r="C93" s="471">
        <v>0.04</v>
      </c>
      <c r="D93" s="471">
        <v>0.11600000000000001</v>
      </c>
      <c r="E93" s="471">
        <v>0.21299999999999999</v>
      </c>
      <c r="F93" s="471">
        <v>0.28599999999999998</v>
      </c>
      <c r="G93" s="471">
        <v>0.32900000000000001</v>
      </c>
      <c r="H93" s="471">
        <v>0.36899999999999999</v>
      </c>
      <c r="I93" s="471">
        <v>0.42</v>
      </c>
      <c r="J93" s="471">
        <v>0.495</v>
      </c>
      <c r="K93" s="471">
        <v>0.59699999999999998</v>
      </c>
      <c r="L93" s="471">
        <v>1.7110000000000001</v>
      </c>
      <c r="M93" s="471">
        <v>1.8260000000000001</v>
      </c>
      <c r="N93" s="471">
        <v>1.917</v>
      </c>
      <c r="O93" s="471">
        <v>1.9750000000000001</v>
      </c>
      <c r="P93" s="471">
        <v>2.206</v>
      </c>
      <c r="Q93" s="471">
        <v>2.242</v>
      </c>
      <c r="R93" s="371">
        <v>2.5</v>
      </c>
      <c r="S93" s="371">
        <v>2.5</v>
      </c>
      <c r="T93" s="371">
        <v>2.5</v>
      </c>
      <c r="U93" s="371">
        <v>2.5</v>
      </c>
      <c r="V93" s="371">
        <v>2.5</v>
      </c>
      <c r="W93" s="371">
        <v>2.5</v>
      </c>
      <c r="X93" s="371">
        <v>2.5</v>
      </c>
      <c r="Y93" s="381">
        <v>1000</v>
      </c>
    </row>
    <row r="94" spans="1:26" x14ac:dyDescent="0.2">
      <c r="A94" s="378" t="s">
        <v>34</v>
      </c>
      <c r="B94" s="372">
        <v>0</v>
      </c>
      <c r="C94" s="471">
        <v>2.1110000000000002</v>
      </c>
      <c r="D94" s="471">
        <v>9.6850000000000005</v>
      </c>
      <c r="E94" s="471">
        <v>25</v>
      </c>
      <c r="F94" s="471">
        <v>15.738</v>
      </c>
      <c r="G94" s="471">
        <v>12.472</v>
      </c>
      <c r="H94" s="471">
        <v>10.67</v>
      </c>
      <c r="I94" s="471">
        <v>9.7129999999999992</v>
      </c>
      <c r="J94" s="471">
        <v>9.1780000000000008</v>
      </c>
      <c r="K94" s="471">
        <v>8.8960000000000008</v>
      </c>
      <c r="L94" s="471">
        <v>8.9250000000000007</v>
      </c>
      <c r="M94" s="471">
        <v>8.6989999999999998</v>
      </c>
      <c r="N94" s="471">
        <v>8.0519999999999996</v>
      </c>
      <c r="O94" s="471">
        <v>6.9539999999999997</v>
      </c>
      <c r="P94" s="471">
        <v>1.07</v>
      </c>
      <c r="Q94" s="471">
        <v>0</v>
      </c>
      <c r="R94" s="373">
        <v>0</v>
      </c>
      <c r="S94" s="373">
        <v>0</v>
      </c>
      <c r="T94" s="373">
        <v>0</v>
      </c>
      <c r="U94" s="373">
        <v>0</v>
      </c>
      <c r="V94" s="373">
        <v>0</v>
      </c>
      <c r="W94" s="373">
        <v>0</v>
      </c>
      <c r="X94" s="373">
        <v>0</v>
      </c>
      <c r="Y94" s="382">
        <v>0</v>
      </c>
    </row>
    <row r="95" spans="1:26" ht="13.5" thickBot="1" x14ac:dyDescent="0.25">
      <c r="A95" s="379" t="s">
        <v>116</v>
      </c>
      <c r="B95" s="374">
        <f t="shared" ref="B95:X95" si="18">(C94+B94)*(C93-B93)/2</f>
        <v>4.2220000000000008E-2</v>
      </c>
      <c r="C95" s="375">
        <f t="shared" si="18"/>
        <v>0.44824800000000009</v>
      </c>
      <c r="D95" s="375">
        <f t="shared" si="18"/>
        <v>1.6822225</v>
      </c>
      <c r="E95" s="375">
        <f t="shared" si="18"/>
        <v>1.4869369999999995</v>
      </c>
      <c r="F95" s="375">
        <f t="shared" si="18"/>
        <v>0.60651500000000058</v>
      </c>
      <c r="G95" s="375">
        <f t="shared" si="18"/>
        <v>0.46283999999999975</v>
      </c>
      <c r="H95" s="375">
        <f t="shared" si="18"/>
        <v>0.51976649999999991</v>
      </c>
      <c r="I95" s="375">
        <f t="shared" si="18"/>
        <v>0.7084125</v>
      </c>
      <c r="J95" s="375">
        <f t="shared" si="18"/>
        <v>0.92177399999999987</v>
      </c>
      <c r="K95" s="375">
        <f t="shared" si="18"/>
        <v>9.9262970000000017</v>
      </c>
      <c r="L95" s="375">
        <f t="shared" si="18"/>
        <v>1.0133799999999999</v>
      </c>
      <c r="M95" s="375">
        <f t="shared" si="18"/>
        <v>0.76217049999999964</v>
      </c>
      <c r="N95" s="375">
        <f t="shared" si="18"/>
        <v>0.43517400000000039</v>
      </c>
      <c r="O95" s="375">
        <f t="shared" si="18"/>
        <v>0.92677199999999937</v>
      </c>
      <c r="P95" s="375">
        <f t="shared" si="18"/>
        <v>1.9260000000000017E-2</v>
      </c>
      <c r="Q95" s="375">
        <f t="shared" si="18"/>
        <v>0</v>
      </c>
      <c r="R95" s="375">
        <f t="shared" si="18"/>
        <v>0</v>
      </c>
      <c r="S95" s="375">
        <f t="shared" si="18"/>
        <v>0</v>
      </c>
      <c r="T95" s="375">
        <f t="shared" si="18"/>
        <v>0</v>
      </c>
      <c r="U95" s="375">
        <f t="shared" si="18"/>
        <v>0</v>
      </c>
      <c r="V95" s="375">
        <f t="shared" si="18"/>
        <v>0</v>
      </c>
      <c r="W95" s="375">
        <f t="shared" si="18"/>
        <v>0</v>
      </c>
      <c r="X95" s="375">
        <f t="shared" si="18"/>
        <v>0</v>
      </c>
      <c r="Y95" s="369"/>
    </row>
    <row r="96" spans="1:26" ht="13.5" thickBot="1" x14ac:dyDescent="0.25">
      <c r="A96" s="12"/>
      <c r="L96" s="12"/>
      <c r="M96" s="12"/>
      <c r="N96" s="12"/>
      <c r="O96" s="12"/>
      <c r="P96" s="12"/>
      <c r="Q96" s="12"/>
      <c r="R96" s="12"/>
      <c r="S96" s="12"/>
      <c r="T96" s="12"/>
      <c r="U96" s="12"/>
      <c r="V96" s="12"/>
      <c r="W96" s="12"/>
      <c r="X96" s="12"/>
      <c r="Y96" s="12"/>
    </row>
    <row r="97" spans="1:26" ht="13.5" thickBot="1" x14ac:dyDescent="0.25">
      <c r="A97" s="361" t="s">
        <v>539</v>
      </c>
      <c r="B97" s="359">
        <f>ROW(A97)</f>
        <v>97</v>
      </c>
      <c r="C97" s="363" t="s">
        <v>115</v>
      </c>
      <c r="D97" s="353">
        <f>SUM(B100:Y100)</f>
        <v>39.923978000000005</v>
      </c>
      <c r="E97" s="363" t="s">
        <v>114</v>
      </c>
      <c r="F97" s="354">
        <f>D97/g/J97</f>
        <v>118.30588744280873</v>
      </c>
      <c r="G97" s="363" t="s">
        <v>56</v>
      </c>
      <c r="H97" s="64">
        <f>H92*2</f>
        <v>5.6399999999999999E-2</v>
      </c>
      <c r="I97" s="363" t="s">
        <v>271</v>
      </c>
      <c r="J97" s="355">
        <f>H97-L97</f>
        <v>3.44E-2</v>
      </c>
      <c r="K97" s="363" t="s">
        <v>272</v>
      </c>
      <c r="L97" s="64">
        <f>L92*2</f>
        <v>2.1999999999999999E-2</v>
      </c>
      <c r="M97" s="363" t="s">
        <v>57</v>
      </c>
      <c r="N97" s="65">
        <v>30</v>
      </c>
      <c r="O97" s="363" t="s">
        <v>59</v>
      </c>
      <c r="P97" s="65">
        <v>30</v>
      </c>
      <c r="Q97" s="363" t="s">
        <v>60</v>
      </c>
      <c r="R97" s="65">
        <v>70</v>
      </c>
      <c r="S97" s="363" t="s">
        <v>61</v>
      </c>
      <c r="T97" s="65">
        <v>30</v>
      </c>
      <c r="U97" s="363" t="s">
        <v>54</v>
      </c>
      <c r="V97" s="66" t="s">
        <v>401</v>
      </c>
      <c r="W97" s="463" t="s">
        <v>394</v>
      </c>
      <c r="X97" s="465">
        <v>2.1</v>
      </c>
      <c r="Y97" s="463" t="s">
        <v>393</v>
      </c>
      <c r="Z97" s="358">
        <v>7</v>
      </c>
    </row>
    <row r="98" spans="1:26" x14ac:dyDescent="0.2">
      <c r="A98" s="362" t="s">
        <v>33</v>
      </c>
      <c r="B98" s="370">
        <v>0</v>
      </c>
      <c r="C98" s="371">
        <f>C93</f>
        <v>0.04</v>
      </c>
      <c r="D98" s="371">
        <f t="shared" ref="D98:X98" si="19">D93</f>
        <v>0.11600000000000001</v>
      </c>
      <c r="E98" s="371">
        <f t="shared" si="19"/>
        <v>0.21299999999999999</v>
      </c>
      <c r="F98" s="371">
        <f t="shared" si="19"/>
        <v>0.28599999999999998</v>
      </c>
      <c r="G98" s="371">
        <f t="shared" si="19"/>
        <v>0.32900000000000001</v>
      </c>
      <c r="H98" s="371">
        <f t="shared" si="19"/>
        <v>0.36899999999999999</v>
      </c>
      <c r="I98" s="371">
        <f t="shared" si="19"/>
        <v>0.42</v>
      </c>
      <c r="J98" s="371">
        <f t="shared" si="19"/>
        <v>0.495</v>
      </c>
      <c r="K98" s="371">
        <f t="shared" si="19"/>
        <v>0.59699999999999998</v>
      </c>
      <c r="L98" s="371">
        <f t="shared" si="19"/>
        <v>1.7110000000000001</v>
      </c>
      <c r="M98" s="371">
        <f t="shared" si="19"/>
        <v>1.8260000000000001</v>
      </c>
      <c r="N98" s="371">
        <f t="shared" si="19"/>
        <v>1.917</v>
      </c>
      <c r="O98" s="371">
        <f t="shared" si="19"/>
        <v>1.9750000000000001</v>
      </c>
      <c r="P98" s="371">
        <f t="shared" si="19"/>
        <v>2.206</v>
      </c>
      <c r="Q98" s="371">
        <f t="shared" si="19"/>
        <v>2.242</v>
      </c>
      <c r="R98" s="371">
        <f t="shared" si="19"/>
        <v>2.5</v>
      </c>
      <c r="S98" s="371">
        <f>S93</f>
        <v>2.5</v>
      </c>
      <c r="T98" s="371">
        <f t="shared" si="19"/>
        <v>2.5</v>
      </c>
      <c r="U98" s="371">
        <f t="shared" si="19"/>
        <v>2.5</v>
      </c>
      <c r="V98" s="371">
        <f t="shared" si="19"/>
        <v>2.5</v>
      </c>
      <c r="W98" s="371">
        <f t="shared" si="19"/>
        <v>2.5</v>
      </c>
      <c r="X98" s="371">
        <f t="shared" si="19"/>
        <v>2.5</v>
      </c>
      <c r="Y98" s="381">
        <v>1000</v>
      </c>
    </row>
    <row r="99" spans="1:26" x14ac:dyDescent="0.2">
      <c r="A99" s="378" t="s">
        <v>34</v>
      </c>
      <c r="B99" s="372">
        <f>B94*2</f>
        <v>0</v>
      </c>
      <c r="C99" s="373">
        <f t="shared" ref="C99:X99" si="20">C94*2</f>
        <v>4.2220000000000004</v>
      </c>
      <c r="D99" s="373">
        <f t="shared" si="20"/>
        <v>19.37</v>
      </c>
      <c r="E99" s="373">
        <f t="shared" si="20"/>
        <v>50</v>
      </c>
      <c r="F99" s="373">
        <f t="shared" si="20"/>
        <v>31.475999999999999</v>
      </c>
      <c r="G99" s="373">
        <f t="shared" si="20"/>
        <v>24.943999999999999</v>
      </c>
      <c r="H99" s="373">
        <f t="shared" si="20"/>
        <v>21.34</v>
      </c>
      <c r="I99" s="373">
        <f t="shared" si="20"/>
        <v>19.425999999999998</v>
      </c>
      <c r="J99" s="373">
        <f t="shared" si="20"/>
        <v>18.356000000000002</v>
      </c>
      <c r="K99" s="373">
        <f t="shared" si="20"/>
        <v>17.792000000000002</v>
      </c>
      <c r="L99" s="373">
        <f t="shared" si="20"/>
        <v>17.850000000000001</v>
      </c>
      <c r="M99" s="373">
        <f t="shared" si="20"/>
        <v>17.398</v>
      </c>
      <c r="N99" s="373">
        <f t="shared" si="20"/>
        <v>16.103999999999999</v>
      </c>
      <c r="O99" s="373">
        <f t="shared" si="20"/>
        <v>13.907999999999999</v>
      </c>
      <c r="P99" s="373">
        <f t="shared" si="20"/>
        <v>2.14</v>
      </c>
      <c r="Q99" s="373">
        <f t="shared" si="20"/>
        <v>0</v>
      </c>
      <c r="R99" s="373">
        <f t="shared" si="20"/>
        <v>0</v>
      </c>
      <c r="S99" s="373">
        <f t="shared" si="20"/>
        <v>0</v>
      </c>
      <c r="T99" s="373">
        <f t="shared" si="20"/>
        <v>0</v>
      </c>
      <c r="U99" s="373">
        <f t="shared" si="20"/>
        <v>0</v>
      </c>
      <c r="V99" s="373">
        <f t="shared" si="20"/>
        <v>0</v>
      </c>
      <c r="W99" s="373">
        <f t="shared" si="20"/>
        <v>0</v>
      </c>
      <c r="X99" s="373">
        <f t="shared" si="20"/>
        <v>0</v>
      </c>
      <c r="Y99" s="382">
        <v>0</v>
      </c>
    </row>
    <row r="100" spans="1:26" ht="13.5" thickBot="1" x14ac:dyDescent="0.25">
      <c r="A100" s="379" t="s">
        <v>116</v>
      </c>
      <c r="B100" s="374">
        <f t="shared" ref="B100:X100" si="21">(C99+B99)*(C98-B98)/2</f>
        <v>8.4440000000000015E-2</v>
      </c>
      <c r="C100" s="375">
        <f t="shared" si="21"/>
        <v>0.89649600000000018</v>
      </c>
      <c r="D100" s="375">
        <f t="shared" si="21"/>
        <v>3.3644449999999999</v>
      </c>
      <c r="E100" s="375">
        <f t="shared" si="21"/>
        <v>2.973873999999999</v>
      </c>
      <c r="F100" s="375">
        <f t="shared" si="21"/>
        <v>1.2130300000000012</v>
      </c>
      <c r="G100" s="375">
        <f t="shared" si="21"/>
        <v>0.9256799999999995</v>
      </c>
      <c r="H100" s="375">
        <f t="shared" si="21"/>
        <v>1.0395329999999998</v>
      </c>
      <c r="I100" s="375">
        <f t="shared" si="21"/>
        <v>1.416825</v>
      </c>
      <c r="J100" s="375">
        <f t="shared" si="21"/>
        <v>1.8435479999999997</v>
      </c>
      <c r="K100" s="375">
        <f t="shared" si="21"/>
        <v>19.852594000000003</v>
      </c>
      <c r="L100" s="375">
        <f t="shared" si="21"/>
        <v>2.0267599999999999</v>
      </c>
      <c r="M100" s="375">
        <f t="shared" si="21"/>
        <v>1.5243409999999993</v>
      </c>
      <c r="N100" s="375">
        <f t="shared" si="21"/>
        <v>0.87034800000000079</v>
      </c>
      <c r="O100" s="375">
        <f t="shared" si="21"/>
        <v>1.8535439999999987</v>
      </c>
      <c r="P100" s="375">
        <f t="shared" si="21"/>
        <v>3.8520000000000033E-2</v>
      </c>
      <c r="Q100" s="375">
        <f t="shared" si="21"/>
        <v>0</v>
      </c>
      <c r="R100" s="375">
        <f t="shared" si="21"/>
        <v>0</v>
      </c>
      <c r="S100" s="375">
        <f t="shared" si="21"/>
        <v>0</v>
      </c>
      <c r="T100" s="375">
        <f t="shared" si="21"/>
        <v>0</v>
      </c>
      <c r="U100" s="375">
        <f t="shared" si="21"/>
        <v>0</v>
      </c>
      <c r="V100" s="375">
        <f t="shared" si="21"/>
        <v>0</v>
      </c>
      <c r="W100" s="375">
        <f t="shared" si="21"/>
        <v>0</v>
      </c>
      <c r="X100" s="375">
        <f t="shared" si="21"/>
        <v>0</v>
      </c>
      <c r="Y100" s="369"/>
    </row>
    <row r="101" spans="1:26" ht="13.5" thickBot="1" x14ac:dyDescent="0.25">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row>
    <row r="102" spans="1:26" ht="13.5" thickBot="1" x14ac:dyDescent="0.25">
      <c r="A102" s="361" t="s">
        <v>540</v>
      </c>
      <c r="B102" s="359">
        <f>ROW(A102)</f>
        <v>102</v>
      </c>
      <c r="C102" s="363" t="s">
        <v>115</v>
      </c>
      <c r="D102" s="353">
        <f>SUM(B105:Y105)</f>
        <v>59.885967000000008</v>
      </c>
      <c r="E102" s="363" t="s">
        <v>114</v>
      </c>
      <c r="F102" s="354">
        <f>D102/g/J102</f>
        <v>118.30588744280874</v>
      </c>
      <c r="G102" s="363" t="s">
        <v>56</v>
      </c>
      <c r="H102" s="64">
        <f>H92*3</f>
        <v>8.4599999999999995E-2</v>
      </c>
      <c r="I102" s="363" t="s">
        <v>271</v>
      </c>
      <c r="J102" s="355">
        <f>H102-L102</f>
        <v>5.1599999999999993E-2</v>
      </c>
      <c r="K102" s="363" t="s">
        <v>272</v>
      </c>
      <c r="L102" s="64">
        <f>L92*3</f>
        <v>3.3000000000000002E-2</v>
      </c>
      <c r="M102" s="363" t="s">
        <v>57</v>
      </c>
      <c r="N102" s="65">
        <v>30</v>
      </c>
      <c r="O102" s="363" t="s">
        <v>59</v>
      </c>
      <c r="P102" s="65">
        <v>30</v>
      </c>
      <c r="Q102" s="363" t="s">
        <v>60</v>
      </c>
      <c r="R102" s="65">
        <v>70</v>
      </c>
      <c r="S102" s="363" t="s">
        <v>61</v>
      </c>
      <c r="T102" s="65">
        <v>40</v>
      </c>
      <c r="U102" s="363" t="s">
        <v>54</v>
      </c>
      <c r="V102" s="66" t="s">
        <v>401</v>
      </c>
      <c r="W102" s="463" t="s">
        <v>394</v>
      </c>
      <c r="X102" s="465">
        <v>2.1</v>
      </c>
      <c r="Y102" s="463" t="s">
        <v>393</v>
      </c>
      <c r="Z102" s="358">
        <v>7</v>
      </c>
    </row>
    <row r="103" spans="1:26" x14ac:dyDescent="0.2">
      <c r="A103" s="362" t="s">
        <v>33</v>
      </c>
      <c r="B103" s="370">
        <v>0</v>
      </c>
      <c r="C103" s="371">
        <f>C93</f>
        <v>0.04</v>
      </c>
      <c r="D103" s="371">
        <f t="shared" ref="D103:X103" si="22">D93</f>
        <v>0.11600000000000001</v>
      </c>
      <c r="E103" s="371">
        <f t="shared" si="22"/>
        <v>0.21299999999999999</v>
      </c>
      <c r="F103" s="371">
        <f t="shared" si="22"/>
        <v>0.28599999999999998</v>
      </c>
      <c r="G103" s="371">
        <f t="shared" si="22"/>
        <v>0.32900000000000001</v>
      </c>
      <c r="H103" s="371">
        <f t="shared" si="22"/>
        <v>0.36899999999999999</v>
      </c>
      <c r="I103" s="371">
        <f t="shared" si="22"/>
        <v>0.42</v>
      </c>
      <c r="J103" s="371">
        <f t="shared" si="22"/>
        <v>0.495</v>
      </c>
      <c r="K103" s="371">
        <f t="shared" si="22"/>
        <v>0.59699999999999998</v>
      </c>
      <c r="L103" s="371">
        <f t="shared" si="22"/>
        <v>1.7110000000000001</v>
      </c>
      <c r="M103" s="371">
        <f t="shared" si="22"/>
        <v>1.8260000000000001</v>
      </c>
      <c r="N103" s="371">
        <f t="shared" si="22"/>
        <v>1.917</v>
      </c>
      <c r="O103" s="371">
        <f t="shared" si="22"/>
        <v>1.9750000000000001</v>
      </c>
      <c r="P103" s="371">
        <f t="shared" si="22"/>
        <v>2.206</v>
      </c>
      <c r="Q103" s="371">
        <f t="shared" si="22"/>
        <v>2.242</v>
      </c>
      <c r="R103" s="371">
        <f t="shared" si="22"/>
        <v>2.5</v>
      </c>
      <c r="S103" s="371">
        <f t="shared" si="22"/>
        <v>2.5</v>
      </c>
      <c r="T103" s="371">
        <f t="shared" si="22"/>
        <v>2.5</v>
      </c>
      <c r="U103" s="371">
        <f t="shared" si="22"/>
        <v>2.5</v>
      </c>
      <c r="V103" s="371">
        <f t="shared" si="22"/>
        <v>2.5</v>
      </c>
      <c r="W103" s="371">
        <f t="shared" si="22"/>
        <v>2.5</v>
      </c>
      <c r="X103" s="371">
        <f t="shared" si="22"/>
        <v>2.5</v>
      </c>
      <c r="Y103" s="381">
        <v>1000</v>
      </c>
    </row>
    <row r="104" spans="1:26" x14ac:dyDescent="0.2">
      <c r="A104" s="378" t="s">
        <v>34</v>
      </c>
      <c r="B104" s="372">
        <f>B94*3</f>
        <v>0</v>
      </c>
      <c r="C104" s="373">
        <f t="shared" ref="C104:X104" si="23">C94*3</f>
        <v>6.3330000000000002</v>
      </c>
      <c r="D104" s="373">
        <f t="shared" si="23"/>
        <v>29.055</v>
      </c>
      <c r="E104" s="373">
        <f t="shared" si="23"/>
        <v>75</v>
      </c>
      <c r="F104" s="373">
        <f t="shared" si="23"/>
        <v>47.213999999999999</v>
      </c>
      <c r="G104" s="373">
        <f t="shared" si="23"/>
        <v>37.415999999999997</v>
      </c>
      <c r="H104" s="373">
        <f t="shared" si="23"/>
        <v>32.01</v>
      </c>
      <c r="I104" s="373">
        <f t="shared" si="23"/>
        <v>29.138999999999996</v>
      </c>
      <c r="J104" s="373">
        <f t="shared" si="23"/>
        <v>27.534000000000002</v>
      </c>
      <c r="K104" s="373">
        <f t="shared" si="23"/>
        <v>26.688000000000002</v>
      </c>
      <c r="L104" s="373">
        <f t="shared" si="23"/>
        <v>26.775000000000002</v>
      </c>
      <c r="M104" s="373">
        <f t="shared" si="23"/>
        <v>26.097000000000001</v>
      </c>
      <c r="N104" s="373">
        <f t="shared" si="23"/>
        <v>24.155999999999999</v>
      </c>
      <c r="O104" s="373">
        <f t="shared" si="23"/>
        <v>20.861999999999998</v>
      </c>
      <c r="P104" s="373">
        <f t="shared" si="23"/>
        <v>3.21</v>
      </c>
      <c r="Q104" s="373">
        <f t="shared" si="23"/>
        <v>0</v>
      </c>
      <c r="R104" s="373">
        <f t="shared" si="23"/>
        <v>0</v>
      </c>
      <c r="S104" s="373">
        <f t="shared" si="23"/>
        <v>0</v>
      </c>
      <c r="T104" s="373">
        <f t="shared" si="23"/>
        <v>0</v>
      </c>
      <c r="U104" s="373">
        <f t="shared" si="23"/>
        <v>0</v>
      </c>
      <c r="V104" s="373">
        <f t="shared" si="23"/>
        <v>0</v>
      </c>
      <c r="W104" s="373">
        <f t="shared" si="23"/>
        <v>0</v>
      </c>
      <c r="X104" s="373">
        <f t="shared" si="23"/>
        <v>0</v>
      </c>
      <c r="Y104" s="382">
        <v>0</v>
      </c>
    </row>
    <row r="105" spans="1:26" ht="13.5" thickBot="1" x14ac:dyDescent="0.25">
      <c r="A105" s="379" t="s">
        <v>116</v>
      </c>
      <c r="B105" s="374">
        <f t="shared" ref="B105:X105" si="24">(C104+B104)*(C103-B103)/2</f>
        <v>0.12665999999999999</v>
      </c>
      <c r="C105" s="375">
        <f t="shared" si="24"/>
        <v>1.3447440000000002</v>
      </c>
      <c r="D105" s="375">
        <f t="shared" si="24"/>
        <v>5.0466674999999999</v>
      </c>
      <c r="E105" s="375">
        <f t="shared" si="24"/>
        <v>4.4608109999999987</v>
      </c>
      <c r="F105" s="375">
        <f t="shared" si="24"/>
        <v>1.8195450000000015</v>
      </c>
      <c r="G105" s="375">
        <f t="shared" si="24"/>
        <v>1.3885199999999991</v>
      </c>
      <c r="H105" s="375">
        <f t="shared" si="24"/>
        <v>1.5592994999999996</v>
      </c>
      <c r="I105" s="375">
        <f t="shared" si="24"/>
        <v>2.1252375000000003</v>
      </c>
      <c r="J105" s="375">
        <f t="shared" si="24"/>
        <v>2.7653219999999998</v>
      </c>
      <c r="K105" s="375">
        <f t="shared" si="24"/>
        <v>29.778891000000009</v>
      </c>
      <c r="L105" s="375">
        <f t="shared" si="24"/>
        <v>3.0401399999999996</v>
      </c>
      <c r="M105" s="375">
        <f t="shared" si="24"/>
        <v>2.2865114999999991</v>
      </c>
      <c r="N105" s="375">
        <f t="shared" si="24"/>
        <v>1.3055220000000012</v>
      </c>
      <c r="O105" s="375">
        <f t="shared" si="24"/>
        <v>2.7803159999999982</v>
      </c>
      <c r="P105" s="375">
        <f t="shared" si="24"/>
        <v>5.7780000000000054E-2</v>
      </c>
      <c r="Q105" s="375">
        <f t="shared" si="24"/>
        <v>0</v>
      </c>
      <c r="R105" s="375">
        <f t="shared" si="24"/>
        <v>0</v>
      </c>
      <c r="S105" s="375">
        <f t="shared" si="24"/>
        <v>0</v>
      </c>
      <c r="T105" s="375">
        <f t="shared" si="24"/>
        <v>0</v>
      </c>
      <c r="U105" s="375">
        <f t="shared" si="24"/>
        <v>0</v>
      </c>
      <c r="V105" s="375">
        <f t="shared" si="24"/>
        <v>0</v>
      </c>
      <c r="W105" s="375">
        <f t="shared" si="24"/>
        <v>0</v>
      </c>
      <c r="X105" s="375">
        <f t="shared" si="24"/>
        <v>0</v>
      </c>
      <c r="Y105" s="369"/>
    </row>
    <row r="107" spans="1:26" ht="13.5" thickBot="1" x14ac:dyDescent="0.25">
      <c r="A107" s="6" t="s">
        <v>317</v>
      </c>
    </row>
    <row r="108" spans="1:26" ht="13.5" thickBot="1" x14ac:dyDescent="0.25">
      <c r="A108" s="361" t="s">
        <v>319</v>
      </c>
      <c r="B108" s="359">
        <f>ROW(A108)</f>
        <v>108</v>
      </c>
      <c r="C108" s="363" t="s">
        <v>115</v>
      </c>
      <c r="D108" s="353">
        <f>SUM(B111:Y111)</f>
        <v>24.269519000000003</v>
      </c>
      <c r="E108" s="363" t="s">
        <v>114</v>
      </c>
      <c r="F108" s="354">
        <f>D108/g/J108</f>
        <v>154.62231778797147</v>
      </c>
      <c r="G108" s="363" t="s">
        <v>56</v>
      </c>
      <c r="H108" s="64">
        <v>5.1999999999999998E-2</v>
      </c>
      <c r="I108" s="363" t="s">
        <v>271</v>
      </c>
      <c r="J108" s="355">
        <f>H108-L108</f>
        <v>1.6E-2</v>
      </c>
      <c r="K108" s="363" t="s">
        <v>272</v>
      </c>
      <c r="L108" s="64">
        <v>3.5999999999999997E-2</v>
      </c>
      <c r="M108" s="363" t="s">
        <v>57</v>
      </c>
      <c r="N108" s="396">
        <v>35</v>
      </c>
      <c r="O108" s="363" t="s">
        <v>59</v>
      </c>
      <c r="P108" s="396">
        <v>35</v>
      </c>
      <c r="Q108" s="363" t="s">
        <v>60</v>
      </c>
      <c r="R108" s="65">
        <v>69</v>
      </c>
      <c r="S108" s="363" t="s">
        <v>61</v>
      </c>
      <c r="T108" s="65">
        <v>24</v>
      </c>
      <c r="U108" s="363" t="s">
        <v>54</v>
      </c>
      <c r="V108" s="66" t="s">
        <v>399</v>
      </c>
      <c r="W108" s="463" t="s">
        <v>394</v>
      </c>
      <c r="X108" s="465">
        <v>1</v>
      </c>
      <c r="Y108" s="463" t="s">
        <v>393</v>
      </c>
      <c r="Z108" s="358">
        <v>13</v>
      </c>
    </row>
    <row r="109" spans="1:26" x14ac:dyDescent="0.2">
      <c r="A109" s="362" t="s">
        <v>33</v>
      </c>
      <c r="B109" s="370">
        <v>0</v>
      </c>
      <c r="C109" s="371">
        <v>8.0000000000000002E-3</v>
      </c>
      <c r="D109" s="371">
        <v>2.5999999999999999E-2</v>
      </c>
      <c r="E109" s="371">
        <v>3.7999999999999999E-2</v>
      </c>
      <c r="F109" s="371">
        <v>6.7000000000000004E-2</v>
      </c>
      <c r="G109" s="371">
        <v>0.10100000000000001</v>
      </c>
      <c r="H109" s="371">
        <v>0.33</v>
      </c>
      <c r="I109" s="371">
        <v>0.52800000000000002</v>
      </c>
      <c r="J109" s="371">
        <v>0.71599999999999997</v>
      </c>
      <c r="K109" s="371">
        <v>0.84099999999999997</v>
      </c>
      <c r="L109" s="371">
        <v>0.91200000000000003</v>
      </c>
      <c r="M109" s="371">
        <v>0.98699999999999999</v>
      </c>
      <c r="N109" s="371">
        <v>1.016</v>
      </c>
      <c r="O109" s="371">
        <v>1.0649999999999999</v>
      </c>
      <c r="P109" s="371">
        <v>1.087</v>
      </c>
      <c r="Q109" s="371">
        <v>2</v>
      </c>
      <c r="R109" s="371">
        <v>2</v>
      </c>
      <c r="S109" s="371">
        <v>2</v>
      </c>
      <c r="T109" s="371">
        <v>2</v>
      </c>
      <c r="U109" s="371">
        <v>2</v>
      </c>
      <c r="V109" s="371">
        <v>2</v>
      </c>
      <c r="W109" s="371">
        <v>2</v>
      </c>
      <c r="X109" s="371">
        <v>2</v>
      </c>
      <c r="Y109" s="381">
        <v>1000</v>
      </c>
    </row>
    <row r="110" spans="1:26" x14ac:dyDescent="0.2">
      <c r="A110" s="378" t="s">
        <v>34</v>
      </c>
      <c r="B110" s="372">
        <v>0</v>
      </c>
      <c r="C110" s="373">
        <v>18.292000000000002</v>
      </c>
      <c r="D110" s="373">
        <v>30</v>
      </c>
      <c r="E110" s="373">
        <v>30.792000000000002</v>
      </c>
      <c r="F110" s="373">
        <v>18.707999999999998</v>
      </c>
      <c r="G110" s="373">
        <v>21.875</v>
      </c>
      <c r="H110" s="373">
        <v>26.082999999999998</v>
      </c>
      <c r="I110" s="373">
        <v>28.042000000000002</v>
      </c>
      <c r="J110" s="373">
        <v>27.875</v>
      </c>
      <c r="K110" s="373">
        <v>23.542000000000002</v>
      </c>
      <c r="L110" s="373">
        <v>17.832999999999998</v>
      </c>
      <c r="M110" s="373">
        <v>7</v>
      </c>
      <c r="N110" s="373">
        <v>3.3330000000000002</v>
      </c>
      <c r="O110" s="373">
        <v>1.083</v>
      </c>
      <c r="P110" s="373">
        <v>0</v>
      </c>
      <c r="Q110" s="373">
        <v>0</v>
      </c>
      <c r="R110" s="373">
        <v>0</v>
      </c>
      <c r="S110" s="373">
        <v>0</v>
      </c>
      <c r="T110" s="373">
        <f>S110</f>
        <v>0</v>
      </c>
      <c r="U110" s="373">
        <f>T110</f>
        <v>0</v>
      </c>
      <c r="V110" s="373">
        <f>U110</f>
        <v>0</v>
      </c>
      <c r="W110" s="373">
        <f>V110</f>
        <v>0</v>
      </c>
      <c r="X110" s="373">
        <f>W110</f>
        <v>0</v>
      </c>
      <c r="Y110" s="382">
        <v>0</v>
      </c>
    </row>
    <row r="111" spans="1:26" ht="13.5" thickBot="1" x14ac:dyDescent="0.25">
      <c r="A111" s="379" t="s">
        <v>116</v>
      </c>
      <c r="B111" s="374">
        <f t="shared" ref="B111:V111" si="25">(C110+B110)*(C109-B109)/2</f>
        <v>7.3168000000000011E-2</v>
      </c>
      <c r="C111" s="375">
        <f t="shared" si="25"/>
        <v>0.43462799999999996</v>
      </c>
      <c r="D111" s="375">
        <f t="shared" si="25"/>
        <v>0.36475200000000002</v>
      </c>
      <c r="E111" s="375">
        <f t="shared" si="25"/>
        <v>0.71775000000000011</v>
      </c>
      <c r="F111" s="375">
        <f t="shared" si="25"/>
        <v>0.68991100000000005</v>
      </c>
      <c r="G111" s="375">
        <f t="shared" si="25"/>
        <v>5.4911909999999997</v>
      </c>
      <c r="H111" s="375">
        <f t="shared" si="25"/>
        <v>5.3583750000000006</v>
      </c>
      <c r="I111" s="375">
        <f t="shared" si="25"/>
        <v>5.2561979999999986</v>
      </c>
      <c r="J111" s="375">
        <f>(K110+J110)*(K109-J109)/2</f>
        <v>3.2135625000000001</v>
      </c>
      <c r="K111" s="375">
        <f t="shared" si="25"/>
        <v>1.4688125000000014</v>
      </c>
      <c r="L111" s="375">
        <f t="shared" si="25"/>
        <v>0.93123749999999939</v>
      </c>
      <c r="M111" s="375">
        <f t="shared" si="25"/>
        <v>0.14982850000000014</v>
      </c>
      <c r="N111" s="375">
        <f t="shared" si="25"/>
        <v>0.10819199999999986</v>
      </c>
      <c r="O111" s="375">
        <f t="shared" si="25"/>
        <v>1.191300000000001E-2</v>
      </c>
      <c r="P111" s="375">
        <f t="shared" si="25"/>
        <v>0</v>
      </c>
      <c r="Q111" s="375">
        <f t="shared" si="25"/>
        <v>0</v>
      </c>
      <c r="R111" s="375">
        <f t="shared" si="25"/>
        <v>0</v>
      </c>
      <c r="S111" s="375">
        <f>(T110+S110)*(T109-S109)/2</f>
        <v>0</v>
      </c>
      <c r="T111" s="375">
        <f t="shared" si="25"/>
        <v>0</v>
      </c>
      <c r="U111" s="375">
        <f t="shared" si="25"/>
        <v>0</v>
      </c>
      <c r="V111" s="375">
        <f t="shared" si="25"/>
        <v>0</v>
      </c>
      <c r="W111" s="375">
        <f>(X110+W110)*(X109-W109)/2</f>
        <v>0</v>
      </c>
      <c r="X111" s="375">
        <f>(Y110+X110)*(Y109-X109)/2</f>
        <v>0</v>
      </c>
      <c r="Y111" s="369"/>
    </row>
    <row r="112" spans="1:26" ht="13.5" thickBot="1" x14ac:dyDescent="0.25"/>
    <row r="113" spans="1:26" ht="13.5" thickBot="1" x14ac:dyDescent="0.25">
      <c r="A113" s="361" t="s">
        <v>417</v>
      </c>
      <c r="B113" s="359">
        <f>ROW(A113)</f>
        <v>113</v>
      </c>
      <c r="C113" s="363" t="s">
        <v>115</v>
      </c>
      <c r="D113" s="353">
        <f>SUM(B116:Y116)</f>
        <v>24.488898000000002</v>
      </c>
      <c r="E113" s="363" t="s">
        <v>114</v>
      </c>
      <c r="F113" s="354">
        <f>D113/g/J113</f>
        <v>121.771701350041</v>
      </c>
      <c r="G113" s="363" t="s">
        <v>56</v>
      </c>
      <c r="H113" s="64">
        <v>5.6500000000000002E-2</v>
      </c>
      <c r="I113" s="363" t="s">
        <v>271</v>
      </c>
      <c r="J113" s="355">
        <f>H113-L113</f>
        <v>2.0500000000000004E-2</v>
      </c>
      <c r="K113" s="363" t="s">
        <v>272</v>
      </c>
      <c r="L113" s="64">
        <v>3.5999999999999997E-2</v>
      </c>
      <c r="M113" s="363" t="s">
        <v>57</v>
      </c>
      <c r="N113" s="396">
        <v>35</v>
      </c>
      <c r="O113" s="363" t="s">
        <v>59</v>
      </c>
      <c r="P113" s="396">
        <v>35</v>
      </c>
      <c r="Q113" s="363" t="s">
        <v>60</v>
      </c>
      <c r="R113" s="65">
        <v>69</v>
      </c>
      <c r="S113" s="363" t="s">
        <v>61</v>
      </c>
      <c r="T113" s="65">
        <v>24</v>
      </c>
      <c r="U113" s="363" t="s">
        <v>54</v>
      </c>
      <c r="V113" s="66" t="s">
        <v>400</v>
      </c>
      <c r="W113" s="463" t="s">
        <v>394</v>
      </c>
      <c r="X113" s="465">
        <v>0.33</v>
      </c>
      <c r="Y113" s="463" t="s">
        <v>393</v>
      </c>
      <c r="Z113" s="358">
        <v>17</v>
      </c>
    </row>
    <row r="114" spans="1:26" x14ac:dyDescent="0.2">
      <c r="A114" s="362" t="s">
        <v>33</v>
      </c>
      <c r="B114" s="370">
        <v>0</v>
      </c>
      <c r="C114" s="371">
        <v>8.9999999999999993E-3</v>
      </c>
      <c r="D114" s="371">
        <v>1.2E-2</v>
      </c>
      <c r="E114" s="371">
        <v>2.3E-2</v>
      </c>
      <c r="F114" s="371">
        <v>2.7E-2</v>
      </c>
      <c r="G114" s="371">
        <v>4.7E-2</v>
      </c>
      <c r="H114" s="371">
        <v>9.1999999999999998E-2</v>
      </c>
      <c r="I114" s="371">
        <v>0.11799999999999999</v>
      </c>
      <c r="J114" s="371">
        <v>0.14099999999999999</v>
      </c>
      <c r="K114" s="371">
        <v>0.192</v>
      </c>
      <c r="L114" s="371">
        <v>0.222</v>
      </c>
      <c r="M114" s="371">
        <v>0.25</v>
      </c>
      <c r="N114" s="371">
        <v>0.26</v>
      </c>
      <c r="O114" s="371">
        <v>0.28100000000000003</v>
      </c>
      <c r="P114" s="371">
        <v>0.28699999999999998</v>
      </c>
      <c r="Q114" s="371">
        <v>0.30599999999999999</v>
      </c>
      <c r="R114" s="371">
        <v>0.314</v>
      </c>
      <c r="S114" s="371">
        <v>0.32600000000000001</v>
      </c>
      <c r="T114" s="371">
        <v>0.32900000000000001</v>
      </c>
      <c r="U114" s="371">
        <v>0.5</v>
      </c>
      <c r="V114" s="371">
        <v>1</v>
      </c>
      <c r="W114" s="371">
        <v>2</v>
      </c>
      <c r="X114" s="371">
        <v>2</v>
      </c>
      <c r="Y114" s="381">
        <v>1000</v>
      </c>
    </row>
    <row r="115" spans="1:26" x14ac:dyDescent="0.2">
      <c r="A115" s="378" t="s">
        <v>34</v>
      </c>
      <c r="B115" s="372">
        <v>0</v>
      </c>
      <c r="C115" s="373">
        <v>84.212999999999994</v>
      </c>
      <c r="D115" s="373">
        <v>95.099000000000004</v>
      </c>
      <c r="E115" s="373">
        <v>77.08</v>
      </c>
      <c r="F115" s="373">
        <v>68.697000000000003</v>
      </c>
      <c r="G115" s="373">
        <v>73.451999999999998</v>
      </c>
      <c r="H115" s="373">
        <v>81.834999999999994</v>
      </c>
      <c r="I115" s="373">
        <v>83.837000000000003</v>
      </c>
      <c r="J115" s="373">
        <v>86.465000000000003</v>
      </c>
      <c r="K115" s="373">
        <v>86.965999999999994</v>
      </c>
      <c r="L115" s="373">
        <v>85.338999999999999</v>
      </c>
      <c r="M115" s="373">
        <v>80.082999999999998</v>
      </c>
      <c r="N115" s="373">
        <v>78.331999999999994</v>
      </c>
      <c r="O115" s="373">
        <v>82.960999999999999</v>
      </c>
      <c r="P115" s="373">
        <v>78.206000000000003</v>
      </c>
      <c r="Q115" s="373">
        <v>24.776</v>
      </c>
      <c r="R115" s="373">
        <v>14.14</v>
      </c>
      <c r="S115" s="373">
        <v>8.5090000000000003</v>
      </c>
      <c r="T115" s="373">
        <v>0</v>
      </c>
      <c r="U115" s="373">
        <f>T115</f>
        <v>0</v>
      </c>
      <c r="V115" s="373">
        <f>U115</f>
        <v>0</v>
      </c>
      <c r="W115" s="373">
        <f>V115</f>
        <v>0</v>
      </c>
      <c r="X115" s="373">
        <f>W115</f>
        <v>0</v>
      </c>
      <c r="Y115" s="382">
        <v>0</v>
      </c>
    </row>
    <row r="116" spans="1:26" ht="13.5" thickBot="1" x14ac:dyDescent="0.25">
      <c r="A116" s="379" t="s">
        <v>116</v>
      </c>
      <c r="B116" s="374">
        <f t="shared" ref="B116:V116" si="26">(C115+B115)*(C114-B114)/2</f>
        <v>0.37895849999999992</v>
      </c>
      <c r="C116" s="375">
        <f t="shared" si="26"/>
        <v>0.2689680000000001</v>
      </c>
      <c r="D116" s="375">
        <f t="shared" si="26"/>
        <v>0.94698450000000001</v>
      </c>
      <c r="E116" s="375">
        <f t="shared" si="26"/>
        <v>0.29155399999999998</v>
      </c>
      <c r="F116" s="375">
        <f t="shared" si="26"/>
        <v>1.4214900000000001</v>
      </c>
      <c r="G116" s="375">
        <f t="shared" si="26"/>
        <v>3.4939574999999992</v>
      </c>
      <c r="H116" s="375">
        <f t="shared" si="26"/>
        <v>2.1537359999999994</v>
      </c>
      <c r="I116" s="375">
        <f t="shared" si="26"/>
        <v>1.9584729999999997</v>
      </c>
      <c r="J116" s="375">
        <f>(K115+J115)*(K114-J114)/2</f>
        <v>4.4224905000000012</v>
      </c>
      <c r="K116" s="375">
        <f t="shared" si="26"/>
        <v>2.5845750000000001</v>
      </c>
      <c r="L116" s="375">
        <f t="shared" si="26"/>
        <v>2.3159079999999999</v>
      </c>
      <c r="M116" s="375">
        <f t="shared" si="26"/>
        <v>0.79207500000000064</v>
      </c>
      <c r="N116" s="375">
        <f t="shared" si="26"/>
        <v>1.6935765000000016</v>
      </c>
      <c r="O116" s="375">
        <f t="shared" si="26"/>
        <v>0.48350099999999596</v>
      </c>
      <c r="P116" s="375">
        <f t="shared" si="26"/>
        <v>0.97832900000000089</v>
      </c>
      <c r="Q116" s="375">
        <f t="shared" si="26"/>
        <v>0.15566400000000014</v>
      </c>
      <c r="R116" s="375">
        <f t="shared" si="26"/>
        <v>0.13589400000000013</v>
      </c>
      <c r="S116" s="375">
        <f>(T115+S115)*(T114-S114)/2</f>
        <v>1.2763500000000013E-2</v>
      </c>
      <c r="T116" s="375">
        <f t="shared" si="26"/>
        <v>0</v>
      </c>
      <c r="U116" s="375">
        <f t="shared" si="26"/>
        <v>0</v>
      </c>
      <c r="V116" s="375">
        <f t="shared" si="26"/>
        <v>0</v>
      </c>
      <c r="W116" s="375">
        <f>(X115+W115)*(X114-W114)/2</f>
        <v>0</v>
      </c>
      <c r="X116" s="375">
        <f>(Y115+X115)*(Y114-X114)/2</f>
        <v>0</v>
      </c>
      <c r="Y116" s="369"/>
    </row>
    <row r="117" spans="1:26" ht="13.5" thickBot="1" x14ac:dyDescent="0.25"/>
    <row r="118" spans="1:26" ht="13.5" thickBot="1" x14ac:dyDescent="0.25">
      <c r="A118" s="361" t="s">
        <v>320</v>
      </c>
      <c r="B118" s="359">
        <f>ROW(A118)</f>
        <v>118</v>
      </c>
      <c r="C118" s="363" t="s">
        <v>115</v>
      </c>
      <c r="D118" s="353">
        <f>SUM(B121:Y121)</f>
        <v>26.083982500000001</v>
      </c>
      <c r="E118" s="363" t="s">
        <v>114</v>
      </c>
      <c r="F118" s="354">
        <f>D118/g/J118</f>
        <v>166.18235537716615</v>
      </c>
      <c r="G118" s="363" t="s">
        <v>56</v>
      </c>
      <c r="H118" s="64">
        <v>5.1999999999999998E-2</v>
      </c>
      <c r="I118" s="363" t="s">
        <v>271</v>
      </c>
      <c r="J118" s="355">
        <f>H118-L118</f>
        <v>1.6E-2</v>
      </c>
      <c r="K118" s="363" t="s">
        <v>272</v>
      </c>
      <c r="L118" s="64">
        <v>3.5999999999999997E-2</v>
      </c>
      <c r="M118" s="363" t="s">
        <v>57</v>
      </c>
      <c r="N118" s="396">
        <v>35</v>
      </c>
      <c r="O118" s="363" t="s">
        <v>59</v>
      </c>
      <c r="P118" s="396">
        <v>35</v>
      </c>
      <c r="Q118" s="363" t="s">
        <v>60</v>
      </c>
      <c r="R118" s="65">
        <v>69</v>
      </c>
      <c r="S118" s="363" t="s">
        <v>61</v>
      </c>
      <c r="T118" s="65">
        <v>24</v>
      </c>
      <c r="U118" s="363" t="s">
        <v>54</v>
      </c>
      <c r="V118" s="66" t="s">
        <v>399</v>
      </c>
      <c r="W118" s="463" t="s">
        <v>394</v>
      </c>
      <c r="X118" s="465">
        <v>0.85</v>
      </c>
      <c r="Y118" s="463" t="s">
        <v>393</v>
      </c>
      <c r="Z118" s="358">
        <v>15</v>
      </c>
    </row>
    <row r="119" spans="1:26" x14ac:dyDescent="0.2">
      <c r="A119" s="362" t="s">
        <v>33</v>
      </c>
      <c r="B119" s="370">
        <v>0</v>
      </c>
      <c r="C119" s="371">
        <v>0.02</v>
      </c>
      <c r="D119" s="371">
        <v>2.7E-2</v>
      </c>
      <c r="E119" s="371">
        <v>4.9000000000000002E-2</v>
      </c>
      <c r="F119" s="371">
        <v>0.113</v>
      </c>
      <c r="G119" s="371">
        <v>0.193</v>
      </c>
      <c r="H119" s="371">
        <v>0.28199999999999997</v>
      </c>
      <c r="I119" s="371">
        <v>0.5</v>
      </c>
      <c r="J119" s="371">
        <v>0.72699999999999998</v>
      </c>
      <c r="K119" s="371">
        <v>0.77100000000000002</v>
      </c>
      <c r="L119" s="371">
        <v>0.80700000000000005</v>
      </c>
      <c r="M119" s="371">
        <v>0.84</v>
      </c>
      <c r="N119" s="371">
        <v>0.87</v>
      </c>
      <c r="O119" s="371">
        <v>1</v>
      </c>
      <c r="P119" s="371">
        <v>1</v>
      </c>
      <c r="Q119" s="371">
        <v>1</v>
      </c>
      <c r="R119" s="371">
        <v>1</v>
      </c>
      <c r="S119" s="371">
        <v>1</v>
      </c>
      <c r="T119" s="371">
        <v>1</v>
      </c>
      <c r="U119" s="371">
        <v>1</v>
      </c>
      <c r="V119" s="371">
        <v>1</v>
      </c>
      <c r="W119" s="371">
        <v>1</v>
      </c>
      <c r="X119" s="371">
        <v>2</v>
      </c>
      <c r="Y119" s="381">
        <v>1000</v>
      </c>
    </row>
    <row r="120" spans="1:26" x14ac:dyDescent="0.2">
      <c r="A120" s="378" t="s">
        <v>34</v>
      </c>
      <c r="B120" s="372">
        <v>0</v>
      </c>
      <c r="C120" s="373">
        <v>43.823999999999998</v>
      </c>
      <c r="D120" s="373">
        <v>39.963999999999999</v>
      </c>
      <c r="E120" s="373">
        <v>26.780999999999999</v>
      </c>
      <c r="F120" s="373">
        <v>32.600999999999999</v>
      </c>
      <c r="G120" s="373">
        <v>34.738999999999997</v>
      </c>
      <c r="H120" s="373">
        <v>35.808</v>
      </c>
      <c r="I120" s="373">
        <v>34.442</v>
      </c>
      <c r="J120" s="373">
        <v>29.276</v>
      </c>
      <c r="K120" s="373">
        <v>22.742999999999999</v>
      </c>
      <c r="L120" s="373">
        <v>9.5609999999999999</v>
      </c>
      <c r="M120" s="373">
        <v>3.5630000000000002</v>
      </c>
      <c r="N120" s="373">
        <v>0</v>
      </c>
      <c r="O120" s="373">
        <v>0</v>
      </c>
      <c r="P120" s="373">
        <v>0</v>
      </c>
      <c r="Q120" s="373">
        <v>0</v>
      </c>
      <c r="R120" s="373">
        <v>0</v>
      </c>
      <c r="S120" s="373">
        <v>0</v>
      </c>
      <c r="T120" s="373">
        <f>S120</f>
        <v>0</v>
      </c>
      <c r="U120" s="373">
        <f>T120</f>
        <v>0</v>
      </c>
      <c r="V120" s="373">
        <f>U120</f>
        <v>0</v>
      </c>
      <c r="W120" s="373">
        <f>V120</f>
        <v>0</v>
      </c>
      <c r="X120" s="373">
        <f>W120</f>
        <v>0</v>
      </c>
      <c r="Y120" s="382">
        <v>0</v>
      </c>
    </row>
    <row r="121" spans="1:26" ht="13.5" thickBot="1" x14ac:dyDescent="0.25">
      <c r="A121" s="379" t="s">
        <v>116</v>
      </c>
      <c r="B121" s="374">
        <f t="shared" ref="B121:V121" si="27">(C120+B120)*(C119-B119)/2</f>
        <v>0.43823999999999996</v>
      </c>
      <c r="C121" s="375">
        <f t="shared" si="27"/>
        <v>0.29325799999999996</v>
      </c>
      <c r="D121" s="375">
        <f t="shared" si="27"/>
        <v>0.73419500000000015</v>
      </c>
      <c r="E121" s="375">
        <f t="shared" si="27"/>
        <v>1.9002239999999999</v>
      </c>
      <c r="F121" s="375">
        <f t="shared" si="27"/>
        <v>2.6936</v>
      </c>
      <c r="G121" s="375">
        <f t="shared" si="27"/>
        <v>3.1393414999999987</v>
      </c>
      <c r="H121" s="375">
        <f t="shared" si="27"/>
        <v>7.6572500000000012</v>
      </c>
      <c r="I121" s="375">
        <f t="shared" si="27"/>
        <v>7.2319930000000001</v>
      </c>
      <c r="J121" s="375">
        <f>(K120+J120)*(K119-J119)/2</f>
        <v>1.144418000000001</v>
      </c>
      <c r="K121" s="375">
        <f t="shared" si="27"/>
        <v>0.58147200000000054</v>
      </c>
      <c r="L121" s="375">
        <f t="shared" si="27"/>
        <v>0.21654599999999946</v>
      </c>
      <c r="M121" s="375">
        <f t="shared" si="27"/>
        <v>5.3445000000000048E-2</v>
      </c>
      <c r="N121" s="375">
        <f t="shared" si="27"/>
        <v>0</v>
      </c>
      <c r="O121" s="375">
        <f t="shared" si="27"/>
        <v>0</v>
      </c>
      <c r="P121" s="375">
        <f t="shared" si="27"/>
        <v>0</v>
      </c>
      <c r="Q121" s="375">
        <f t="shared" si="27"/>
        <v>0</v>
      </c>
      <c r="R121" s="375">
        <f t="shared" si="27"/>
        <v>0</v>
      </c>
      <c r="S121" s="375">
        <f>(T120+S120)*(T119-S119)/2</f>
        <v>0</v>
      </c>
      <c r="T121" s="375">
        <f t="shared" si="27"/>
        <v>0</v>
      </c>
      <c r="U121" s="375">
        <f t="shared" si="27"/>
        <v>0</v>
      </c>
      <c r="V121" s="375">
        <f t="shared" si="27"/>
        <v>0</v>
      </c>
      <c r="W121" s="375">
        <f>(X120+W120)*(X119-W119)/2</f>
        <v>0</v>
      </c>
      <c r="X121" s="375">
        <f>(Y120+X120)*(Y119-X119)/2</f>
        <v>0</v>
      </c>
      <c r="Y121" s="369"/>
    </row>
    <row r="122" spans="1:26" ht="13.5" thickBot="1" x14ac:dyDescent="0.25">
      <c r="A122" s="6" t="s">
        <v>389</v>
      </c>
    </row>
    <row r="123" spans="1:26" ht="13.5" thickBot="1" x14ac:dyDescent="0.25">
      <c r="A123" s="361" t="s">
        <v>390</v>
      </c>
      <c r="B123" s="359">
        <f>ROW(A123)</f>
        <v>123</v>
      </c>
      <c r="C123" s="363" t="s">
        <v>115</v>
      </c>
      <c r="D123" s="353">
        <f>SUM(B126:Y126)</f>
        <v>49.788765499999997</v>
      </c>
      <c r="E123" s="363" t="s">
        <v>114</v>
      </c>
      <c r="F123" s="354">
        <v>231</v>
      </c>
      <c r="G123" s="363" t="s">
        <v>56</v>
      </c>
      <c r="H123" s="64">
        <v>7.2999999999999995E-2</v>
      </c>
      <c r="I123" s="363" t="s">
        <v>271</v>
      </c>
      <c r="J123" s="355">
        <f>H123-L123</f>
        <v>2.7999999999999997E-2</v>
      </c>
      <c r="K123" s="363" t="s">
        <v>272</v>
      </c>
      <c r="L123" s="64">
        <v>4.4999999999999998E-2</v>
      </c>
      <c r="M123" s="363" t="s">
        <v>57</v>
      </c>
      <c r="N123" s="396">
        <v>50</v>
      </c>
      <c r="O123" s="363" t="s">
        <v>59</v>
      </c>
      <c r="P123" s="396">
        <v>50</v>
      </c>
      <c r="Q123" s="363" t="s">
        <v>60</v>
      </c>
      <c r="R123" s="65">
        <v>101</v>
      </c>
      <c r="S123" s="363" t="s">
        <v>61</v>
      </c>
      <c r="T123" s="65">
        <v>24</v>
      </c>
      <c r="U123" s="363" t="s">
        <v>54</v>
      </c>
      <c r="V123" s="66" t="s">
        <v>119</v>
      </c>
      <c r="W123" s="463" t="s">
        <v>394</v>
      </c>
      <c r="X123" s="465">
        <v>1</v>
      </c>
      <c r="Y123" s="463" t="s">
        <v>393</v>
      </c>
      <c r="Z123" s="358">
        <v>13</v>
      </c>
    </row>
    <row r="124" spans="1:26" x14ac:dyDescent="0.2">
      <c r="A124" s="362" t="s">
        <v>33</v>
      </c>
      <c r="B124" s="470">
        <v>0</v>
      </c>
      <c r="C124" s="470">
        <v>1E-3</v>
      </c>
      <c r="D124" s="470">
        <v>2.7E-2</v>
      </c>
      <c r="E124" s="470">
        <v>5.0999999999999997E-2</v>
      </c>
      <c r="F124" s="470">
        <v>0.06</v>
      </c>
      <c r="G124" s="470">
        <v>9.1999999999999998E-2</v>
      </c>
      <c r="H124" s="470">
        <v>0.11899999999999999</v>
      </c>
      <c r="I124" s="470">
        <v>0.17</v>
      </c>
      <c r="J124" s="470">
        <v>0.3</v>
      </c>
      <c r="K124" s="470">
        <v>0.46200000000000002</v>
      </c>
      <c r="L124" s="470">
        <v>0.56899999999999995</v>
      </c>
      <c r="M124" s="470">
        <v>0.67500000000000004</v>
      </c>
      <c r="N124" s="470">
        <v>0.77800000000000002</v>
      </c>
      <c r="O124" s="470">
        <v>0.84599999999999997</v>
      </c>
      <c r="P124" s="470">
        <v>0.91700000000000004</v>
      </c>
      <c r="Q124" s="470">
        <v>1.0089999999999999</v>
      </c>
      <c r="R124" s="470">
        <v>1.032</v>
      </c>
      <c r="S124" s="470">
        <v>1.0449999999999999</v>
      </c>
      <c r="T124" s="371">
        <v>2</v>
      </c>
      <c r="U124" s="371">
        <v>2</v>
      </c>
      <c r="V124" s="371">
        <v>2</v>
      </c>
      <c r="W124" s="371">
        <v>2</v>
      </c>
      <c r="X124" s="371">
        <v>2</v>
      </c>
      <c r="Y124" s="381">
        <v>1000</v>
      </c>
    </row>
    <row r="125" spans="1:26" x14ac:dyDescent="0.2">
      <c r="A125" s="378" t="s">
        <v>34</v>
      </c>
      <c r="B125" s="470">
        <v>0</v>
      </c>
      <c r="C125" s="470">
        <v>5.1449999999999996</v>
      </c>
      <c r="D125" s="470">
        <v>67.975999999999999</v>
      </c>
      <c r="E125" s="470">
        <v>53.807000000000002</v>
      </c>
      <c r="F125" s="470">
        <v>52.88</v>
      </c>
      <c r="G125" s="470">
        <v>55.915999999999997</v>
      </c>
      <c r="H125" s="470">
        <v>57.94</v>
      </c>
      <c r="I125" s="470">
        <v>59.710999999999999</v>
      </c>
      <c r="J125" s="470">
        <v>61.145000000000003</v>
      </c>
      <c r="K125" s="470">
        <v>58.951999999999998</v>
      </c>
      <c r="L125" s="470">
        <v>55.578000000000003</v>
      </c>
      <c r="M125" s="470">
        <v>52.204999999999998</v>
      </c>
      <c r="N125" s="470">
        <v>46.386000000000003</v>
      </c>
      <c r="O125" s="470">
        <v>38.119999999999997</v>
      </c>
      <c r="P125" s="470">
        <v>20.324999999999999</v>
      </c>
      <c r="Q125" s="470">
        <v>3.5419999999999998</v>
      </c>
      <c r="R125" s="470">
        <v>1.6020000000000001</v>
      </c>
      <c r="S125" s="470">
        <v>0</v>
      </c>
      <c r="T125" s="373">
        <f>S125</f>
        <v>0</v>
      </c>
      <c r="U125" s="373">
        <f>T125</f>
        <v>0</v>
      </c>
      <c r="V125" s="373">
        <f>U125</f>
        <v>0</v>
      </c>
      <c r="W125" s="373">
        <f>V125</f>
        <v>0</v>
      </c>
      <c r="X125" s="373">
        <f>W125</f>
        <v>0</v>
      </c>
      <c r="Y125" s="382">
        <v>0</v>
      </c>
    </row>
    <row r="126" spans="1:26" ht="13.5" thickBot="1" x14ac:dyDescent="0.25">
      <c r="A126" s="379" t="s">
        <v>116</v>
      </c>
      <c r="B126" s="374">
        <f t="shared" ref="B126:X126" si="28">(C125+B125)*(C124-B124)/2</f>
        <v>2.5724999999999997E-3</v>
      </c>
      <c r="C126" s="375">
        <f t="shared" si="28"/>
        <v>0.95057299999999989</v>
      </c>
      <c r="D126" s="375">
        <f t="shared" si="28"/>
        <v>1.4613959999999999</v>
      </c>
      <c r="E126" s="375">
        <f t="shared" si="28"/>
        <v>0.48009150000000012</v>
      </c>
      <c r="F126" s="375">
        <f t="shared" si="28"/>
        <v>1.7407359999999998</v>
      </c>
      <c r="G126" s="375">
        <f t="shared" si="28"/>
        <v>1.5370559999999998</v>
      </c>
      <c r="H126" s="375">
        <f t="shared" si="28"/>
        <v>3.0001005000000007</v>
      </c>
      <c r="I126" s="375">
        <f t="shared" si="28"/>
        <v>7.8556399999999984</v>
      </c>
      <c r="J126" s="375">
        <f t="shared" si="28"/>
        <v>9.727857000000002</v>
      </c>
      <c r="K126" s="375">
        <f t="shared" si="28"/>
        <v>6.1273549999999961</v>
      </c>
      <c r="L126" s="375">
        <f t="shared" si="28"/>
        <v>5.7124990000000055</v>
      </c>
      <c r="M126" s="375">
        <f t="shared" si="28"/>
        <v>5.0774364999999992</v>
      </c>
      <c r="N126" s="375">
        <f t="shared" si="28"/>
        <v>2.8732039999999976</v>
      </c>
      <c r="O126" s="375">
        <f t="shared" si="28"/>
        <v>2.0747975000000016</v>
      </c>
      <c r="P126" s="375">
        <f t="shared" si="28"/>
        <v>1.0978819999999982</v>
      </c>
      <c r="Q126" s="375">
        <f t="shared" si="28"/>
        <v>5.915600000000034E-2</v>
      </c>
      <c r="R126" s="375">
        <f t="shared" si="28"/>
        <v>1.0412999999999921E-2</v>
      </c>
      <c r="S126" s="375">
        <f t="shared" si="28"/>
        <v>0</v>
      </c>
      <c r="T126" s="375">
        <f t="shared" si="28"/>
        <v>0</v>
      </c>
      <c r="U126" s="375">
        <f t="shared" si="28"/>
        <v>0</v>
      </c>
      <c r="V126" s="375">
        <f t="shared" si="28"/>
        <v>0</v>
      </c>
      <c r="W126" s="375">
        <f t="shared" si="28"/>
        <v>0</v>
      </c>
      <c r="X126" s="375">
        <f t="shared" si="28"/>
        <v>0</v>
      </c>
      <c r="Y126" s="369"/>
    </row>
    <row r="127" spans="1:26" ht="13.5" thickBot="1" x14ac:dyDescent="0.25"/>
    <row r="128" spans="1:26" ht="13.5" thickBot="1" x14ac:dyDescent="0.25">
      <c r="A128" s="361" t="s">
        <v>391</v>
      </c>
      <c r="B128" s="359">
        <f>ROW(A128)</f>
        <v>128</v>
      </c>
      <c r="C128" s="363" t="s">
        <v>115</v>
      </c>
      <c r="D128" s="353">
        <f>SUM(B131:Y131)</f>
        <v>52.815674000000008</v>
      </c>
      <c r="E128" s="363" t="s">
        <v>114</v>
      </c>
      <c r="F128" s="354">
        <v>239</v>
      </c>
      <c r="G128" s="363" t="s">
        <v>56</v>
      </c>
      <c r="H128" s="64">
        <v>7.2999999999999995E-2</v>
      </c>
      <c r="I128" s="363" t="s">
        <v>271</v>
      </c>
      <c r="J128" s="355">
        <f>H128-L128</f>
        <v>2.8999999999999998E-2</v>
      </c>
      <c r="K128" s="363" t="s">
        <v>272</v>
      </c>
      <c r="L128" s="64">
        <v>4.3999999999999997E-2</v>
      </c>
      <c r="M128" s="363" t="s">
        <v>57</v>
      </c>
      <c r="N128" s="396">
        <v>50</v>
      </c>
      <c r="O128" s="363" t="s">
        <v>59</v>
      </c>
      <c r="P128" s="396">
        <v>50</v>
      </c>
      <c r="Q128" s="363" t="s">
        <v>60</v>
      </c>
      <c r="R128" s="65">
        <v>101</v>
      </c>
      <c r="S128" s="363" t="s">
        <v>61</v>
      </c>
      <c r="T128" s="65">
        <v>24</v>
      </c>
      <c r="U128" s="363" t="s">
        <v>54</v>
      </c>
      <c r="V128" s="66" t="s">
        <v>119</v>
      </c>
      <c r="W128" s="463" t="s">
        <v>394</v>
      </c>
      <c r="X128" s="465">
        <v>0.77</v>
      </c>
      <c r="Y128" s="463" t="s">
        <v>393</v>
      </c>
      <c r="Z128" s="358">
        <v>14</v>
      </c>
    </row>
    <row r="129" spans="1:26" x14ac:dyDescent="0.2">
      <c r="A129" s="362" t="s">
        <v>33</v>
      </c>
      <c r="B129" s="470">
        <v>0</v>
      </c>
      <c r="C129" s="470">
        <v>1E-3</v>
      </c>
      <c r="D129" s="470">
        <v>1.2999999999999999E-2</v>
      </c>
      <c r="E129" s="470">
        <v>2.3E-2</v>
      </c>
      <c r="F129" s="470">
        <v>5.1999999999999998E-2</v>
      </c>
      <c r="G129" s="470">
        <v>0.1</v>
      </c>
      <c r="H129" s="470">
        <v>0.379</v>
      </c>
      <c r="I129" s="470">
        <v>0.64100000000000001</v>
      </c>
      <c r="J129" s="470">
        <v>0.66500000000000004</v>
      </c>
      <c r="K129" s="470">
        <v>0.70599999999999996</v>
      </c>
      <c r="L129" s="470">
        <v>0.74399999999999999</v>
      </c>
      <c r="M129" s="470">
        <v>0.78700000000000003</v>
      </c>
      <c r="N129" s="470">
        <v>0.81599999999999995</v>
      </c>
      <c r="O129" s="371">
        <v>1</v>
      </c>
      <c r="P129" s="371">
        <v>1</v>
      </c>
      <c r="Q129" s="371">
        <v>1</v>
      </c>
      <c r="R129" s="371">
        <v>1</v>
      </c>
      <c r="S129" s="371">
        <v>1</v>
      </c>
      <c r="T129" s="371">
        <v>1</v>
      </c>
      <c r="U129" s="371">
        <v>1</v>
      </c>
      <c r="V129" s="371">
        <v>1</v>
      </c>
      <c r="W129" s="371">
        <v>2</v>
      </c>
      <c r="X129" s="371">
        <v>2</v>
      </c>
      <c r="Y129" s="381">
        <v>1000</v>
      </c>
    </row>
    <row r="130" spans="1:26" x14ac:dyDescent="0.2">
      <c r="A130" s="378" t="s">
        <v>34</v>
      </c>
      <c r="B130" s="470">
        <v>0</v>
      </c>
      <c r="C130" s="470">
        <v>8.3030000000000008</v>
      </c>
      <c r="D130" s="470">
        <v>85.68</v>
      </c>
      <c r="E130" s="470">
        <v>96.149000000000001</v>
      </c>
      <c r="F130" s="470">
        <v>78.820999999999998</v>
      </c>
      <c r="G130" s="470">
        <v>83.634</v>
      </c>
      <c r="H130" s="470">
        <v>77.858000000000004</v>
      </c>
      <c r="I130" s="470">
        <v>62.575000000000003</v>
      </c>
      <c r="J130" s="470">
        <v>55.716000000000001</v>
      </c>
      <c r="K130" s="470">
        <v>23.946999999999999</v>
      </c>
      <c r="L130" s="470">
        <v>9.1460000000000008</v>
      </c>
      <c r="M130" s="470">
        <v>2.7679999999999998</v>
      </c>
      <c r="N130" s="470">
        <v>0</v>
      </c>
      <c r="O130" s="373">
        <v>0</v>
      </c>
      <c r="P130" s="373">
        <v>0</v>
      </c>
      <c r="Q130" s="373">
        <v>0</v>
      </c>
      <c r="R130" s="373">
        <v>0</v>
      </c>
      <c r="S130" s="373">
        <v>0</v>
      </c>
      <c r="T130" s="373">
        <v>0</v>
      </c>
      <c r="U130" s="373">
        <v>0</v>
      </c>
      <c r="V130" s="373">
        <f>U130</f>
        <v>0</v>
      </c>
      <c r="W130" s="373">
        <f>V130</f>
        <v>0</v>
      </c>
      <c r="X130" s="373">
        <f>W130</f>
        <v>0</v>
      </c>
      <c r="Y130" s="382">
        <v>0</v>
      </c>
    </row>
    <row r="131" spans="1:26" ht="13.5" thickBot="1" x14ac:dyDescent="0.25">
      <c r="A131" s="379" t="s">
        <v>116</v>
      </c>
      <c r="B131" s="374">
        <f t="shared" ref="B131:X131" si="29">(C130+B130)*(C129-B129)/2</f>
        <v>4.1515000000000007E-3</v>
      </c>
      <c r="C131" s="375">
        <f t="shared" si="29"/>
        <v>0.56389800000000001</v>
      </c>
      <c r="D131" s="375">
        <f t="shared" si="29"/>
        <v>0.90914500000000009</v>
      </c>
      <c r="E131" s="375">
        <f t="shared" si="29"/>
        <v>2.5370649999999997</v>
      </c>
      <c r="F131" s="375">
        <f t="shared" si="29"/>
        <v>3.8989200000000004</v>
      </c>
      <c r="G131" s="375">
        <f t="shared" si="29"/>
        <v>22.528134000000005</v>
      </c>
      <c r="H131" s="375">
        <f t="shared" si="29"/>
        <v>18.396723000000001</v>
      </c>
      <c r="I131" s="375">
        <f t="shared" si="29"/>
        <v>1.4194920000000013</v>
      </c>
      <c r="J131" s="375">
        <f t="shared" si="29"/>
        <v>1.633091499999997</v>
      </c>
      <c r="K131" s="375">
        <f t="shared" si="29"/>
        <v>0.62876700000000063</v>
      </c>
      <c r="L131" s="375">
        <f t="shared" si="29"/>
        <v>0.25615100000000024</v>
      </c>
      <c r="M131" s="375">
        <f t="shared" si="29"/>
        <v>4.013599999999988E-2</v>
      </c>
      <c r="N131" s="375">
        <f t="shared" si="29"/>
        <v>0</v>
      </c>
      <c r="O131" s="375">
        <f t="shared" si="29"/>
        <v>0</v>
      </c>
      <c r="P131" s="375">
        <f t="shared" si="29"/>
        <v>0</v>
      </c>
      <c r="Q131" s="375">
        <f t="shared" si="29"/>
        <v>0</v>
      </c>
      <c r="R131" s="375">
        <f t="shared" si="29"/>
        <v>0</v>
      </c>
      <c r="S131" s="375">
        <f t="shared" si="29"/>
        <v>0</v>
      </c>
      <c r="T131" s="375">
        <f t="shared" si="29"/>
        <v>0</v>
      </c>
      <c r="U131" s="375">
        <f t="shared" si="29"/>
        <v>0</v>
      </c>
      <c r="V131" s="375">
        <f t="shared" si="29"/>
        <v>0</v>
      </c>
      <c r="W131" s="375">
        <f t="shared" si="29"/>
        <v>0</v>
      </c>
      <c r="X131" s="375">
        <f t="shared" si="29"/>
        <v>0</v>
      </c>
      <c r="Y131" s="369"/>
    </row>
    <row r="132" spans="1:26" ht="13.5" thickBot="1" x14ac:dyDescent="0.25">
      <c r="A132" s="6" t="s">
        <v>314</v>
      </c>
    </row>
    <row r="133" spans="1:26" ht="13.5" thickBot="1" x14ac:dyDescent="0.25">
      <c r="A133" s="361" t="s">
        <v>381</v>
      </c>
      <c r="B133" s="359">
        <f>ROW(A133)</f>
        <v>133</v>
      </c>
      <c r="C133" s="363" t="s">
        <v>115</v>
      </c>
      <c r="D133" s="353">
        <f>SUM(B136:Y136)</f>
        <v>41.835000000000015</v>
      </c>
      <c r="E133" s="363" t="s">
        <v>114</v>
      </c>
      <c r="F133" s="354">
        <f>D133/g/J133</f>
        <v>121.84359982525126</v>
      </c>
      <c r="G133" s="363" t="s">
        <v>56</v>
      </c>
      <c r="H133" s="64">
        <v>0.104</v>
      </c>
      <c r="I133" s="363" t="s">
        <v>271</v>
      </c>
      <c r="J133" s="355">
        <f>H133-L133</f>
        <v>3.4999999999999989E-2</v>
      </c>
      <c r="K133" s="363" t="s">
        <v>272</v>
      </c>
      <c r="L133" s="64">
        <v>6.9000000000000006E-2</v>
      </c>
      <c r="M133" s="363" t="s">
        <v>57</v>
      </c>
      <c r="N133" s="65">
        <v>49</v>
      </c>
      <c r="O133" s="363" t="s">
        <v>59</v>
      </c>
      <c r="P133" s="65">
        <v>49</v>
      </c>
      <c r="Q133" s="363" t="s">
        <v>60</v>
      </c>
      <c r="R133" s="65">
        <v>98</v>
      </c>
      <c r="S133" s="363" t="s">
        <v>61</v>
      </c>
      <c r="T133" s="65">
        <v>29</v>
      </c>
      <c r="U133" s="363" t="s">
        <v>54</v>
      </c>
      <c r="V133" s="66" t="s">
        <v>399</v>
      </c>
      <c r="W133" s="463" t="s">
        <v>394</v>
      </c>
      <c r="X133" s="465">
        <v>1.07</v>
      </c>
      <c r="Y133" s="463" t="s">
        <v>393</v>
      </c>
      <c r="Z133" s="358">
        <v>11</v>
      </c>
    </row>
    <row r="134" spans="1:26" x14ac:dyDescent="0.2">
      <c r="A134" s="362" t="s">
        <v>33</v>
      </c>
      <c r="B134" s="370">
        <v>0</v>
      </c>
      <c r="C134" s="371">
        <v>0.01</v>
      </c>
      <c r="D134" s="371">
        <v>0.02</v>
      </c>
      <c r="E134" s="371">
        <v>0.03</v>
      </c>
      <c r="F134" s="371">
        <v>0.04</v>
      </c>
      <c r="G134" s="371">
        <v>0.06</v>
      </c>
      <c r="H134" s="371">
        <v>7.0000000000000007E-2</v>
      </c>
      <c r="I134" s="371">
        <v>0.08</v>
      </c>
      <c r="J134" s="371">
        <v>0.1</v>
      </c>
      <c r="K134" s="371">
        <v>0.2</v>
      </c>
      <c r="L134" s="371">
        <v>0.3</v>
      </c>
      <c r="M134" s="371">
        <v>0.4</v>
      </c>
      <c r="N134" s="371">
        <v>0.5</v>
      </c>
      <c r="O134" s="371">
        <v>0.6</v>
      </c>
      <c r="P134" s="371">
        <v>0.7</v>
      </c>
      <c r="Q134" s="371">
        <v>0.8</v>
      </c>
      <c r="R134" s="371">
        <v>0.85</v>
      </c>
      <c r="S134" s="371">
        <v>0.92</v>
      </c>
      <c r="T134" s="371">
        <v>0.95</v>
      </c>
      <c r="U134" s="371">
        <v>0.99</v>
      </c>
      <c r="V134" s="371">
        <v>1.05</v>
      </c>
      <c r="W134" s="371">
        <v>1.05</v>
      </c>
      <c r="X134" s="371">
        <v>2</v>
      </c>
      <c r="Y134" s="381">
        <v>1000</v>
      </c>
    </row>
    <row r="135" spans="1:26" x14ac:dyDescent="0.2">
      <c r="A135" s="378" t="s">
        <v>34</v>
      </c>
      <c r="B135" s="372">
        <v>0</v>
      </c>
      <c r="C135" s="373">
        <v>12</v>
      </c>
      <c r="D135" s="373">
        <v>46</v>
      </c>
      <c r="E135" s="373">
        <v>75</v>
      </c>
      <c r="F135" s="373">
        <v>79</v>
      </c>
      <c r="G135" s="373">
        <v>77</v>
      </c>
      <c r="H135" s="373">
        <v>62</v>
      </c>
      <c r="I135" s="373">
        <v>32</v>
      </c>
      <c r="J135" s="373">
        <v>35</v>
      </c>
      <c r="K135" s="373">
        <v>38</v>
      </c>
      <c r="L135" s="373">
        <v>39</v>
      </c>
      <c r="M135" s="373">
        <v>41</v>
      </c>
      <c r="N135" s="373">
        <v>43</v>
      </c>
      <c r="O135" s="373">
        <v>43</v>
      </c>
      <c r="P135" s="373">
        <v>43</v>
      </c>
      <c r="Q135" s="373">
        <v>43</v>
      </c>
      <c r="R135" s="373">
        <v>47</v>
      </c>
      <c r="S135" s="373">
        <v>54</v>
      </c>
      <c r="T135" s="373">
        <v>32</v>
      </c>
      <c r="U135" s="373">
        <v>8</v>
      </c>
      <c r="V135" s="373">
        <v>0</v>
      </c>
      <c r="W135" s="373">
        <v>0</v>
      </c>
      <c r="X135" s="373">
        <v>0</v>
      </c>
      <c r="Y135" s="382">
        <v>0</v>
      </c>
    </row>
    <row r="136" spans="1:26" ht="13.5" thickBot="1" x14ac:dyDescent="0.25">
      <c r="A136" s="379" t="s">
        <v>116</v>
      </c>
      <c r="B136" s="374">
        <f t="shared" ref="B136:X136" si="30">(C135+B135)*(C134-B134)/2</f>
        <v>0.06</v>
      </c>
      <c r="C136" s="375">
        <f t="shared" si="30"/>
        <v>0.28999999999999998</v>
      </c>
      <c r="D136" s="375">
        <f t="shared" si="30"/>
        <v>0.60499999999999987</v>
      </c>
      <c r="E136" s="375">
        <f t="shared" si="30"/>
        <v>0.77000000000000013</v>
      </c>
      <c r="F136" s="375">
        <f t="shared" si="30"/>
        <v>1.5599999999999998</v>
      </c>
      <c r="G136" s="375">
        <f t="shared" si="30"/>
        <v>0.69500000000000062</v>
      </c>
      <c r="H136" s="375">
        <f t="shared" si="30"/>
        <v>0.46999999999999975</v>
      </c>
      <c r="I136" s="375">
        <f t="shared" si="30"/>
        <v>0.67000000000000015</v>
      </c>
      <c r="J136" s="375">
        <f t="shared" si="30"/>
        <v>3.6500000000000004</v>
      </c>
      <c r="K136" s="375">
        <f t="shared" si="30"/>
        <v>3.8499999999999992</v>
      </c>
      <c r="L136" s="375">
        <f t="shared" si="30"/>
        <v>4.0000000000000018</v>
      </c>
      <c r="M136" s="375">
        <f t="shared" si="30"/>
        <v>4.1999999999999993</v>
      </c>
      <c r="N136" s="375">
        <f t="shared" si="30"/>
        <v>4.2999999999999989</v>
      </c>
      <c r="O136" s="375">
        <f t="shared" si="30"/>
        <v>4.2999999999999989</v>
      </c>
      <c r="P136" s="375">
        <f t="shared" si="30"/>
        <v>4.3000000000000043</v>
      </c>
      <c r="Q136" s="375">
        <f t="shared" si="30"/>
        <v>2.2499999999999969</v>
      </c>
      <c r="R136" s="375">
        <f t="shared" si="30"/>
        <v>3.5350000000000033</v>
      </c>
      <c r="S136" s="375">
        <f t="shared" si="30"/>
        <v>1.2899999999999965</v>
      </c>
      <c r="T136" s="375">
        <f t="shared" si="30"/>
        <v>0.80000000000000071</v>
      </c>
      <c r="U136" s="375">
        <f t="shared" si="30"/>
        <v>0.24000000000000021</v>
      </c>
      <c r="V136" s="375">
        <f t="shared" si="30"/>
        <v>0</v>
      </c>
      <c r="W136" s="375">
        <f t="shared" si="30"/>
        <v>0</v>
      </c>
      <c r="X136" s="375">
        <f t="shared" si="30"/>
        <v>0</v>
      </c>
      <c r="Y136" s="369"/>
    </row>
    <row r="137" spans="1:26" ht="13.5" thickBot="1" x14ac:dyDescent="0.25">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row>
    <row r="138" spans="1:26" ht="13.5" thickBot="1" x14ac:dyDescent="0.25">
      <c r="A138" s="361" t="s">
        <v>382</v>
      </c>
      <c r="B138" s="359">
        <f>ROW(A138)</f>
        <v>138</v>
      </c>
      <c r="C138" s="363" t="s">
        <v>115</v>
      </c>
      <c r="D138" s="353">
        <f>SUM(B141:Y141)</f>
        <v>52.564999999999998</v>
      </c>
      <c r="E138" s="363" t="s">
        <v>114</v>
      </c>
      <c r="F138" s="354">
        <f>D138/g/J138</f>
        <v>167.44712028542301</v>
      </c>
      <c r="G138" s="363" t="s">
        <v>56</v>
      </c>
      <c r="H138" s="64">
        <v>0.10100000000000001</v>
      </c>
      <c r="I138" s="363" t="s">
        <v>271</v>
      </c>
      <c r="J138" s="355">
        <f>H138-L138</f>
        <v>3.2000000000000001E-2</v>
      </c>
      <c r="K138" s="363" t="s">
        <v>272</v>
      </c>
      <c r="L138" s="64">
        <v>6.9000000000000006E-2</v>
      </c>
      <c r="M138" s="363" t="s">
        <v>57</v>
      </c>
      <c r="N138" s="65">
        <v>49</v>
      </c>
      <c r="O138" s="363" t="s">
        <v>59</v>
      </c>
      <c r="P138" s="65">
        <v>49</v>
      </c>
      <c r="Q138" s="363" t="s">
        <v>60</v>
      </c>
      <c r="R138" s="65">
        <v>98</v>
      </c>
      <c r="S138" s="363" t="s">
        <v>61</v>
      </c>
      <c r="T138" s="65">
        <v>29</v>
      </c>
      <c r="U138" s="363" t="s">
        <v>54</v>
      </c>
      <c r="V138" s="66" t="s">
        <v>400</v>
      </c>
      <c r="W138" s="463" t="s">
        <v>394</v>
      </c>
      <c r="X138" s="465">
        <v>1.8</v>
      </c>
      <c r="Y138" s="463" t="s">
        <v>393</v>
      </c>
      <c r="Z138" s="358">
        <v>12</v>
      </c>
    </row>
    <row r="139" spans="1:26" x14ac:dyDescent="0.2">
      <c r="A139" s="362" t="s">
        <v>33</v>
      </c>
      <c r="B139" s="370">
        <v>0</v>
      </c>
      <c r="C139" s="371">
        <v>0.01</v>
      </c>
      <c r="D139" s="371">
        <v>0.03</v>
      </c>
      <c r="E139" s="371">
        <v>0.04</v>
      </c>
      <c r="F139" s="371">
        <v>0.05</v>
      </c>
      <c r="G139" s="371">
        <v>0.06</v>
      </c>
      <c r="H139" s="371">
        <v>7.0000000000000007E-2</v>
      </c>
      <c r="I139" s="371">
        <v>0.08</v>
      </c>
      <c r="J139" s="371">
        <v>0.09</v>
      </c>
      <c r="K139" s="371">
        <v>0.1</v>
      </c>
      <c r="L139" s="371">
        <v>0.2</v>
      </c>
      <c r="M139" s="371">
        <v>0.3</v>
      </c>
      <c r="N139" s="371">
        <v>0.4</v>
      </c>
      <c r="O139" s="371">
        <v>0.5</v>
      </c>
      <c r="P139" s="371">
        <v>0.7</v>
      </c>
      <c r="Q139" s="371">
        <v>0.8</v>
      </c>
      <c r="R139" s="371">
        <v>0.9</v>
      </c>
      <c r="S139" s="371">
        <v>1</v>
      </c>
      <c r="T139" s="371">
        <v>1.1000000000000001</v>
      </c>
      <c r="U139" s="371">
        <v>1.24</v>
      </c>
      <c r="V139" s="371">
        <v>1.3</v>
      </c>
      <c r="W139" s="371">
        <v>1.5</v>
      </c>
      <c r="X139" s="371">
        <v>2</v>
      </c>
      <c r="Y139" s="381">
        <v>1000</v>
      </c>
    </row>
    <row r="140" spans="1:26" x14ac:dyDescent="0.2">
      <c r="A140" s="378" t="s">
        <v>34</v>
      </c>
      <c r="B140" s="372">
        <v>0</v>
      </c>
      <c r="C140" s="373">
        <v>12</v>
      </c>
      <c r="D140" s="373">
        <v>41</v>
      </c>
      <c r="E140" s="373">
        <v>42</v>
      </c>
      <c r="F140" s="373">
        <v>42</v>
      </c>
      <c r="G140" s="373">
        <v>40</v>
      </c>
      <c r="H140" s="373">
        <v>34</v>
      </c>
      <c r="I140" s="373">
        <v>34</v>
      </c>
      <c r="J140" s="373">
        <v>35</v>
      </c>
      <c r="K140" s="373">
        <v>36</v>
      </c>
      <c r="L140" s="373">
        <v>40</v>
      </c>
      <c r="M140" s="373">
        <v>42</v>
      </c>
      <c r="N140" s="373">
        <v>43</v>
      </c>
      <c r="O140" s="373">
        <v>43</v>
      </c>
      <c r="P140" s="373">
        <v>43</v>
      </c>
      <c r="Q140" s="373">
        <v>42</v>
      </c>
      <c r="R140" s="373">
        <v>41</v>
      </c>
      <c r="S140" s="373">
        <v>40</v>
      </c>
      <c r="T140" s="373">
        <v>38</v>
      </c>
      <c r="U140" s="373">
        <v>37</v>
      </c>
      <c r="V140" s="373">
        <v>12</v>
      </c>
      <c r="W140" s="373">
        <v>0</v>
      </c>
      <c r="X140" s="373">
        <v>0</v>
      </c>
      <c r="Y140" s="382">
        <v>0</v>
      </c>
    </row>
    <row r="141" spans="1:26" ht="13.5" thickBot="1" x14ac:dyDescent="0.25">
      <c r="A141" s="379" t="s">
        <v>116</v>
      </c>
      <c r="B141" s="374">
        <f t="shared" ref="B141:X141" si="31">(C140+B140)*(C139-B139)/2</f>
        <v>0.06</v>
      </c>
      <c r="C141" s="375">
        <f t="shared" si="31"/>
        <v>0.52999999999999992</v>
      </c>
      <c r="D141" s="375">
        <f t="shared" si="31"/>
        <v>0.41500000000000009</v>
      </c>
      <c r="E141" s="375">
        <f t="shared" si="31"/>
        <v>0.4200000000000001</v>
      </c>
      <c r="F141" s="375">
        <f t="shared" si="31"/>
        <v>0.40999999999999981</v>
      </c>
      <c r="G141" s="375">
        <f t="shared" si="31"/>
        <v>0.37000000000000033</v>
      </c>
      <c r="H141" s="375">
        <f t="shared" si="31"/>
        <v>0.33999999999999986</v>
      </c>
      <c r="I141" s="375">
        <f t="shared" si="31"/>
        <v>0.34499999999999981</v>
      </c>
      <c r="J141" s="375">
        <f t="shared" si="31"/>
        <v>0.35500000000000032</v>
      </c>
      <c r="K141" s="375">
        <f t="shared" si="31"/>
        <v>3.8000000000000003</v>
      </c>
      <c r="L141" s="375">
        <f t="shared" si="31"/>
        <v>4.0999999999999988</v>
      </c>
      <c r="M141" s="375">
        <f t="shared" si="31"/>
        <v>4.2500000000000018</v>
      </c>
      <c r="N141" s="375">
        <f t="shared" si="31"/>
        <v>4.2999999999999989</v>
      </c>
      <c r="O141" s="375">
        <f t="shared" si="31"/>
        <v>8.5999999999999979</v>
      </c>
      <c r="P141" s="375">
        <f t="shared" si="31"/>
        <v>4.2500000000000036</v>
      </c>
      <c r="Q141" s="375">
        <f t="shared" si="31"/>
        <v>4.1499999999999995</v>
      </c>
      <c r="R141" s="375">
        <f t="shared" si="31"/>
        <v>4.0499999999999989</v>
      </c>
      <c r="S141" s="375">
        <f t="shared" si="31"/>
        <v>3.9000000000000035</v>
      </c>
      <c r="T141" s="375">
        <f t="shared" si="31"/>
        <v>5.2499999999999964</v>
      </c>
      <c r="U141" s="375">
        <f t="shared" si="31"/>
        <v>1.4700000000000013</v>
      </c>
      <c r="V141" s="375">
        <f t="shared" si="31"/>
        <v>1.1999999999999997</v>
      </c>
      <c r="W141" s="375">
        <f t="shared" si="31"/>
        <v>0</v>
      </c>
      <c r="X141" s="375">
        <f t="shared" si="31"/>
        <v>0</v>
      </c>
      <c r="Y141" s="369"/>
    </row>
    <row r="142" spans="1:26" ht="13.5" thickBot="1" x14ac:dyDescent="0.25">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row>
    <row r="143" spans="1:26" ht="13.5" thickBot="1" x14ac:dyDescent="0.25">
      <c r="A143" s="361" t="s">
        <v>383</v>
      </c>
      <c r="B143" s="359">
        <f>ROW(A143)</f>
        <v>143</v>
      </c>
      <c r="C143" s="363" t="s">
        <v>115</v>
      </c>
      <c r="D143" s="353">
        <f>SUM(B146:Y146)</f>
        <v>54.110016122119539</v>
      </c>
      <c r="E143" s="363" t="s">
        <v>114</v>
      </c>
      <c r="F143" s="354">
        <f>D143/g/J143</f>
        <v>146.69685764124625</v>
      </c>
      <c r="G143" s="363" t="s">
        <v>56</v>
      </c>
      <c r="H143" s="64">
        <v>0.10580000000000001</v>
      </c>
      <c r="I143" s="363" t="s">
        <v>271</v>
      </c>
      <c r="J143" s="355">
        <f>H143-L143</f>
        <v>3.7600000000000008E-2</v>
      </c>
      <c r="K143" s="363" t="s">
        <v>272</v>
      </c>
      <c r="L143" s="64">
        <v>6.8199999999999997E-2</v>
      </c>
      <c r="M143" s="363" t="s">
        <v>57</v>
      </c>
      <c r="N143" s="65">
        <v>49</v>
      </c>
      <c r="O143" s="363" t="s">
        <v>59</v>
      </c>
      <c r="P143" s="65">
        <v>49</v>
      </c>
      <c r="Q143" s="363" t="s">
        <v>60</v>
      </c>
      <c r="R143" s="65">
        <v>98</v>
      </c>
      <c r="S143" s="363" t="s">
        <v>61</v>
      </c>
      <c r="T143" s="65">
        <v>29</v>
      </c>
      <c r="U143" s="363" t="s">
        <v>54</v>
      </c>
      <c r="V143" s="66" t="s">
        <v>399</v>
      </c>
      <c r="W143" s="463" t="s">
        <v>394</v>
      </c>
      <c r="X143" s="465">
        <v>1.9</v>
      </c>
      <c r="Y143" s="463" t="s">
        <v>393</v>
      </c>
      <c r="Z143" s="358">
        <v>12</v>
      </c>
    </row>
    <row r="144" spans="1:26" x14ac:dyDescent="0.2">
      <c r="A144" s="362" t="s">
        <v>33</v>
      </c>
      <c r="B144" s="370">
        <v>0</v>
      </c>
      <c r="C144" s="371">
        <v>2.5000000000000001E-2</v>
      </c>
      <c r="D144" s="371">
        <v>0.05</v>
      </c>
      <c r="E144" s="371">
        <v>7.4999999999999997E-2</v>
      </c>
      <c r="F144" s="371">
        <v>0.1</v>
      </c>
      <c r="G144" s="371">
        <v>0.15</v>
      </c>
      <c r="H144" s="371">
        <v>0.17499999999999999</v>
      </c>
      <c r="I144" s="371">
        <v>0.2</v>
      </c>
      <c r="J144" s="371">
        <v>0.3</v>
      </c>
      <c r="K144" s="371">
        <v>0.4</v>
      </c>
      <c r="L144" s="371">
        <v>0.5</v>
      </c>
      <c r="M144" s="371">
        <v>0.6</v>
      </c>
      <c r="N144" s="371">
        <v>0.7</v>
      </c>
      <c r="O144" s="371">
        <v>0.8</v>
      </c>
      <c r="P144" s="371">
        <v>0.9</v>
      </c>
      <c r="Q144" s="371">
        <v>1.1000000000000001</v>
      </c>
      <c r="R144" s="371">
        <v>1.2</v>
      </c>
      <c r="S144" s="371">
        <v>1.6</v>
      </c>
      <c r="T144" s="371">
        <v>1.7</v>
      </c>
      <c r="U144" s="371">
        <v>1.8</v>
      </c>
      <c r="V144" s="371">
        <v>1.9</v>
      </c>
      <c r="W144" s="371">
        <v>1.9999</v>
      </c>
      <c r="X144" s="371">
        <v>2</v>
      </c>
      <c r="Y144" s="381">
        <v>1000</v>
      </c>
    </row>
    <row r="145" spans="1:26" x14ac:dyDescent="0.2">
      <c r="A145" s="378" t="s">
        <v>34</v>
      </c>
      <c r="B145" s="372">
        <v>0</v>
      </c>
      <c r="C145" s="376">
        <v>15.2574001848975</v>
      </c>
      <c r="D145" s="376">
        <v>26.377954255522496</v>
      </c>
      <c r="E145" s="376">
        <v>21.484910464447498</v>
      </c>
      <c r="F145" s="376">
        <v>24.020396792549999</v>
      </c>
      <c r="G145" s="376">
        <v>28.11276069054</v>
      </c>
      <c r="H145" s="376">
        <v>28.691029502212498</v>
      </c>
      <c r="I145" s="376">
        <v>29.180333881319996</v>
      </c>
      <c r="J145" s="376">
        <v>31.493409128009997</v>
      </c>
      <c r="K145" s="376">
        <v>32.560982318789996</v>
      </c>
      <c r="L145" s="376">
        <v>32.827875616484995</v>
      </c>
      <c r="M145" s="376">
        <v>32.649946751354996</v>
      </c>
      <c r="N145" s="376">
        <v>32.383053453659997</v>
      </c>
      <c r="O145" s="376">
        <v>32.249606804812501</v>
      </c>
      <c r="P145" s="376">
        <v>31.804784641987499</v>
      </c>
      <c r="Q145" s="376">
        <v>30.559282586077497</v>
      </c>
      <c r="R145" s="376">
        <v>30.069978206969999</v>
      </c>
      <c r="S145" s="376">
        <v>26.377954255522496</v>
      </c>
      <c r="T145" s="376">
        <v>24.865558901917499</v>
      </c>
      <c r="U145" s="376">
        <v>18.4601197572375</v>
      </c>
      <c r="V145" s="376">
        <v>7.5174945517424998</v>
      </c>
      <c r="W145" s="376">
        <v>1.3789487047575</v>
      </c>
      <c r="X145" s="373">
        <v>0</v>
      </c>
      <c r="Y145" s="382">
        <v>0</v>
      </c>
    </row>
    <row r="146" spans="1:26" ht="13.5" thickBot="1" x14ac:dyDescent="0.25">
      <c r="A146" s="379" t="s">
        <v>116</v>
      </c>
      <c r="B146" s="374">
        <f t="shared" ref="B146:V146" si="32">(C145+B145)*(C144-B144)/2</f>
        <v>0.19071750231121876</v>
      </c>
      <c r="C146" s="375">
        <f t="shared" si="32"/>
        <v>0.52044193050525001</v>
      </c>
      <c r="D146" s="375">
        <f t="shared" si="32"/>
        <v>0.5982858089996248</v>
      </c>
      <c r="E146" s="375">
        <f t="shared" si="32"/>
        <v>0.56881634071246889</v>
      </c>
      <c r="F146" s="375">
        <f t="shared" si="32"/>
        <v>1.3033289370772498</v>
      </c>
      <c r="G146" s="375">
        <f t="shared" si="32"/>
        <v>0.71004737740940616</v>
      </c>
      <c r="H146" s="375">
        <f t="shared" si="32"/>
        <v>0.72339204229415688</v>
      </c>
      <c r="I146" s="375">
        <f t="shared" si="32"/>
        <v>3.0336871504664993</v>
      </c>
      <c r="J146" s="375">
        <f>(K145+J145)*(K144-J144)/2</f>
        <v>3.2027195723400008</v>
      </c>
      <c r="K146" s="375">
        <f t="shared" si="32"/>
        <v>3.2694428967637483</v>
      </c>
      <c r="L146" s="375">
        <f t="shared" si="32"/>
        <v>3.2738911183919988</v>
      </c>
      <c r="M146" s="375">
        <f t="shared" si="32"/>
        <v>3.2516500102507484</v>
      </c>
      <c r="N146" s="375">
        <f t="shared" si="32"/>
        <v>3.2316330129236279</v>
      </c>
      <c r="O146" s="375">
        <f t="shared" si="32"/>
        <v>3.202719572339999</v>
      </c>
      <c r="P146" s="375">
        <f t="shared" si="32"/>
        <v>6.2364067228065014</v>
      </c>
      <c r="Q146" s="375">
        <f t="shared" si="32"/>
        <v>3.0314630396523707</v>
      </c>
      <c r="R146" s="375">
        <f t="shared" si="32"/>
        <v>11.289586492498502</v>
      </c>
      <c r="S146" s="375">
        <f>(T145+S145)*(T144-S144)/2</f>
        <v>2.5621756578719963</v>
      </c>
      <c r="T146" s="375">
        <f t="shared" si="32"/>
        <v>2.1662839329577519</v>
      </c>
      <c r="U146" s="375">
        <f t="shared" si="32"/>
        <v>1.2988807154489983</v>
      </c>
      <c r="V146" s="375">
        <f t="shared" si="32"/>
        <v>0.44437734066217544</v>
      </c>
      <c r="W146" s="375">
        <f>(X145+W145)*(X144-W144)/2</f>
        <v>6.894743523786741E-5</v>
      </c>
      <c r="X146" s="375">
        <f>(Y145+X145)*(Y144-X144)/2</f>
        <v>0</v>
      </c>
      <c r="Y146" s="369"/>
    </row>
    <row r="147" spans="1:26" ht="13.5" thickBot="1" x14ac:dyDescent="0.25">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row>
    <row r="148" spans="1:26" ht="13.5" thickBot="1" x14ac:dyDescent="0.25">
      <c r="A148" s="361" t="s">
        <v>544</v>
      </c>
      <c r="B148" s="359">
        <f>ROW(A148)</f>
        <v>148</v>
      </c>
      <c r="C148" s="363" t="s">
        <v>115</v>
      </c>
      <c r="D148" s="353">
        <f>SUM(B151:Y151)</f>
        <v>55.589492</v>
      </c>
      <c r="E148" s="363" t="s">
        <v>114</v>
      </c>
      <c r="F148" s="354">
        <f>D148/g/J148</f>
        <v>177.08171508664634</v>
      </c>
      <c r="G148" s="363" t="s">
        <v>56</v>
      </c>
      <c r="H148" s="64">
        <v>0.10199999999999999</v>
      </c>
      <c r="I148" s="363" t="s">
        <v>271</v>
      </c>
      <c r="J148" s="355">
        <f>H148-L148</f>
        <v>3.1999999999999987E-2</v>
      </c>
      <c r="K148" s="363" t="s">
        <v>272</v>
      </c>
      <c r="L148" s="64">
        <v>7.0000000000000007E-2</v>
      </c>
      <c r="M148" s="363" t="s">
        <v>57</v>
      </c>
      <c r="N148" s="65">
        <v>49</v>
      </c>
      <c r="O148" s="363" t="s">
        <v>59</v>
      </c>
      <c r="P148" s="65">
        <v>49</v>
      </c>
      <c r="Q148" s="363" t="s">
        <v>60</v>
      </c>
      <c r="R148" s="65">
        <v>98</v>
      </c>
      <c r="S148" s="363" t="s">
        <v>61</v>
      </c>
      <c r="T148" s="65">
        <v>29</v>
      </c>
      <c r="U148" s="363" t="s">
        <v>54</v>
      </c>
      <c r="V148" s="66" t="s">
        <v>400</v>
      </c>
      <c r="W148" s="463" t="s">
        <v>394</v>
      </c>
      <c r="X148" s="465">
        <v>0.45</v>
      </c>
      <c r="Y148" s="463" t="s">
        <v>393</v>
      </c>
      <c r="Z148" s="358">
        <v>12</v>
      </c>
    </row>
    <row r="149" spans="1:26" x14ac:dyDescent="0.2">
      <c r="A149" s="362" t="s">
        <v>33</v>
      </c>
      <c r="B149" s="370">
        <v>0</v>
      </c>
      <c r="C149" s="371">
        <v>1E-3</v>
      </c>
      <c r="D149" s="371">
        <v>2.3E-2</v>
      </c>
      <c r="E149" s="371">
        <v>0.05</v>
      </c>
      <c r="F149" s="371">
        <v>5.8999999999999997E-2</v>
      </c>
      <c r="G149" s="371">
        <v>9.5000000000000001E-2</v>
      </c>
      <c r="H149" s="371">
        <v>0.21199999999999999</v>
      </c>
      <c r="I149" s="371">
        <v>0.34399999999999997</v>
      </c>
      <c r="J149" s="371">
        <v>1.5669999999999999</v>
      </c>
      <c r="K149" s="371">
        <v>1.631</v>
      </c>
      <c r="L149" s="371">
        <v>1.663</v>
      </c>
      <c r="M149" s="371">
        <v>1.7849999999999999</v>
      </c>
      <c r="N149" s="371">
        <v>1.8280000000000001</v>
      </c>
      <c r="O149" s="371">
        <v>2</v>
      </c>
      <c r="P149" s="371">
        <v>2</v>
      </c>
      <c r="Q149" s="371">
        <v>2</v>
      </c>
      <c r="R149" s="371">
        <v>2</v>
      </c>
      <c r="S149" s="371">
        <v>2</v>
      </c>
      <c r="T149" s="371">
        <v>2</v>
      </c>
      <c r="U149" s="371">
        <v>2</v>
      </c>
      <c r="V149" s="371">
        <v>2</v>
      </c>
      <c r="W149" s="371">
        <v>2</v>
      </c>
      <c r="X149" s="371">
        <v>2</v>
      </c>
      <c r="Y149" s="381">
        <v>1000</v>
      </c>
    </row>
    <row r="150" spans="1:26" x14ac:dyDescent="0.2">
      <c r="A150" s="378" t="s">
        <v>34</v>
      </c>
      <c r="B150" s="372">
        <v>0</v>
      </c>
      <c r="C150" s="373">
        <v>3.4830000000000001</v>
      </c>
      <c r="D150" s="373">
        <v>64.052999999999997</v>
      </c>
      <c r="E150" s="373">
        <v>31.347000000000001</v>
      </c>
      <c r="F150" s="373">
        <v>28.459</v>
      </c>
      <c r="G150" s="373">
        <v>32.027000000000001</v>
      </c>
      <c r="H150" s="373">
        <v>36.189</v>
      </c>
      <c r="I150" s="373">
        <v>37.548999999999999</v>
      </c>
      <c r="J150" s="373">
        <v>26.164999999999999</v>
      </c>
      <c r="K150" s="373">
        <v>26.93</v>
      </c>
      <c r="L150" s="373">
        <v>25.315999999999999</v>
      </c>
      <c r="M150" s="373">
        <v>3.653</v>
      </c>
      <c r="N150" s="373">
        <v>0</v>
      </c>
      <c r="O150" s="373">
        <v>0</v>
      </c>
      <c r="P150" s="373">
        <v>0</v>
      </c>
      <c r="Q150" s="373">
        <v>0</v>
      </c>
      <c r="R150" s="373">
        <v>0</v>
      </c>
      <c r="S150" s="373">
        <v>0</v>
      </c>
      <c r="T150" s="373">
        <v>0</v>
      </c>
      <c r="U150" s="373">
        <v>0</v>
      </c>
      <c r="V150" s="373">
        <v>0</v>
      </c>
      <c r="W150" s="373">
        <v>0</v>
      </c>
      <c r="X150" s="373">
        <v>0</v>
      </c>
      <c r="Y150" s="382">
        <v>0</v>
      </c>
    </row>
    <row r="151" spans="1:26" ht="13.5" thickBot="1" x14ac:dyDescent="0.25">
      <c r="A151" s="379" t="s">
        <v>116</v>
      </c>
      <c r="B151" s="374">
        <f t="shared" ref="B151" si="33">(C150+B150)*(C149-B149)/2</f>
        <v>1.7415E-3</v>
      </c>
      <c r="C151" s="375">
        <f t="shared" ref="C151" si="34">(D150+C150)*(D149-C149)/2</f>
        <v>0.742896</v>
      </c>
      <c r="D151" s="375">
        <f t="shared" ref="D151" si="35">(E150+D150)*(E149-D149)/2</f>
        <v>1.2879000000000003</v>
      </c>
      <c r="E151" s="375">
        <f t="shared" ref="E151" si="36">(F150+E150)*(F149-E149)/2</f>
        <v>0.26912699999999984</v>
      </c>
      <c r="F151" s="375">
        <f t="shared" ref="F151" si="37">(G150+F150)*(G149-F149)/2</f>
        <v>1.0887480000000003</v>
      </c>
      <c r="G151" s="375">
        <f t="shared" ref="G151" si="38">(H150+G150)*(H149-G149)/2</f>
        <v>3.9906360000000003</v>
      </c>
      <c r="H151" s="375">
        <f t="shared" ref="H151" si="39">(I150+H150)*(I149-H149)/2</f>
        <v>4.8667079999999991</v>
      </c>
      <c r="I151" s="375">
        <f t="shared" ref="I151" si="40">(J150+I150)*(J149-I149)/2</f>
        <v>38.961110999999995</v>
      </c>
      <c r="J151" s="375">
        <f t="shared" ref="J151" si="41">(K150+J150)*(K149-J149)/2</f>
        <v>1.6990400000000014</v>
      </c>
      <c r="K151" s="375">
        <f t="shared" ref="K151" si="42">(L150+K150)*(L149-K149)/2</f>
        <v>0.83593600000000068</v>
      </c>
      <c r="L151" s="375">
        <f t="shared" ref="L151" si="43">(M150+L150)*(M149-L149)/2</f>
        <v>1.7671089999999983</v>
      </c>
      <c r="M151" s="375">
        <f t="shared" ref="M151" si="44">(N150+M150)*(N149-M149)/2</f>
        <v>7.8539500000000276E-2</v>
      </c>
      <c r="N151" s="375">
        <f t="shared" ref="N151" si="45">(O150+N150)*(O149-N149)/2</f>
        <v>0</v>
      </c>
      <c r="O151" s="375">
        <f t="shared" ref="O151" si="46">(P150+O150)*(P149-O149)/2</f>
        <v>0</v>
      </c>
      <c r="P151" s="375">
        <f t="shared" ref="P151" si="47">(Q150+P150)*(Q149-P149)/2</f>
        <v>0</v>
      </c>
      <c r="Q151" s="375">
        <f t="shared" ref="Q151" si="48">(R150+Q150)*(R149-Q149)/2</f>
        <v>0</v>
      </c>
      <c r="R151" s="375">
        <f t="shared" ref="R151" si="49">(S150+R150)*(S149-R149)/2</f>
        <v>0</v>
      </c>
      <c r="S151" s="375">
        <f t="shared" ref="S151" si="50">(T150+S150)*(T149-S149)/2</f>
        <v>0</v>
      </c>
      <c r="T151" s="375">
        <f t="shared" ref="T151" si="51">(U150+T150)*(U149-T149)/2</f>
        <v>0</v>
      </c>
      <c r="U151" s="375">
        <f t="shared" ref="U151" si="52">(V150+U150)*(V149-U149)/2</f>
        <v>0</v>
      </c>
      <c r="V151" s="375">
        <f t="shared" ref="V151" si="53">(W150+V150)*(W149-V149)/2</f>
        <v>0</v>
      </c>
      <c r="W151" s="375">
        <f t="shared" ref="W151" si="54">(X150+W150)*(X149-W149)/2</f>
        <v>0</v>
      </c>
      <c r="X151" s="375">
        <f t="shared" ref="X151" si="55">(Y150+X150)*(Y149-X149)/2</f>
        <v>0</v>
      </c>
      <c r="Y151" s="369"/>
    </row>
    <row r="152" spans="1:26" ht="13.5" thickBot="1" x14ac:dyDescent="0.25">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row>
    <row r="153" spans="1:26" ht="13.5" thickBot="1" x14ac:dyDescent="0.25">
      <c r="A153" s="361" t="s">
        <v>384</v>
      </c>
      <c r="B153" s="359">
        <f>ROW(A153)</f>
        <v>153</v>
      </c>
      <c r="C153" s="363" t="s">
        <v>115</v>
      </c>
      <c r="D153" s="353">
        <f>SUM(B156:Y156)</f>
        <v>55.705884500000003</v>
      </c>
      <c r="E153" s="363" t="s">
        <v>114</v>
      </c>
      <c r="F153" s="354">
        <f>D153/g/J153</f>
        <v>180.84329814241278</v>
      </c>
      <c r="G153" s="363" t="s">
        <v>56</v>
      </c>
      <c r="H153" s="64">
        <v>0.1062</v>
      </c>
      <c r="I153" s="363" t="s">
        <v>271</v>
      </c>
      <c r="J153" s="355">
        <f>H153-L153</f>
        <v>3.1400000000000011E-2</v>
      </c>
      <c r="K153" s="363" t="s">
        <v>272</v>
      </c>
      <c r="L153" s="64">
        <v>7.4799999999999991E-2</v>
      </c>
      <c r="M153" s="363" t="s">
        <v>57</v>
      </c>
      <c r="N153" s="65">
        <v>49</v>
      </c>
      <c r="O153" s="363" t="s">
        <v>59</v>
      </c>
      <c r="P153" s="65">
        <v>49</v>
      </c>
      <c r="Q153" s="363" t="s">
        <v>60</v>
      </c>
      <c r="R153" s="65">
        <v>98</v>
      </c>
      <c r="S153" s="363" t="s">
        <v>61</v>
      </c>
      <c r="T153" s="65">
        <v>29</v>
      </c>
      <c r="U153" s="363" t="s">
        <v>54</v>
      </c>
      <c r="V153" s="66" t="s">
        <v>400</v>
      </c>
      <c r="W153" s="463" t="s">
        <v>394</v>
      </c>
      <c r="X153" s="465">
        <v>0.45</v>
      </c>
      <c r="Y153" s="463" t="s">
        <v>393</v>
      </c>
      <c r="Z153" s="358">
        <v>14</v>
      </c>
    </row>
    <row r="154" spans="1:26" x14ac:dyDescent="0.2">
      <c r="A154" s="362" t="s">
        <v>33</v>
      </c>
      <c r="B154" s="370">
        <v>0</v>
      </c>
      <c r="C154" s="371">
        <v>1.2999999999999999E-2</v>
      </c>
      <c r="D154" s="371">
        <v>1.7000000000000001E-2</v>
      </c>
      <c r="E154" s="371">
        <v>0.04</v>
      </c>
      <c r="F154" s="371">
        <v>0.125</v>
      </c>
      <c r="G154" s="371">
        <v>0.17899999999999999</v>
      </c>
      <c r="H154" s="371">
        <v>0.222</v>
      </c>
      <c r="I154" s="371">
        <v>0.28899999999999998</v>
      </c>
      <c r="J154" s="371">
        <v>0.35399999999999998</v>
      </c>
      <c r="K154" s="371">
        <v>0.39400000000000002</v>
      </c>
      <c r="L154" s="371">
        <v>0.40600000000000003</v>
      </c>
      <c r="M154" s="371">
        <v>0.41599999999999998</v>
      </c>
      <c r="N154" s="371">
        <v>0.42299999999999999</v>
      </c>
      <c r="O154" s="371">
        <v>0.43099999999999999</v>
      </c>
      <c r="P154" s="371">
        <v>0.44700000000000001</v>
      </c>
      <c r="Q154" s="371">
        <v>0.45300000000000001</v>
      </c>
      <c r="R154" s="371">
        <v>0.45500000000000002</v>
      </c>
      <c r="S154" s="371">
        <v>0.45500000000000002</v>
      </c>
      <c r="T154" s="371">
        <v>0.45500000000000002</v>
      </c>
      <c r="U154" s="371">
        <v>0.45500000000000002</v>
      </c>
      <c r="V154" s="371">
        <v>0.45500000000000002</v>
      </c>
      <c r="W154" s="371">
        <v>0.45500000000000002</v>
      </c>
      <c r="X154" s="371">
        <v>2</v>
      </c>
      <c r="Y154" s="381">
        <v>1000</v>
      </c>
    </row>
    <row r="155" spans="1:26" x14ac:dyDescent="0.2">
      <c r="A155" s="378" t="s">
        <v>34</v>
      </c>
      <c r="B155" s="372">
        <v>0</v>
      </c>
      <c r="C155" s="373">
        <v>79.242000000000004</v>
      </c>
      <c r="D155" s="373">
        <v>90.427000000000007</v>
      </c>
      <c r="E155" s="373">
        <v>101.422</v>
      </c>
      <c r="F155" s="373">
        <v>127.583</v>
      </c>
      <c r="G155" s="373">
        <v>136.114</v>
      </c>
      <c r="H155" s="373">
        <v>139.905</v>
      </c>
      <c r="I155" s="373">
        <v>143.50700000000001</v>
      </c>
      <c r="J155" s="373">
        <v>138.578</v>
      </c>
      <c r="K155" s="373">
        <v>125.498</v>
      </c>
      <c r="L155" s="373">
        <v>123.602</v>
      </c>
      <c r="M155" s="373">
        <v>125.11799999999999</v>
      </c>
      <c r="N155" s="373">
        <v>130.047</v>
      </c>
      <c r="O155" s="373">
        <v>120.569</v>
      </c>
      <c r="P155" s="373">
        <v>25.591999999999999</v>
      </c>
      <c r="Q155" s="373">
        <v>8.7200000000000006</v>
      </c>
      <c r="R155" s="373">
        <v>0</v>
      </c>
      <c r="S155" s="373">
        <v>0</v>
      </c>
      <c r="T155" s="373">
        <v>0</v>
      </c>
      <c r="U155" s="373">
        <v>0</v>
      </c>
      <c r="V155" s="373">
        <v>0</v>
      </c>
      <c r="W155" s="373">
        <v>0</v>
      </c>
      <c r="X155" s="373">
        <v>0</v>
      </c>
      <c r="Y155" s="382">
        <v>0</v>
      </c>
    </row>
    <row r="156" spans="1:26" ht="13.5" thickBot="1" x14ac:dyDescent="0.25">
      <c r="A156" s="379" t="s">
        <v>116</v>
      </c>
      <c r="B156" s="374">
        <f t="shared" ref="B156:X156" si="56">(C155+B155)*(C154-B154)/2</f>
        <v>0.515073</v>
      </c>
      <c r="C156" s="375">
        <f t="shared" si="56"/>
        <v>0.3393380000000002</v>
      </c>
      <c r="D156" s="375">
        <f t="shared" si="56"/>
        <v>2.2062634999999999</v>
      </c>
      <c r="E156" s="375">
        <f t="shared" si="56"/>
        <v>9.7327124999999981</v>
      </c>
      <c r="F156" s="375">
        <f t="shared" si="56"/>
        <v>7.1198189999999988</v>
      </c>
      <c r="G156" s="375">
        <f t="shared" si="56"/>
        <v>5.9344085000000018</v>
      </c>
      <c r="H156" s="375">
        <f t="shared" si="56"/>
        <v>9.4943019999999976</v>
      </c>
      <c r="I156" s="375">
        <f t="shared" si="56"/>
        <v>9.167762500000002</v>
      </c>
      <c r="J156" s="375">
        <f t="shared" si="56"/>
        <v>5.2815200000000049</v>
      </c>
      <c r="K156" s="375">
        <f t="shared" si="56"/>
        <v>1.4946000000000015</v>
      </c>
      <c r="L156" s="375">
        <f t="shared" si="56"/>
        <v>1.2435999999999943</v>
      </c>
      <c r="M156" s="375">
        <f t="shared" si="56"/>
        <v>0.89307750000000075</v>
      </c>
      <c r="N156" s="375">
        <f t="shared" si="56"/>
        <v>1.0024640000000009</v>
      </c>
      <c r="O156" s="375">
        <f t="shared" si="56"/>
        <v>1.169288000000001</v>
      </c>
      <c r="P156" s="375">
        <f t="shared" si="56"/>
        <v>0.10293600000000008</v>
      </c>
      <c r="Q156" s="375">
        <f t="shared" si="56"/>
        <v>8.720000000000009E-3</v>
      </c>
      <c r="R156" s="375">
        <f t="shared" si="56"/>
        <v>0</v>
      </c>
      <c r="S156" s="375">
        <f t="shared" si="56"/>
        <v>0</v>
      </c>
      <c r="T156" s="375">
        <f t="shared" si="56"/>
        <v>0</v>
      </c>
      <c r="U156" s="375">
        <f t="shared" si="56"/>
        <v>0</v>
      </c>
      <c r="V156" s="375">
        <f t="shared" si="56"/>
        <v>0</v>
      </c>
      <c r="W156" s="375">
        <f t="shared" si="56"/>
        <v>0</v>
      </c>
      <c r="X156" s="375">
        <f t="shared" si="56"/>
        <v>0</v>
      </c>
      <c r="Y156" s="369"/>
    </row>
    <row r="157" spans="1:26" ht="13.5" thickBot="1" x14ac:dyDescent="0.25">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row>
    <row r="158" spans="1:26" ht="13.5" thickBot="1" x14ac:dyDescent="0.25">
      <c r="A158" s="361" t="s">
        <v>385</v>
      </c>
      <c r="B158" s="359">
        <f>ROW(A158)</f>
        <v>158</v>
      </c>
      <c r="C158" s="363" t="s">
        <v>115</v>
      </c>
      <c r="D158" s="353">
        <f>SUM(B161:Y161)</f>
        <v>57.190000000000005</v>
      </c>
      <c r="E158" s="363" t="s">
        <v>114</v>
      </c>
      <c r="F158" s="354">
        <f>D158/g/J158</f>
        <v>188.05695307618953</v>
      </c>
      <c r="G158" s="363" t="s">
        <v>56</v>
      </c>
      <c r="H158" s="64">
        <v>9.9000000000000005E-2</v>
      </c>
      <c r="I158" s="363" t="s">
        <v>271</v>
      </c>
      <c r="J158" s="355">
        <f>H158-L158</f>
        <v>3.1E-2</v>
      </c>
      <c r="K158" s="363" t="s">
        <v>272</v>
      </c>
      <c r="L158" s="64">
        <v>6.8000000000000005E-2</v>
      </c>
      <c r="M158" s="363" t="s">
        <v>57</v>
      </c>
      <c r="N158" s="65">
        <v>49</v>
      </c>
      <c r="O158" s="363" t="s">
        <v>59</v>
      </c>
      <c r="P158" s="65">
        <v>49</v>
      </c>
      <c r="Q158" s="363" t="s">
        <v>60</v>
      </c>
      <c r="R158" s="65">
        <v>98</v>
      </c>
      <c r="S158" s="363" t="s">
        <v>61</v>
      </c>
      <c r="T158" s="65">
        <v>29</v>
      </c>
      <c r="U158" s="363" t="s">
        <v>54</v>
      </c>
      <c r="V158" s="66" t="s">
        <v>400</v>
      </c>
      <c r="W158" s="463" t="s">
        <v>394</v>
      </c>
      <c r="X158" s="465">
        <v>0.96</v>
      </c>
      <c r="Y158" s="463" t="s">
        <v>393</v>
      </c>
      <c r="Z158" s="358">
        <v>12</v>
      </c>
    </row>
    <row r="159" spans="1:26" x14ac:dyDescent="0.2">
      <c r="A159" s="362" t="s">
        <v>33</v>
      </c>
      <c r="B159" s="370">
        <v>0</v>
      </c>
      <c r="C159" s="371">
        <v>0.01</v>
      </c>
      <c r="D159" s="371">
        <v>0.02</v>
      </c>
      <c r="E159" s="371">
        <v>0.03</v>
      </c>
      <c r="F159" s="371">
        <v>0.04</v>
      </c>
      <c r="G159" s="371">
        <v>7.0000000000000007E-2</v>
      </c>
      <c r="H159" s="371">
        <v>0.1</v>
      </c>
      <c r="I159" s="371">
        <v>0.2</v>
      </c>
      <c r="J159" s="371">
        <v>0.3</v>
      </c>
      <c r="K159" s="371">
        <v>0.4</v>
      </c>
      <c r="L159" s="371">
        <v>0.5</v>
      </c>
      <c r="M159" s="371">
        <v>0.6</v>
      </c>
      <c r="N159" s="371">
        <v>0.7</v>
      </c>
      <c r="O159" s="371">
        <v>0.87</v>
      </c>
      <c r="P159" s="371">
        <v>0.9</v>
      </c>
      <c r="Q159" s="371">
        <v>0.97</v>
      </c>
      <c r="R159" s="371">
        <v>0.97</v>
      </c>
      <c r="S159" s="371">
        <v>0.97</v>
      </c>
      <c r="T159" s="371">
        <v>0.97</v>
      </c>
      <c r="U159" s="371">
        <v>0.97</v>
      </c>
      <c r="V159" s="371">
        <v>0.97</v>
      </c>
      <c r="W159" s="371">
        <v>0.97</v>
      </c>
      <c r="X159" s="371">
        <v>2</v>
      </c>
      <c r="Y159" s="381">
        <v>1000</v>
      </c>
    </row>
    <row r="160" spans="1:26" x14ac:dyDescent="0.2">
      <c r="A160" s="378" t="s">
        <v>34</v>
      </c>
      <c r="B160" s="372">
        <v>0</v>
      </c>
      <c r="C160" s="373">
        <v>16</v>
      </c>
      <c r="D160" s="373">
        <v>62</v>
      </c>
      <c r="E160" s="373">
        <v>67</v>
      </c>
      <c r="F160" s="373">
        <v>71</v>
      </c>
      <c r="G160" s="373">
        <v>58</v>
      </c>
      <c r="H160" s="373">
        <v>63</v>
      </c>
      <c r="I160" s="373">
        <v>67</v>
      </c>
      <c r="J160" s="373">
        <v>69</v>
      </c>
      <c r="K160" s="373">
        <v>67</v>
      </c>
      <c r="L160" s="373">
        <v>65</v>
      </c>
      <c r="M160" s="373">
        <v>63</v>
      </c>
      <c r="N160" s="373">
        <v>61</v>
      </c>
      <c r="O160" s="373">
        <v>60</v>
      </c>
      <c r="P160" s="373">
        <v>23</v>
      </c>
      <c r="Q160" s="373">
        <v>0</v>
      </c>
      <c r="R160" s="373">
        <v>0</v>
      </c>
      <c r="S160" s="373">
        <v>0</v>
      </c>
      <c r="T160" s="373">
        <v>0</v>
      </c>
      <c r="U160" s="373">
        <v>0</v>
      </c>
      <c r="V160" s="373">
        <v>0</v>
      </c>
      <c r="W160" s="373">
        <v>0</v>
      </c>
      <c r="X160" s="373">
        <v>0</v>
      </c>
      <c r="Y160" s="382">
        <v>0</v>
      </c>
    </row>
    <row r="161" spans="1:26" ht="13.5" thickBot="1" x14ac:dyDescent="0.25">
      <c r="A161" s="379" t="s">
        <v>116</v>
      </c>
      <c r="B161" s="374">
        <f t="shared" ref="B161:X161" si="57">(C160+B160)*(C159-B159)/2</f>
        <v>0.08</v>
      </c>
      <c r="C161" s="375">
        <f t="shared" si="57"/>
        <v>0.39</v>
      </c>
      <c r="D161" s="375">
        <f t="shared" si="57"/>
        <v>0.64499999999999991</v>
      </c>
      <c r="E161" s="375">
        <f t="shared" si="57"/>
        <v>0.69000000000000017</v>
      </c>
      <c r="F161" s="375">
        <f t="shared" si="57"/>
        <v>1.9350000000000003</v>
      </c>
      <c r="G161" s="375">
        <f t="shared" si="57"/>
        <v>1.8149999999999999</v>
      </c>
      <c r="H161" s="375">
        <f t="shared" si="57"/>
        <v>6.5</v>
      </c>
      <c r="I161" s="375">
        <f t="shared" si="57"/>
        <v>6.7999999999999989</v>
      </c>
      <c r="J161" s="375">
        <f t="shared" si="57"/>
        <v>6.8000000000000025</v>
      </c>
      <c r="K161" s="375">
        <f t="shared" si="57"/>
        <v>6.5999999999999988</v>
      </c>
      <c r="L161" s="375">
        <f t="shared" si="57"/>
        <v>6.3999999999999986</v>
      </c>
      <c r="M161" s="375">
        <f t="shared" si="57"/>
        <v>6.1999999999999984</v>
      </c>
      <c r="N161" s="375">
        <f t="shared" si="57"/>
        <v>10.285000000000002</v>
      </c>
      <c r="O161" s="375">
        <f t="shared" si="57"/>
        <v>1.245000000000001</v>
      </c>
      <c r="P161" s="375">
        <f t="shared" si="57"/>
        <v>0.80499999999999949</v>
      </c>
      <c r="Q161" s="375">
        <f t="shared" si="57"/>
        <v>0</v>
      </c>
      <c r="R161" s="375">
        <f t="shared" si="57"/>
        <v>0</v>
      </c>
      <c r="S161" s="375">
        <f t="shared" si="57"/>
        <v>0</v>
      </c>
      <c r="T161" s="375">
        <f t="shared" si="57"/>
        <v>0</v>
      </c>
      <c r="U161" s="375">
        <f t="shared" si="57"/>
        <v>0</v>
      </c>
      <c r="V161" s="375">
        <f t="shared" si="57"/>
        <v>0</v>
      </c>
      <c r="W161" s="375">
        <f t="shared" si="57"/>
        <v>0</v>
      </c>
      <c r="X161" s="375">
        <f t="shared" si="57"/>
        <v>0</v>
      </c>
      <c r="Y161" s="369"/>
    </row>
    <row r="162" spans="1:26" ht="13.5" thickBot="1" x14ac:dyDescent="0.25">
      <c r="A162" s="6" t="s">
        <v>315</v>
      </c>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row>
    <row r="163" spans="1:26" ht="13.5" thickBot="1" x14ac:dyDescent="0.25">
      <c r="A163" s="361" t="s">
        <v>321</v>
      </c>
      <c r="B163" s="359">
        <f>ROW(A163)</f>
        <v>163</v>
      </c>
      <c r="C163" s="363" t="s">
        <v>115</v>
      </c>
      <c r="D163" s="353">
        <f>SUM(B166:Y166)</f>
        <v>59.702267000000006</v>
      </c>
      <c r="E163" s="363" t="s">
        <v>114</v>
      </c>
      <c r="F163" s="354">
        <f>D163/g/J163</f>
        <v>190.77924771281306</v>
      </c>
      <c r="G163" s="363" t="s">
        <v>56</v>
      </c>
      <c r="H163" s="64">
        <v>9.3899999999999997E-2</v>
      </c>
      <c r="I163" s="363" t="s">
        <v>271</v>
      </c>
      <c r="J163" s="355">
        <f>H163-L163</f>
        <v>3.1899999999999998E-2</v>
      </c>
      <c r="K163" s="363" t="s">
        <v>272</v>
      </c>
      <c r="L163" s="64">
        <f>0.095-0.033</f>
        <v>6.2E-2</v>
      </c>
      <c r="M163" s="363" t="s">
        <v>57</v>
      </c>
      <c r="N163" s="396">
        <v>66.5</v>
      </c>
      <c r="O163" s="363" t="s">
        <v>59</v>
      </c>
      <c r="P163" s="396">
        <v>66.5</v>
      </c>
      <c r="Q163" s="363" t="s">
        <v>60</v>
      </c>
      <c r="R163" s="65">
        <v>133</v>
      </c>
      <c r="S163" s="363" t="s">
        <v>61</v>
      </c>
      <c r="T163" s="65">
        <v>24</v>
      </c>
      <c r="U163" s="363" t="s">
        <v>54</v>
      </c>
      <c r="V163" s="66" t="s">
        <v>399</v>
      </c>
      <c r="W163" s="463" t="s">
        <v>394</v>
      </c>
      <c r="X163" s="465">
        <v>1.2</v>
      </c>
      <c r="Y163" s="463" t="s">
        <v>393</v>
      </c>
      <c r="Z163" s="358">
        <v>13</v>
      </c>
    </row>
    <row r="164" spans="1:26" x14ac:dyDescent="0.2">
      <c r="A164" s="362" t="s">
        <v>33</v>
      </c>
      <c r="B164" s="370">
        <v>0</v>
      </c>
      <c r="C164" s="371">
        <v>1.4999999999999999E-2</v>
      </c>
      <c r="D164" s="371">
        <v>2.1999999999999999E-2</v>
      </c>
      <c r="E164" s="371">
        <v>6.4000000000000001E-2</v>
      </c>
      <c r="F164" s="371">
        <v>0.11799999999999999</v>
      </c>
      <c r="G164" s="371">
        <v>0.34200000000000003</v>
      </c>
      <c r="H164" s="371">
        <v>0.53600000000000003</v>
      </c>
      <c r="I164" s="371">
        <v>0.74299999999999999</v>
      </c>
      <c r="J164" s="371">
        <v>0.88400000000000001</v>
      </c>
      <c r="K164" s="371">
        <v>0.97599999999999998</v>
      </c>
      <c r="L164" s="371">
        <v>1.0960000000000001</v>
      </c>
      <c r="M164" s="371">
        <v>1.246</v>
      </c>
      <c r="N164" s="371">
        <v>1.298</v>
      </c>
      <c r="O164" s="371">
        <v>2</v>
      </c>
      <c r="P164" s="371">
        <v>2</v>
      </c>
      <c r="Q164" s="371">
        <v>2</v>
      </c>
      <c r="R164" s="371">
        <v>2</v>
      </c>
      <c r="S164" s="371">
        <v>2</v>
      </c>
      <c r="T164" s="371">
        <v>2</v>
      </c>
      <c r="U164" s="371">
        <v>2</v>
      </c>
      <c r="V164" s="371">
        <v>2</v>
      </c>
      <c r="W164" s="371">
        <v>2</v>
      </c>
      <c r="X164" s="371">
        <f t="shared" ref="T164:X165" si="58">W164</f>
        <v>2</v>
      </c>
      <c r="Y164" s="381">
        <v>1000</v>
      </c>
    </row>
    <row r="165" spans="1:26" x14ac:dyDescent="0.2">
      <c r="A165" s="378" t="s">
        <v>34</v>
      </c>
      <c r="B165" s="372">
        <v>0</v>
      </c>
      <c r="C165" s="373">
        <v>64.981999999999999</v>
      </c>
      <c r="D165" s="373">
        <v>69.516000000000005</v>
      </c>
      <c r="E165" s="373">
        <v>55.536999999999999</v>
      </c>
      <c r="F165" s="373">
        <v>62.81</v>
      </c>
      <c r="G165" s="373">
        <v>62.149000000000001</v>
      </c>
      <c r="H165" s="373">
        <v>59.41</v>
      </c>
      <c r="I165" s="373">
        <v>53.837000000000003</v>
      </c>
      <c r="J165" s="373">
        <v>46.942</v>
      </c>
      <c r="K165" s="373">
        <v>40.046999999999997</v>
      </c>
      <c r="L165" s="373">
        <v>12.561999999999999</v>
      </c>
      <c r="M165" s="373">
        <v>2.0779999999999998</v>
      </c>
      <c r="N165" s="373">
        <v>0</v>
      </c>
      <c r="O165" s="373">
        <v>0</v>
      </c>
      <c r="P165" s="373">
        <v>0</v>
      </c>
      <c r="Q165" s="373">
        <v>0</v>
      </c>
      <c r="R165" s="373">
        <v>0</v>
      </c>
      <c r="S165" s="373">
        <v>0</v>
      </c>
      <c r="T165" s="373">
        <f t="shared" si="58"/>
        <v>0</v>
      </c>
      <c r="U165" s="373">
        <f t="shared" si="58"/>
        <v>0</v>
      </c>
      <c r="V165" s="373">
        <f t="shared" si="58"/>
        <v>0</v>
      </c>
      <c r="W165" s="373">
        <f t="shared" si="58"/>
        <v>0</v>
      </c>
      <c r="X165" s="373">
        <f t="shared" si="58"/>
        <v>0</v>
      </c>
      <c r="Y165" s="382">
        <v>0</v>
      </c>
    </row>
    <row r="166" spans="1:26" ht="13.5" thickBot="1" x14ac:dyDescent="0.25">
      <c r="A166" s="379" t="s">
        <v>116</v>
      </c>
      <c r="B166" s="374">
        <f t="shared" ref="B166:V166" si="59">(C165+B165)*(C164-B164)/2</f>
        <v>0.48736499999999999</v>
      </c>
      <c r="C166" s="375">
        <f t="shared" si="59"/>
        <v>0.47074299999999991</v>
      </c>
      <c r="D166" s="375">
        <f t="shared" si="59"/>
        <v>2.6261130000000001</v>
      </c>
      <c r="E166" s="375">
        <f t="shared" si="59"/>
        <v>3.1953689999999999</v>
      </c>
      <c r="F166" s="375">
        <f t="shared" si="59"/>
        <v>13.995408000000003</v>
      </c>
      <c r="G166" s="375">
        <f t="shared" si="59"/>
        <v>11.791223</v>
      </c>
      <c r="H166" s="375">
        <f t="shared" si="59"/>
        <v>11.721064499999997</v>
      </c>
      <c r="I166" s="375">
        <f t="shared" si="59"/>
        <v>7.1049195000000003</v>
      </c>
      <c r="J166" s="375">
        <f>(K165+J165)*(K164-J164)/2</f>
        <v>4.0014939999999992</v>
      </c>
      <c r="K166" s="375">
        <f t="shared" si="59"/>
        <v>3.1565400000000023</v>
      </c>
      <c r="L166" s="375">
        <f t="shared" si="59"/>
        <v>1.0979999999999992</v>
      </c>
      <c r="M166" s="375">
        <f t="shared" si="59"/>
        <v>5.4028000000000041E-2</v>
      </c>
      <c r="N166" s="375">
        <f t="shared" si="59"/>
        <v>0</v>
      </c>
      <c r="O166" s="375">
        <f t="shared" si="59"/>
        <v>0</v>
      </c>
      <c r="P166" s="375">
        <f t="shared" si="59"/>
        <v>0</v>
      </c>
      <c r="Q166" s="375">
        <f t="shared" si="59"/>
        <v>0</v>
      </c>
      <c r="R166" s="375">
        <f t="shared" si="59"/>
        <v>0</v>
      </c>
      <c r="S166" s="375">
        <f>(T165+S165)*(T164-S164)/2</f>
        <v>0</v>
      </c>
      <c r="T166" s="375">
        <f t="shared" si="59"/>
        <v>0</v>
      </c>
      <c r="U166" s="375">
        <f t="shared" si="59"/>
        <v>0</v>
      </c>
      <c r="V166" s="375">
        <f t="shared" si="59"/>
        <v>0</v>
      </c>
      <c r="W166" s="375">
        <f>(X165+W165)*(X164-W164)/2</f>
        <v>0</v>
      </c>
      <c r="X166" s="375">
        <f>(Y165+X165)*(Y164-X164)/2</f>
        <v>0</v>
      </c>
      <c r="Y166" s="369"/>
    </row>
    <row r="167" spans="1:26" ht="13.5" thickBot="1" x14ac:dyDescent="0.25"/>
    <row r="168" spans="1:26" ht="13.5" thickBot="1" x14ac:dyDescent="0.25">
      <c r="A168" s="361" t="s">
        <v>322</v>
      </c>
      <c r="B168" s="359">
        <f>ROW(A168)</f>
        <v>168</v>
      </c>
      <c r="C168" s="363" t="s">
        <v>115</v>
      </c>
      <c r="D168" s="353">
        <f>SUM(B171:Y171)</f>
        <v>68.380602999999994</v>
      </c>
      <c r="E168" s="363" t="s">
        <v>114</v>
      </c>
      <c r="F168" s="354">
        <f>D168/g/J168</f>
        <v>134.04807300243078</v>
      </c>
      <c r="G168" s="363" t="s">
        <v>56</v>
      </c>
      <c r="H168" s="64">
        <v>0.1075</v>
      </c>
      <c r="I168" s="363" t="s">
        <v>271</v>
      </c>
      <c r="J168" s="355">
        <f>H168-L168</f>
        <v>5.1999999999999998E-2</v>
      </c>
      <c r="K168" s="363" t="s">
        <v>272</v>
      </c>
      <c r="L168" s="64">
        <v>5.5500000000000001E-2</v>
      </c>
      <c r="M168" s="363" t="s">
        <v>57</v>
      </c>
      <c r="N168" s="396">
        <v>66.5</v>
      </c>
      <c r="O168" s="363" t="s">
        <v>59</v>
      </c>
      <c r="P168" s="396">
        <v>66.5</v>
      </c>
      <c r="Q168" s="363" t="s">
        <v>60</v>
      </c>
      <c r="R168" s="65">
        <v>133</v>
      </c>
      <c r="S168" s="363" t="s">
        <v>61</v>
      </c>
      <c r="T168" s="65">
        <v>24</v>
      </c>
      <c r="U168" s="363" t="s">
        <v>54</v>
      </c>
      <c r="V168" s="66" t="s">
        <v>399</v>
      </c>
      <c r="W168" s="463" t="s">
        <v>394</v>
      </c>
      <c r="X168" s="465">
        <v>0.86</v>
      </c>
      <c r="Y168" s="463" t="s">
        <v>393</v>
      </c>
      <c r="Z168" s="358">
        <v>13</v>
      </c>
    </row>
    <row r="169" spans="1:26" x14ac:dyDescent="0.2">
      <c r="A169" s="362" t="s">
        <v>33</v>
      </c>
      <c r="B169" s="370">
        <v>0</v>
      </c>
      <c r="C169" s="371">
        <v>5.0000000000000001E-3</v>
      </c>
      <c r="D169" s="371">
        <v>1.2999999999999999E-2</v>
      </c>
      <c r="E169" s="371">
        <v>2.1999999999999999E-2</v>
      </c>
      <c r="F169" s="371">
        <v>4.2999999999999997E-2</v>
      </c>
      <c r="G169" s="371">
        <v>0.11899999999999999</v>
      </c>
      <c r="H169" s="371">
        <v>0.19800000000000001</v>
      </c>
      <c r="I169" s="371">
        <v>0.26700000000000002</v>
      </c>
      <c r="J169" s="371">
        <v>0.34300000000000003</v>
      </c>
      <c r="K169" s="371">
        <v>0.40400000000000003</v>
      </c>
      <c r="L169" s="371">
        <v>0.498</v>
      </c>
      <c r="M169" s="371">
        <v>0.55500000000000005</v>
      </c>
      <c r="N169" s="371">
        <v>0.622</v>
      </c>
      <c r="O169" s="371">
        <v>0.66300000000000003</v>
      </c>
      <c r="P169" s="371">
        <v>0.70399999999999996</v>
      </c>
      <c r="Q169" s="371">
        <v>0.72899999999999998</v>
      </c>
      <c r="R169" s="371">
        <v>0.747</v>
      </c>
      <c r="S169" s="371">
        <v>0.76800000000000002</v>
      </c>
      <c r="T169" s="371">
        <v>0.82099999999999995</v>
      </c>
      <c r="U169" s="371">
        <v>0.85199999999999998</v>
      </c>
      <c r="V169" s="371">
        <v>0.89200000000000002</v>
      </c>
      <c r="W169" s="371">
        <v>1</v>
      </c>
      <c r="X169" s="371">
        <v>2</v>
      </c>
      <c r="Y169" s="381">
        <v>1000</v>
      </c>
    </row>
    <row r="170" spans="1:26" x14ac:dyDescent="0.2">
      <c r="A170" s="378" t="s">
        <v>34</v>
      </c>
      <c r="B170" s="372">
        <v>0</v>
      </c>
      <c r="C170" s="373">
        <v>60</v>
      </c>
      <c r="D170" s="373">
        <v>89.007000000000005</v>
      </c>
      <c r="E170" s="373">
        <v>96.290999999999997</v>
      </c>
      <c r="F170" s="373">
        <v>81.721999999999994</v>
      </c>
      <c r="G170" s="373">
        <v>85.563000000000002</v>
      </c>
      <c r="H170" s="373">
        <v>87.947000000000003</v>
      </c>
      <c r="I170" s="373">
        <v>89.272000000000006</v>
      </c>
      <c r="J170" s="373">
        <v>89.933999999999997</v>
      </c>
      <c r="K170" s="373">
        <v>90.861000000000004</v>
      </c>
      <c r="L170" s="373">
        <v>91.522999999999996</v>
      </c>
      <c r="M170" s="373">
        <v>89.668999999999997</v>
      </c>
      <c r="N170" s="373">
        <v>83.974000000000004</v>
      </c>
      <c r="O170" s="373">
        <v>80.53</v>
      </c>
      <c r="P170" s="373">
        <v>78.94</v>
      </c>
      <c r="Q170" s="373">
        <v>74.171999999999997</v>
      </c>
      <c r="R170" s="373">
        <v>66.887</v>
      </c>
      <c r="S170" s="373">
        <v>53.774999999999999</v>
      </c>
      <c r="T170" s="373">
        <v>18.542999999999999</v>
      </c>
      <c r="U170" s="373">
        <v>7.8150000000000004</v>
      </c>
      <c r="V170" s="373">
        <v>2.1190000000000002</v>
      </c>
      <c r="W170" s="373">
        <v>0</v>
      </c>
      <c r="X170" s="373">
        <v>0</v>
      </c>
      <c r="Y170" s="382">
        <v>0</v>
      </c>
    </row>
    <row r="171" spans="1:26" ht="13.5" thickBot="1" x14ac:dyDescent="0.25">
      <c r="A171" s="379" t="s">
        <v>116</v>
      </c>
      <c r="B171" s="374">
        <f t="shared" ref="B171:X171" si="60">(C170+B170)*(C169-B169)/2</f>
        <v>0.15</v>
      </c>
      <c r="C171" s="375">
        <f t="shared" si="60"/>
        <v>0.596028</v>
      </c>
      <c r="D171" s="375">
        <f t="shared" si="60"/>
        <v>0.83384099999999994</v>
      </c>
      <c r="E171" s="375">
        <f t="shared" si="60"/>
        <v>1.8691364999999995</v>
      </c>
      <c r="F171" s="375">
        <f t="shared" si="60"/>
        <v>6.3568299999999995</v>
      </c>
      <c r="G171" s="375">
        <f t="shared" si="60"/>
        <v>6.8536450000000011</v>
      </c>
      <c r="H171" s="375">
        <f t="shared" si="60"/>
        <v>6.1140555000000001</v>
      </c>
      <c r="I171" s="375">
        <f t="shared" si="60"/>
        <v>6.8098280000000013</v>
      </c>
      <c r="J171" s="375">
        <f t="shared" si="60"/>
        <v>5.5142475000000006</v>
      </c>
      <c r="K171" s="375">
        <f t="shared" si="60"/>
        <v>8.5720479999999988</v>
      </c>
      <c r="L171" s="375">
        <f t="shared" si="60"/>
        <v>5.1639720000000047</v>
      </c>
      <c r="M171" s="375">
        <f t="shared" si="60"/>
        <v>5.8170404999999956</v>
      </c>
      <c r="N171" s="375">
        <f t="shared" si="60"/>
        <v>3.3723320000000032</v>
      </c>
      <c r="O171" s="375">
        <f t="shared" si="60"/>
        <v>3.2691349999999941</v>
      </c>
      <c r="P171" s="375">
        <f t="shared" si="60"/>
        <v>1.9139000000000017</v>
      </c>
      <c r="Q171" s="375">
        <f t="shared" si="60"/>
        <v>1.2695310000000011</v>
      </c>
      <c r="R171" s="375">
        <f t="shared" si="60"/>
        <v>1.2669510000000013</v>
      </c>
      <c r="S171" s="375">
        <f t="shared" si="60"/>
        <v>1.9164269999999977</v>
      </c>
      <c r="T171" s="375">
        <f t="shared" si="60"/>
        <v>0.40854900000000038</v>
      </c>
      <c r="U171" s="375">
        <f t="shared" si="60"/>
        <v>0.19868000000000019</v>
      </c>
      <c r="V171" s="375">
        <f t="shared" si="60"/>
        <v>0.114426</v>
      </c>
      <c r="W171" s="375">
        <f t="shared" si="60"/>
        <v>0</v>
      </c>
      <c r="X171" s="375">
        <f t="shared" si="60"/>
        <v>0</v>
      </c>
      <c r="Y171" s="369"/>
    </row>
    <row r="172" spans="1:26" ht="13.5" thickBot="1" x14ac:dyDescent="0.25">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row>
    <row r="173" spans="1:26" ht="13.5" thickBot="1" x14ac:dyDescent="0.25">
      <c r="A173" s="361" t="s">
        <v>323</v>
      </c>
      <c r="B173" s="359">
        <f>ROW(A173)</f>
        <v>173</v>
      </c>
      <c r="C173" s="363" t="s">
        <v>115</v>
      </c>
      <c r="D173" s="353">
        <f>SUM(B176:Y176)</f>
        <v>67.985428500000012</v>
      </c>
      <c r="E173" s="363" t="s">
        <v>114</v>
      </c>
      <c r="F173" s="354">
        <f>D173/g/J173</f>
        <v>181.89545859519862</v>
      </c>
      <c r="G173" s="363" t="s">
        <v>56</v>
      </c>
      <c r="H173" s="64">
        <v>9.1799999999999993E-2</v>
      </c>
      <c r="I173" s="363" t="s">
        <v>271</v>
      </c>
      <c r="J173" s="355">
        <f>H173-L173</f>
        <v>3.8099999999999988E-2</v>
      </c>
      <c r="K173" s="363" t="s">
        <v>272</v>
      </c>
      <c r="L173" s="64">
        <v>5.3700000000000005E-2</v>
      </c>
      <c r="M173" s="363" t="s">
        <v>57</v>
      </c>
      <c r="N173" s="396">
        <v>66.5</v>
      </c>
      <c r="O173" s="363" t="s">
        <v>59</v>
      </c>
      <c r="P173" s="396">
        <v>66.5</v>
      </c>
      <c r="Q173" s="363" t="s">
        <v>60</v>
      </c>
      <c r="R173" s="65">
        <v>133</v>
      </c>
      <c r="S173" s="363" t="s">
        <v>61</v>
      </c>
      <c r="T173" s="65">
        <v>24</v>
      </c>
      <c r="U173" s="363" t="s">
        <v>54</v>
      </c>
      <c r="V173" s="66" t="s">
        <v>399</v>
      </c>
      <c r="W173" s="463" t="s">
        <v>394</v>
      </c>
      <c r="X173" s="465">
        <v>0.33</v>
      </c>
      <c r="Y173" s="463" t="s">
        <v>393</v>
      </c>
      <c r="Z173" s="358">
        <v>15</v>
      </c>
    </row>
    <row r="174" spans="1:26" x14ac:dyDescent="0.2">
      <c r="A174" s="362" t="s">
        <v>33</v>
      </c>
      <c r="B174" s="370">
        <v>0</v>
      </c>
      <c r="C174" s="371">
        <v>4.0000000000000001E-3</v>
      </c>
      <c r="D174" s="371">
        <v>7.0000000000000001E-3</v>
      </c>
      <c r="E174" s="371">
        <v>0.01</v>
      </c>
      <c r="F174" s="371">
        <v>2.1999999999999999E-2</v>
      </c>
      <c r="G174" s="371">
        <v>2.8000000000000001E-2</v>
      </c>
      <c r="H174" s="371">
        <v>4.1000000000000002E-2</v>
      </c>
      <c r="I174" s="371">
        <v>5.8000000000000003E-2</v>
      </c>
      <c r="J174" s="371">
        <v>7.6999999999999999E-2</v>
      </c>
      <c r="K174" s="371">
        <v>8.8999999999999996E-2</v>
      </c>
      <c r="L174" s="371">
        <v>9.7000000000000003E-2</v>
      </c>
      <c r="M174" s="371">
        <v>0.11899999999999999</v>
      </c>
      <c r="N174" s="371">
        <v>0.14699999999999999</v>
      </c>
      <c r="O174" s="371">
        <v>0.17699999999999999</v>
      </c>
      <c r="P174" s="371">
        <v>0.20699999999999999</v>
      </c>
      <c r="Q174" s="371">
        <v>0.253</v>
      </c>
      <c r="R174" s="371">
        <v>0.25900000000000001</v>
      </c>
      <c r="S174" s="371">
        <v>0.27200000000000002</v>
      </c>
      <c r="T174" s="371">
        <v>0.28000000000000003</v>
      </c>
      <c r="U174" s="371">
        <v>0.28599999999999998</v>
      </c>
      <c r="V174" s="371">
        <v>0.29399999999999998</v>
      </c>
      <c r="W174" s="371">
        <v>0.32800000000000001</v>
      </c>
      <c r="X174" s="371">
        <v>2</v>
      </c>
      <c r="Y174" s="381">
        <v>1000</v>
      </c>
    </row>
    <row r="175" spans="1:26" x14ac:dyDescent="0.2">
      <c r="A175" s="378" t="s">
        <v>34</v>
      </c>
      <c r="B175" s="372">
        <v>0</v>
      </c>
      <c r="C175" s="376">
        <v>100.52800000000001</v>
      </c>
      <c r="D175" s="376">
        <v>197.49299999999999</v>
      </c>
      <c r="E175" s="376">
        <v>222.03200000000001</v>
      </c>
      <c r="F175" s="376">
        <v>241.42500000000001</v>
      </c>
      <c r="G175" s="376">
        <v>237.863</v>
      </c>
      <c r="H175" s="376">
        <v>239.446</v>
      </c>
      <c r="I175" s="376">
        <v>252.50700000000001</v>
      </c>
      <c r="J175" s="376">
        <v>263.98399999999998</v>
      </c>
      <c r="K175" s="376">
        <v>275.46199999999999</v>
      </c>
      <c r="L175" s="376">
        <v>271.50400000000002</v>
      </c>
      <c r="M175" s="376">
        <v>278.62799999999999</v>
      </c>
      <c r="N175" s="376">
        <v>281.39800000000002</v>
      </c>
      <c r="O175" s="376">
        <v>272.29599999999999</v>
      </c>
      <c r="P175" s="376">
        <v>258.44299999999998</v>
      </c>
      <c r="Q175" s="376">
        <v>218.47</v>
      </c>
      <c r="R175" s="376">
        <v>188.786</v>
      </c>
      <c r="S175" s="376">
        <v>74.802000000000007</v>
      </c>
      <c r="T175" s="376">
        <v>31.265999999999998</v>
      </c>
      <c r="U175" s="376">
        <v>15.831</v>
      </c>
      <c r="V175" s="376">
        <v>8.7070000000000007</v>
      </c>
      <c r="W175" s="376">
        <v>0</v>
      </c>
      <c r="X175" s="373">
        <v>0</v>
      </c>
      <c r="Y175" s="382">
        <v>0</v>
      </c>
    </row>
    <row r="176" spans="1:26" ht="13.5" thickBot="1" x14ac:dyDescent="0.25">
      <c r="A176" s="379" t="s">
        <v>116</v>
      </c>
      <c r="B176" s="374">
        <f t="shared" ref="B176:X176" si="61">(C175+B175)*(C174-B174)/2</f>
        <v>0.20105600000000001</v>
      </c>
      <c r="C176" s="375">
        <f t="shared" si="61"/>
        <v>0.44703150000000003</v>
      </c>
      <c r="D176" s="375">
        <f t="shared" si="61"/>
        <v>0.6292875</v>
      </c>
      <c r="E176" s="375">
        <f t="shared" si="61"/>
        <v>2.7807419999999996</v>
      </c>
      <c r="F176" s="375">
        <f t="shared" si="61"/>
        <v>1.4378640000000005</v>
      </c>
      <c r="G176" s="375">
        <f t="shared" si="61"/>
        <v>3.1025084999999999</v>
      </c>
      <c r="H176" s="375">
        <f t="shared" si="61"/>
        <v>4.1816005000000001</v>
      </c>
      <c r="I176" s="375">
        <f t="shared" si="61"/>
        <v>4.9066644999999989</v>
      </c>
      <c r="J176" s="375">
        <f t="shared" si="61"/>
        <v>3.2366759999999988</v>
      </c>
      <c r="K176" s="375">
        <f t="shared" si="61"/>
        <v>2.187864000000002</v>
      </c>
      <c r="L176" s="375">
        <f t="shared" si="61"/>
        <v>6.0514519999999985</v>
      </c>
      <c r="M176" s="375">
        <f t="shared" si="61"/>
        <v>7.8403640000000001</v>
      </c>
      <c r="N176" s="375">
        <f t="shared" si="61"/>
        <v>8.3054099999999984</v>
      </c>
      <c r="O176" s="375">
        <f t="shared" si="61"/>
        <v>7.9610850000000006</v>
      </c>
      <c r="P176" s="375">
        <f t="shared" si="61"/>
        <v>10.968999000000004</v>
      </c>
      <c r="Q176" s="375">
        <f t="shared" si="61"/>
        <v>1.2217680000000011</v>
      </c>
      <c r="R176" s="375">
        <f t="shared" si="61"/>
        <v>1.7133220000000016</v>
      </c>
      <c r="S176" s="375">
        <f t="shared" si="61"/>
        <v>0.42427200000000043</v>
      </c>
      <c r="T176" s="375">
        <f t="shared" si="61"/>
        <v>0.14129099999999881</v>
      </c>
      <c r="U176" s="375">
        <f t="shared" si="61"/>
        <v>9.8152000000000086E-2</v>
      </c>
      <c r="V176" s="375">
        <f t="shared" si="61"/>
        <v>0.14801900000000015</v>
      </c>
      <c r="W176" s="375">
        <f t="shared" si="61"/>
        <v>0</v>
      </c>
      <c r="X176" s="375">
        <f t="shared" si="61"/>
        <v>0</v>
      </c>
      <c r="Y176" s="369"/>
    </row>
    <row r="177" spans="1:26" ht="13.5" thickBot="1" x14ac:dyDescent="0.25">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row>
    <row r="178" spans="1:26" ht="13.5" thickBot="1" x14ac:dyDescent="0.25">
      <c r="A178" s="361" t="s">
        <v>324</v>
      </c>
      <c r="B178" s="359">
        <f>ROW(A178)</f>
        <v>178</v>
      </c>
      <c r="C178" s="363" t="s">
        <v>115</v>
      </c>
      <c r="D178" s="353">
        <f>SUM(B181:Y181)</f>
        <v>73.557381500000005</v>
      </c>
      <c r="E178" s="363" t="s">
        <v>114</v>
      </c>
      <c r="F178" s="354">
        <f>D178/g/J178</f>
        <v>156.86619302308719</v>
      </c>
      <c r="G178" s="363" t="s">
        <v>56</v>
      </c>
      <c r="H178" s="64">
        <v>0.1022</v>
      </c>
      <c r="I178" s="363" t="s">
        <v>271</v>
      </c>
      <c r="J178" s="355">
        <f>H178-L178</f>
        <v>4.7800000000000002E-2</v>
      </c>
      <c r="K178" s="363" t="s">
        <v>272</v>
      </c>
      <c r="L178" s="64">
        <v>5.4399999999999997E-2</v>
      </c>
      <c r="M178" s="363" t="s">
        <v>57</v>
      </c>
      <c r="N178" s="396">
        <v>66.5</v>
      </c>
      <c r="O178" s="363" t="s">
        <v>59</v>
      </c>
      <c r="P178" s="396">
        <v>66.5</v>
      </c>
      <c r="Q178" s="363" t="s">
        <v>60</v>
      </c>
      <c r="R178" s="65">
        <v>133</v>
      </c>
      <c r="S178" s="363" t="s">
        <v>61</v>
      </c>
      <c r="T178" s="65">
        <v>24</v>
      </c>
      <c r="U178" s="363" t="s">
        <v>54</v>
      </c>
      <c r="V178" s="66" t="s">
        <v>399</v>
      </c>
      <c r="W178" s="463" t="s">
        <v>394</v>
      </c>
      <c r="X178" s="465">
        <v>2.36</v>
      </c>
      <c r="Y178" s="463" t="s">
        <v>393</v>
      </c>
      <c r="Z178" s="358">
        <v>6</v>
      </c>
    </row>
    <row r="179" spans="1:26" x14ac:dyDescent="0.2">
      <c r="A179" s="362" t="s">
        <v>33</v>
      </c>
      <c r="B179" s="370">
        <v>0</v>
      </c>
      <c r="C179" s="371">
        <v>1.4E-2</v>
      </c>
      <c r="D179" s="371">
        <v>5.6000000000000001E-2</v>
      </c>
      <c r="E179" s="371">
        <v>9.1999999999999998E-2</v>
      </c>
      <c r="F179" s="371">
        <v>0.16</v>
      </c>
      <c r="G179" s="371">
        <v>0.23200000000000001</v>
      </c>
      <c r="H179" s="371">
        <v>0.36299999999999999</v>
      </c>
      <c r="I179" s="371">
        <v>0.499</v>
      </c>
      <c r="J179" s="371">
        <v>0.65500000000000003</v>
      </c>
      <c r="K179" s="371">
        <v>0.84299999999999997</v>
      </c>
      <c r="L179" s="371">
        <v>1.216</v>
      </c>
      <c r="M179" s="371">
        <v>1.3680000000000001</v>
      </c>
      <c r="N179" s="371">
        <v>1.54</v>
      </c>
      <c r="O179" s="371">
        <v>1.675</v>
      </c>
      <c r="P179" s="371">
        <v>1.861</v>
      </c>
      <c r="Q179" s="371">
        <v>2.0129999999999999</v>
      </c>
      <c r="R179" s="371">
        <v>2.1589999999999998</v>
      </c>
      <c r="S179" s="371">
        <v>2.302</v>
      </c>
      <c r="T179" s="371">
        <v>2.4620000000000002</v>
      </c>
      <c r="U179" s="371">
        <v>2.5979999999999999</v>
      </c>
      <c r="V179" s="371">
        <v>2.5979999999999999</v>
      </c>
      <c r="W179" s="371">
        <v>2.5979999999999999</v>
      </c>
      <c r="X179" s="371">
        <v>2.5979999999999999</v>
      </c>
      <c r="Y179" s="381">
        <v>1000</v>
      </c>
    </row>
    <row r="180" spans="1:26" x14ac:dyDescent="0.2">
      <c r="A180" s="378" t="s">
        <v>34</v>
      </c>
      <c r="B180" s="372">
        <v>0</v>
      </c>
      <c r="C180" s="376">
        <v>54.222000000000001</v>
      </c>
      <c r="D180" s="376">
        <v>43.456000000000003</v>
      </c>
      <c r="E180" s="376">
        <v>50.185000000000002</v>
      </c>
      <c r="F180" s="376">
        <v>54.063000000000002</v>
      </c>
      <c r="G180" s="376">
        <v>48.363999999999997</v>
      </c>
      <c r="H180" s="376">
        <v>45.752000000000002</v>
      </c>
      <c r="I180" s="376">
        <v>43.14</v>
      </c>
      <c r="J180" s="376">
        <v>40.29</v>
      </c>
      <c r="K180" s="376">
        <v>37.835999999999999</v>
      </c>
      <c r="L180" s="376">
        <v>32.612000000000002</v>
      </c>
      <c r="M180" s="376">
        <v>30.317</v>
      </c>
      <c r="N180" s="376">
        <v>26.359000000000002</v>
      </c>
      <c r="O180" s="376">
        <v>23.509</v>
      </c>
      <c r="P180" s="376">
        <v>19.077000000000002</v>
      </c>
      <c r="Q180" s="376">
        <v>14.565</v>
      </c>
      <c r="R180" s="376">
        <v>10.053000000000001</v>
      </c>
      <c r="S180" s="376">
        <v>4.8280000000000003</v>
      </c>
      <c r="T180" s="376">
        <v>1.504</v>
      </c>
      <c r="U180" s="373">
        <v>0</v>
      </c>
      <c r="V180" s="373">
        <v>0</v>
      </c>
      <c r="W180" s="373">
        <v>0</v>
      </c>
      <c r="X180" s="373">
        <v>0</v>
      </c>
      <c r="Y180" s="382">
        <v>0</v>
      </c>
    </row>
    <row r="181" spans="1:26" ht="13.5" thickBot="1" x14ac:dyDescent="0.25">
      <c r="A181" s="379" t="s">
        <v>116</v>
      </c>
      <c r="B181" s="374">
        <f t="shared" ref="B181:X181" si="62">(C180+B180)*(C179-B179)/2</f>
        <v>0.379554</v>
      </c>
      <c r="C181" s="375">
        <f t="shared" si="62"/>
        <v>2.0512380000000001</v>
      </c>
      <c r="D181" s="375">
        <f t="shared" si="62"/>
        <v>1.685538</v>
      </c>
      <c r="E181" s="375">
        <f t="shared" si="62"/>
        <v>3.5444320000000005</v>
      </c>
      <c r="F181" s="375">
        <f t="shared" si="62"/>
        <v>3.6873720000000003</v>
      </c>
      <c r="G181" s="375">
        <f t="shared" si="62"/>
        <v>6.1645979999999989</v>
      </c>
      <c r="H181" s="375">
        <f t="shared" si="62"/>
        <v>6.0446559999999998</v>
      </c>
      <c r="I181" s="375">
        <f t="shared" si="62"/>
        <v>6.5075400000000014</v>
      </c>
      <c r="J181" s="375">
        <f t="shared" si="62"/>
        <v>7.343843999999998</v>
      </c>
      <c r="K181" s="375">
        <f t="shared" si="62"/>
        <v>13.138552000000001</v>
      </c>
      <c r="L181" s="375">
        <f t="shared" si="62"/>
        <v>4.7826040000000045</v>
      </c>
      <c r="M181" s="375">
        <f t="shared" si="62"/>
        <v>4.8741359999999982</v>
      </c>
      <c r="N181" s="375">
        <f t="shared" si="62"/>
        <v>3.3660900000000002</v>
      </c>
      <c r="O181" s="375">
        <f t="shared" si="62"/>
        <v>3.9604979999999985</v>
      </c>
      <c r="P181" s="375">
        <f t="shared" si="62"/>
        <v>2.5567919999999988</v>
      </c>
      <c r="Q181" s="375">
        <f t="shared" si="62"/>
        <v>1.797113999999999</v>
      </c>
      <c r="R181" s="375">
        <f t="shared" si="62"/>
        <v>1.0639915000000018</v>
      </c>
      <c r="S181" s="375">
        <f t="shared" si="62"/>
        <v>0.50656000000000045</v>
      </c>
      <c r="T181" s="375">
        <f t="shared" si="62"/>
        <v>0.10227199999999975</v>
      </c>
      <c r="U181" s="375">
        <f t="shared" si="62"/>
        <v>0</v>
      </c>
      <c r="V181" s="375">
        <f t="shared" si="62"/>
        <v>0</v>
      </c>
      <c r="W181" s="375">
        <f t="shared" si="62"/>
        <v>0</v>
      </c>
      <c r="X181" s="375">
        <f t="shared" si="62"/>
        <v>0</v>
      </c>
      <c r="Y181" s="369"/>
    </row>
    <row r="182" spans="1:26" ht="13.5" thickBot="1" x14ac:dyDescent="0.25">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row>
    <row r="183" spans="1:26" ht="13.5" thickBot="1" x14ac:dyDescent="0.25">
      <c r="A183" s="361" t="s">
        <v>325</v>
      </c>
      <c r="B183" s="359">
        <f>ROW(A183)</f>
        <v>183</v>
      </c>
      <c r="C183" s="363" t="s">
        <v>115</v>
      </c>
      <c r="D183" s="353">
        <f>SUM(B186:Y186)</f>
        <v>73.169517999999997</v>
      </c>
      <c r="E183" s="363" t="s">
        <v>114</v>
      </c>
      <c r="F183" s="354">
        <f>D183/g/J183</f>
        <v>177.58729673316827</v>
      </c>
      <c r="G183" s="363" t="s">
        <v>56</v>
      </c>
      <c r="H183" s="64">
        <v>9.6000000000000002E-2</v>
      </c>
      <c r="I183" s="363" t="s">
        <v>271</v>
      </c>
      <c r="J183" s="355">
        <f>H183-L183</f>
        <v>4.2000000000000003E-2</v>
      </c>
      <c r="K183" s="363" t="s">
        <v>272</v>
      </c>
      <c r="L183" s="64">
        <v>5.3999999999999999E-2</v>
      </c>
      <c r="M183" s="363" t="s">
        <v>57</v>
      </c>
      <c r="N183" s="396">
        <v>66.5</v>
      </c>
      <c r="O183" s="363" t="s">
        <v>59</v>
      </c>
      <c r="P183" s="396">
        <v>66.5</v>
      </c>
      <c r="Q183" s="363" t="s">
        <v>60</v>
      </c>
      <c r="R183" s="65">
        <v>133</v>
      </c>
      <c r="S183" s="363" t="s">
        <v>61</v>
      </c>
      <c r="T183" s="65">
        <v>24</v>
      </c>
      <c r="U183" s="363" t="s">
        <v>54</v>
      </c>
      <c r="V183" s="66" t="s">
        <v>400</v>
      </c>
      <c r="W183" s="463" t="s">
        <v>394</v>
      </c>
      <c r="X183" s="465">
        <v>0.87</v>
      </c>
      <c r="Y183" s="463" t="s">
        <v>393</v>
      </c>
      <c r="Z183" s="358">
        <v>15</v>
      </c>
    </row>
    <row r="184" spans="1:26" x14ac:dyDescent="0.2">
      <c r="A184" s="362" t="s">
        <v>33</v>
      </c>
      <c r="B184" s="370">
        <v>0</v>
      </c>
      <c r="C184" s="371">
        <v>0.01</v>
      </c>
      <c r="D184" s="371">
        <v>2.3E-2</v>
      </c>
      <c r="E184" s="371">
        <v>0.04</v>
      </c>
      <c r="F184" s="371">
        <v>0.11799999999999999</v>
      </c>
      <c r="G184" s="371">
        <v>0.28299999999999997</v>
      </c>
      <c r="H184" s="371">
        <v>0.51</v>
      </c>
      <c r="I184" s="371">
        <v>0.68799999999999994</v>
      </c>
      <c r="J184" s="371">
        <v>0.78700000000000003</v>
      </c>
      <c r="K184" s="371">
        <v>0.85199999999999998</v>
      </c>
      <c r="L184" s="371">
        <v>0.873</v>
      </c>
      <c r="M184" s="371">
        <v>0.873</v>
      </c>
      <c r="N184" s="371">
        <v>0.873</v>
      </c>
      <c r="O184" s="371">
        <v>0.873</v>
      </c>
      <c r="P184" s="371">
        <v>0.873</v>
      </c>
      <c r="Q184" s="371">
        <v>0.873</v>
      </c>
      <c r="R184" s="371">
        <v>0.873</v>
      </c>
      <c r="S184" s="371">
        <v>0.873</v>
      </c>
      <c r="T184" s="371">
        <v>0.873</v>
      </c>
      <c r="U184" s="371">
        <v>0.873</v>
      </c>
      <c r="V184" s="371">
        <v>0.873</v>
      </c>
      <c r="W184" s="371">
        <v>0.873</v>
      </c>
      <c r="X184" s="371">
        <v>2</v>
      </c>
      <c r="Y184" s="381">
        <v>1000</v>
      </c>
    </row>
    <row r="185" spans="1:26" x14ac:dyDescent="0.2">
      <c r="A185" s="378" t="s">
        <v>34</v>
      </c>
      <c r="B185" s="372">
        <v>0</v>
      </c>
      <c r="C185" s="376">
        <v>76.073999999999998</v>
      </c>
      <c r="D185" s="376">
        <v>100.185</v>
      </c>
      <c r="E185" s="376">
        <v>92.424999999999997</v>
      </c>
      <c r="F185" s="376">
        <v>100.878</v>
      </c>
      <c r="G185" s="376">
        <v>102.402</v>
      </c>
      <c r="H185" s="376">
        <v>96.442999999999998</v>
      </c>
      <c r="I185" s="376">
        <v>87.436000000000007</v>
      </c>
      <c r="J185" s="376">
        <v>25.911999999999999</v>
      </c>
      <c r="K185" s="376">
        <v>7.2060000000000004</v>
      </c>
      <c r="L185" s="373">
        <v>0</v>
      </c>
      <c r="M185" s="373">
        <v>0</v>
      </c>
      <c r="N185" s="373">
        <v>0</v>
      </c>
      <c r="O185" s="373">
        <v>0</v>
      </c>
      <c r="P185" s="373">
        <v>0</v>
      </c>
      <c r="Q185" s="373">
        <v>0</v>
      </c>
      <c r="R185" s="373">
        <v>0</v>
      </c>
      <c r="S185" s="373">
        <v>0</v>
      </c>
      <c r="T185" s="373">
        <v>0</v>
      </c>
      <c r="U185" s="373">
        <v>0</v>
      </c>
      <c r="V185" s="373">
        <v>0</v>
      </c>
      <c r="W185" s="373">
        <v>0</v>
      </c>
      <c r="X185" s="373">
        <v>0</v>
      </c>
      <c r="Y185" s="382">
        <v>0</v>
      </c>
    </row>
    <row r="186" spans="1:26" ht="13.5" thickBot="1" x14ac:dyDescent="0.25">
      <c r="A186" s="379" t="s">
        <v>116</v>
      </c>
      <c r="B186" s="374">
        <f t="shared" ref="B186:X186" si="63">(C185+B185)*(C184-B184)/2</f>
        <v>0.38036999999999999</v>
      </c>
      <c r="C186" s="375">
        <f t="shared" si="63"/>
        <v>1.1456835000000001</v>
      </c>
      <c r="D186" s="375">
        <f t="shared" si="63"/>
        <v>1.6371850000000003</v>
      </c>
      <c r="E186" s="375">
        <f t="shared" si="63"/>
        <v>7.5388169999999981</v>
      </c>
      <c r="F186" s="375">
        <f t="shared" si="63"/>
        <v>16.770599999999998</v>
      </c>
      <c r="G186" s="375">
        <f t="shared" si="63"/>
        <v>22.568907500000002</v>
      </c>
      <c r="H186" s="375">
        <f t="shared" si="63"/>
        <v>16.365230999999994</v>
      </c>
      <c r="I186" s="375">
        <f t="shared" si="63"/>
        <v>5.6107260000000059</v>
      </c>
      <c r="J186" s="375">
        <f t="shared" si="63"/>
        <v>1.0763349999999992</v>
      </c>
      <c r="K186" s="375">
        <f t="shared" si="63"/>
        <v>7.5663000000000077E-2</v>
      </c>
      <c r="L186" s="375">
        <f t="shared" si="63"/>
        <v>0</v>
      </c>
      <c r="M186" s="375">
        <f t="shared" si="63"/>
        <v>0</v>
      </c>
      <c r="N186" s="375">
        <f t="shared" si="63"/>
        <v>0</v>
      </c>
      <c r="O186" s="375">
        <f t="shared" si="63"/>
        <v>0</v>
      </c>
      <c r="P186" s="375">
        <f t="shared" si="63"/>
        <v>0</v>
      </c>
      <c r="Q186" s="375">
        <f t="shared" si="63"/>
        <v>0</v>
      </c>
      <c r="R186" s="375">
        <f t="shared" si="63"/>
        <v>0</v>
      </c>
      <c r="S186" s="375">
        <f t="shared" si="63"/>
        <v>0</v>
      </c>
      <c r="T186" s="375">
        <f t="shared" si="63"/>
        <v>0</v>
      </c>
      <c r="U186" s="375">
        <f t="shared" si="63"/>
        <v>0</v>
      </c>
      <c r="V186" s="375">
        <f t="shared" si="63"/>
        <v>0</v>
      </c>
      <c r="W186" s="375">
        <f t="shared" si="63"/>
        <v>0</v>
      </c>
      <c r="X186" s="375">
        <f t="shared" si="63"/>
        <v>0</v>
      </c>
      <c r="Y186" s="369"/>
    </row>
    <row r="187" spans="1:26" ht="13.5" thickBot="1" x14ac:dyDescent="0.25">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row>
    <row r="188" spans="1:26" ht="13.5" thickBot="1" x14ac:dyDescent="0.25">
      <c r="A188" s="361" t="s">
        <v>326</v>
      </c>
      <c r="B188" s="359">
        <f>ROW(A188)</f>
        <v>188</v>
      </c>
      <c r="C188" s="363" t="s">
        <v>115</v>
      </c>
      <c r="D188" s="353">
        <f>SUM(B191:Y191)</f>
        <v>75.254384000000016</v>
      </c>
      <c r="E188" s="363" t="s">
        <v>114</v>
      </c>
      <c r="F188" s="354">
        <f>D188/g/J188</f>
        <v>232.46033422914161</v>
      </c>
      <c r="G188" s="363" t="s">
        <v>56</v>
      </c>
      <c r="H188" s="64">
        <v>9.5000000000000001E-2</v>
      </c>
      <c r="I188" s="363" t="s">
        <v>271</v>
      </c>
      <c r="J188" s="355">
        <f>H188-L188</f>
        <v>3.3000000000000002E-2</v>
      </c>
      <c r="K188" s="363" t="s">
        <v>272</v>
      </c>
      <c r="L188" s="64">
        <f>0.095-0.033</f>
        <v>6.2E-2</v>
      </c>
      <c r="M188" s="363" t="s">
        <v>57</v>
      </c>
      <c r="N188" s="396">
        <v>66.5</v>
      </c>
      <c r="O188" s="363" t="s">
        <v>59</v>
      </c>
      <c r="P188" s="396">
        <v>66.5</v>
      </c>
      <c r="Q188" s="363" t="s">
        <v>60</v>
      </c>
      <c r="R188" s="65">
        <v>133</v>
      </c>
      <c r="S188" s="363" t="s">
        <v>61</v>
      </c>
      <c r="T188" s="65">
        <v>24</v>
      </c>
      <c r="U188" s="363" t="s">
        <v>54</v>
      </c>
      <c r="V188" s="66" t="s">
        <v>400</v>
      </c>
      <c r="W188" s="463" t="s">
        <v>394</v>
      </c>
      <c r="X188" s="465">
        <v>1.5</v>
      </c>
      <c r="Y188" s="463" t="s">
        <v>393</v>
      </c>
      <c r="Z188" s="358">
        <v>12</v>
      </c>
    </row>
    <row r="189" spans="1:26" x14ac:dyDescent="0.2">
      <c r="A189" s="362" t="s">
        <v>33</v>
      </c>
      <c r="B189" s="370">
        <v>0</v>
      </c>
      <c r="C189" s="371">
        <v>0.02</v>
      </c>
      <c r="D189" s="371">
        <v>3.1E-2</v>
      </c>
      <c r="E189" s="371">
        <v>6.2E-2</v>
      </c>
      <c r="F189" s="371">
        <v>0.11700000000000001</v>
      </c>
      <c r="G189" s="371">
        <v>1.2110000000000001</v>
      </c>
      <c r="H189" s="371">
        <v>1.3759999999999999</v>
      </c>
      <c r="I189" s="371">
        <v>1.456</v>
      </c>
      <c r="J189" s="371">
        <v>1.532</v>
      </c>
      <c r="K189" s="371">
        <v>1.577</v>
      </c>
      <c r="L189" s="371">
        <v>2</v>
      </c>
      <c r="M189" s="371">
        <v>2</v>
      </c>
      <c r="N189" s="371">
        <v>2</v>
      </c>
      <c r="O189" s="371">
        <v>2</v>
      </c>
      <c r="P189" s="371">
        <v>2</v>
      </c>
      <c r="Q189" s="371">
        <v>2</v>
      </c>
      <c r="R189" s="371">
        <v>2</v>
      </c>
      <c r="S189" s="371">
        <v>2</v>
      </c>
      <c r="T189" s="371">
        <v>2</v>
      </c>
      <c r="U189" s="371">
        <v>2</v>
      </c>
      <c r="V189" s="371">
        <v>2</v>
      </c>
      <c r="W189" s="371">
        <v>2</v>
      </c>
      <c r="X189" s="371">
        <f t="shared" ref="T189:X190" si="64">W189</f>
        <v>2</v>
      </c>
      <c r="Y189" s="381">
        <v>1000</v>
      </c>
    </row>
    <row r="190" spans="1:26" x14ac:dyDescent="0.2">
      <c r="A190" s="378" t="s">
        <v>34</v>
      </c>
      <c r="B190" s="372">
        <v>0</v>
      </c>
      <c r="C190" s="373">
        <v>75.924000000000007</v>
      </c>
      <c r="D190" s="373">
        <v>84.147999999999996</v>
      </c>
      <c r="E190" s="373">
        <v>70.441000000000003</v>
      </c>
      <c r="F190" s="373">
        <v>73.659000000000006</v>
      </c>
      <c r="G190" s="373">
        <v>38.737000000000002</v>
      </c>
      <c r="H190" s="373">
        <v>14.779</v>
      </c>
      <c r="I190" s="373">
        <v>7.2709999999999999</v>
      </c>
      <c r="J190" s="373">
        <v>3.3370000000000002</v>
      </c>
      <c r="K190" s="373">
        <v>0</v>
      </c>
      <c r="L190" s="373">
        <v>0</v>
      </c>
      <c r="M190" s="373">
        <v>0</v>
      </c>
      <c r="N190" s="373">
        <v>0</v>
      </c>
      <c r="O190" s="373">
        <v>0</v>
      </c>
      <c r="P190" s="373">
        <v>0</v>
      </c>
      <c r="Q190" s="373">
        <v>0</v>
      </c>
      <c r="R190" s="373">
        <v>0</v>
      </c>
      <c r="S190" s="373">
        <v>0</v>
      </c>
      <c r="T190" s="373">
        <f t="shared" si="64"/>
        <v>0</v>
      </c>
      <c r="U190" s="373">
        <f t="shared" si="64"/>
        <v>0</v>
      </c>
      <c r="V190" s="373">
        <f t="shared" si="64"/>
        <v>0</v>
      </c>
      <c r="W190" s="373">
        <f t="shared" si="64"/>
        <v>0</v>
      </c>
      <c r="X190" s="373">
        <f t="shared" si="64"/>
        <v>0</v>
      </c>
      <c r="Y190" s="382">
        <v>0</v>
      </c>
    </row>
    <row r="191" spans="1:26" ht="13.5" thickBot="1" x14ac:dyDescent="0.25">
      <c r="A191" s="379" t="s">
        <v>116</v>
      </c>
      <c r="B191" s="374">
        <f t="shared" ref="B191:V191" si="65">(C190+B190)*(C189-B189)/2</f>
        <v>0.75924000000000014</v>
      </c>
      <c r="C191" s="375">
        <f t="shared" si="65"/>
        <v>0.88039599999999996</v>
      </c>
      <c r="D191" s="375">
        <f t="shared" si="65"/>
        <v>2.3961294999999998</v>
      </c>
      <c r="E191" s="375">
        <f t="shared" si="65"/>
        <v>3.9627500000000011</v>
      </c>
      <c r="F191" s="375">
        <f t="shared" si="65"/>
        <v>61.480612000000015</v>
      </c>
      <c r="G191" s="375">
        <f t="shared" si="65"/>
        <v>4.4150699999999956</v>
      </c>
      <c r="H191" s="375">
        <f t="shared" si="65"/>
        <v>0.88200000000000078</v>
      </c>
      <c r="I191" s="375">
        <f t="shared" si="65"/>
        <v>0.40310400000000035</v>
      </c>
      <c r="J191" s="375">
        <f>(K190+J190)*(K189-J189)/2</f>
        <v>7.5082499999999885E-2</v>
      </c>
      <c r="K191" s="375">
        <f t="shared" si="65"/>
        <v>0</v>
      </c>
      <c r="L191" s="375">
        <f t="shared" si="65"/>
        <v>0</v>
      </c>
      <c r="M191" s="375">
        <f t="shared" si="65"/>
        <v>0</v>
      </c>
      <c r="N191" s="375">
        <f t="shared" si="65"/>
        <v>0</v>
      </c>
      <c r="O191" s="375">
        <f t="shared" si="65"/>
        <v>0</v>
      </c>
      <c r="P191" s="375">
        <f t="shared" si="65"/>
        <v>0</v>
      </c>
      <c r="Q191" s="375">
        <f t="shared" si="65"/>
        <v>0</v>
      </c>
      <c r="R191" s="375">
        <f t="shared" si="65"/>
        <v>0</v>
      </c>
      <c r="S191" s="375">
        <f>(T190+S190)*(T189-S189)/2</f>
        <v>0</v>
      </c>
      <c r="T191" s="375">
        <f t="shared" si="65"/>
        <v>0</v>
      </c>
      <c r="U191" s="375">
        <f t="shared" si="65"/>
        <v>0</v>
      </c>
      <c r="V191" s="375">
        <f t="shared" si="65"/>
        <v>0</v>
      </c>
      <c r="W191" s="375">
        <f>(X190+W190)*(X189-W189)/2</f>
        <v>0</v>
      </c>
      <c r="X191" s="375">
        <f>(Y190+X190)*(Y189-X189)/2</f>
        <v>0</v>
      </c>
      <c r="Y191" s="369"/>
    </row>
    <row r="192" spans="1:26" ht="13.5" thickBot="1" x14ac:dyDescent="0.25">
      <c r="A192" s="6" t="s">
        <v>373</v>
      </c>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row>
    <row r="193" spans="1:26" ht="13.5" thickBot="1" x14ac:dyDescent="0.25">
      <c r="A193" s="361" t="s">
        <v>536</v>
      </c>
      <c r="B193" s="359">
        <f>ROW(A193)</f>
        <v>193</v>
      </c>
      <c r="C193" s="363" t="s">
        <v>115</v>
      </c>
      <c r="D193" s="353">
        <f>SUM(B196:Y196)</f>
        <v>141.04999999999998</v>
      </c>
      <c r="E193" s="363" t="s">
        <v>114</v>
      </c>
      <c r="F193" s="354">
        <f>D193/g/J193</f>
        <v>186.24592648930721</v>
      </c>
      <c r="G193" s="363" t="s">
        <v>56</v>
      </c>
      <c r="H193" s="64">
        <v>0.16189999999999999</v>
      </c>
      <c r="I193" s="363" t="s">
        <v>271</v>
      </c>
      <c r="J193" s="355">
        <f>H193-L193</f>
        <v>7.7199999999999991E-2</v>
      </c>
      <c r="K193" s="363" t="s">
        <v>272</v>
      </c>
      <c r="L193" s="64">
        <v>8.4699999999999998E-2</v>
      </c>
      <c r="M193" s="363" t="s">
        <v>57</v>
      </c>
      <c r="N193" s="65">
        <v>114</v>
      </c>
      <c r="O193" s="363" t="s">
        <v>59</v>
      </c>
      <c r="P193" s="65">
        <v>114</v>
      </c>
      <c r="Q193" s="363" t="s">
        <v>60</v>
      </c>
      <c r="R193" s="65">
        <v>228</v>
      </c>
      <c r="S193" s="363" t="s">
        <v>61</v>
      </c>
      <c r="T193" s="65">
        <v>24</v>
      </c>
      <c r="U193" s="363" t="s">
        <v>54</v>
      </c>
      <c r="V193" s="66" t="s">
        <v>119</v>
      </c>
      <c r="W193" s="463" t="s">
        <v>394</v>
      </c>
      <c r="X193" s="465">
        <v>0.96</v>
      </c>
      <c r="Y193" s="463" t="s">
        <v>393</v>
      </c>
      <c r="Z193" s="358">
        <v>15</v>
      </c>
    </row>
    <row r="194" spans="1:26" x14ac:dyDescent="0.2">
      <c r="A194" s="362" t="s">
        <v>33</v>
      </c>
      <c r="B194" s="370">
        <v>0</v>
      </c>
      <c r="C194" s="371">
        <v>0.02</v>
      </c>
      <c r="D194" s="371">
        <v>0.03</v>
      </c>
      <c r="E194" s="371">
        <v>0.05</v>
      </c>
      <c r="F194" s="371">
        <v>0.6</v>
      </c>
      <c r="G194" s="371">
        <v>0.67</v>
      </c>
      <c r="H194" s="371">
        <v>0.7</v>
      </c>
      <c r="I194" s="371">
        <v>0.8</v>
      </c>
      <c r="J194" s="371">
        <v>0.9</v>
      </c>
      <c r="K194" s="371">
        <v>1.05</v>
      </c>
      <c r="L194" s="371">
        <f t="shared" ref="L194:W194" si="66">K194</f>
        <v>1.05</v>
      </c>
      <c r="M194" s="371">
        <f t="shared" si="66"/>
        <v>1.05</v>
      </c>
      <c r="N194" s="371">
        <f t="shared" si="66"/>
        <v>1.05</v>
      </c>
      <c r="O194" s="371">
        <f t="shared" si="66"/>
        <v>1.05</v>
      </c>
      <c r="P194" s="371">
        <f t="shared" si="66"/>
        <v>1.05</v>
      </c>
      <c r="Q194" s="371">
        <f t="shared" si="66"/>
        <v>1.05</v>
      </c>
      <c r="R194" s="371">
        <f t="shared" si="66"/>
        <v>1.05</v>
      </c>
      <c r="S194" s="371">
        <f t="shared" si="66"/>
        <v>1.05</v>
      </c>
      <c r="T194" s="371">
        <f t="shared" si="66"/>
        <v>1.05</v>
      </c>
      <c r="U194" s="371">
        <f t="shared" si="66"/>
        <v>1.05</v>
      </c>
      <c r="V194" s="371">
        <f t="shared" si="66"/>
        <v>1.05</v>
      </c>
      <c r="W194" s="371">
        <f t="shared" si="66"/>
        <v>1.05</v>
      </c>
      <c r="X194" s="371">
        <v>2</v>
      </c>
      <c r="Y194" s="381">
        <v>1000</v>
      </c>
    </row>
    <row r="195" spans="1:26" x14ac:dyDescent="0.2">
      <c r="A195" s="378" t="s">
        <v>34</v>
      </c>
      <c r="B195" s="372">
        <v>0</v>
      </c>
      <c r="C195" s="373">
        <v>350</v>
      </c>
      <c r="D195" s="373">
        <v>250</v>
      </c>
      <c r="E195" s="373">
        <v>210</v>
      </c>
      <c r="F195" s="373">
        <v>150</v>
      </c>
      <c r="G195" s="373">
        <v>140</v>
      </c>
      <c r="H195" s="373">
        <v>130</v>
      </c>
      <c r="I195" s="373">
        <v>65</v>
      </c>
      <c r="J195" s="373">
        <v>30</v>
      </c>
      <c r="K195" s="373">
        <v>0</v>
      </c>
      <c r="L195" s="373">
        <v>0</v>
      </c>
      <c r="M195" s="373">
        <v>0</v>
      </c>
      <c r="N195" s="373">
        <v>0</v>
      </c>
      <c r="O195" s="373">
        <v>0</v>
      </c>
      <c r="P195" s="373">
        <v>0</v>
      </c>
      <c r="Q195" s="373">
        <v>0</v>
      </c>
      <c r="R195" s="373">
        <v>0</v>
      </c>
      <c r="S195" s="373">
        <f t="shared" ref="S195:X195" si="67">R195</f>
        <v>0</v>
      </c>
      <c r="T195" s="373">
        <f t="shared" si="67"/>
        <v>0</v>
      </c>
      <c r="U195" s="373">
        <f t="shared" si="67"/>
        <v>0</v>
      </c>
      <c r="V195" s="373">
        <f t="shared" si="67"/>
        <v>0</v>
      </c>
      <c r="W195" s="373">
        <f t="shared" si="67"/>
        <v>0</v>
      </c>
      <c r="X195" s="373">
        <f t="shared" si="67"/>
        <v>0</v>
      </c>
      <c r="Y195" s="382">
        <v>0</v>
      </c>
    </row>
    <row r="196" spans="1:26" ht="13.5" thickBot="1" x14ac:dyDescent="0.25">
      <c r="A196" s="379" t="s">
        <v>116</v>
      </c>
      <c r="B196" s="374">
        <f t="shared" ref="B196:X196" si="68">(C195+B195)*(C194-B194)/2</f>
        <v>3.5</v>
      </c>
      <c r="C196" s="375">
        <f t="shared" si="68"/>
        <v>2.9999999999999996</v>
      </c>
      <c r="D196" s="375">
        <f t="shared" si="68"/>
        <v>4.6000000000000005</v>
      </c>
      <c r="E196" s="375">
        <f t="shared" si="68"/>
        <v>98.999999999999986</v>
      </c>
      <c r="F196" s="375">
        <f t="shared" si="68"/>
        <v>10.150000000000009</v>
      </c>
      <c r="G196" s="375">
        <f t="shared" si="68"/>
        <v>4.0499999999999883</v>
      </c>
      <c r="H196" s="375">
        <f t="shared" si="68"/>
        <v>9.7500000000000089</v>
      </c>
      <c r="I196" s="375">
        <f t="shared" si="68"/>
        <v>4.7499999999999991</v>
      </c>
      <c r="J196" s="375">
        <f t="shared" si="68"/>
        <v>2.2500000000000004</v>
      </c>
      <c r="K196" s="375">
        <f t="shared" si="68"/>
        <v>0</v>
      </c>
      <c r="L196" s="375">
        <f t="shared" si="68"/>
        <v>0</v>
      </c>
      <c r="M196" s="375">
        <f t="shared" si="68"/>
        <v>0</v>
      </c>
      <c r="N196" s="375">
        <f t="shared" si="68"/>
        <v>0</v>
      </c>
      <c r="O196" s="375">
        <f t="shared" si="68"/>
        <v>0</v>
      </c>
      <c r="P196" s="375">
        <f t="shared" si="68"/>
        <v>0</v>
      </c>
      <c r="Q196" s="375">
        <f t="shared" si="68"/>
        <v>0</v>
      </c>
      <c r="R196" s="375">
        <f t="shared" si="68"/>
        <v>0</v>
      </c>
      <c r="S196" s="375">
        <f t="shared" si="68"/>
        <v>0</v>
      </c>
      <c r="T196" s="375">
        <f t="shared" si="68"/>
        <v>0</v>
      </c>
      <c r="U196" s="375">
        <f t="shared" si="68"/>
        <v>0</v>
      </c>
      <c r="V196" s="375">
        <f t="shared" si="68"/>
        <v>0</v>
      </c>
      <c r="W196" s="375">
        <f t="shared" si="68"/>
        <v>0</v>
      </c>
      <c r="X196" s="375">
        <f t="shared" si="68"/>
        <v>0</v>
      </c>
      <c r="Y196" s="369"/>
    </row>
    <row r="197" spans="1:26" ht="13.5" thickBot="1" x14ac:dyDescent="0.25">
      <c r="A197" s="12" t="s">
        <v>545</v>
      </c>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row>
    <row r="198" spans="1:26" ht="13.5" thickBot="1" x14ac:dyDescent="0.25">
      <c r="A198" s="361" t="s">
        <v>548</v>
      </c>
      <c r="B198" s="359">
        <f>ROW(A198)</f>
        <v>198</v>
      </c>
      <c r="C198" s="363" t="s">
        <v>115</v>
      </c>
      <c r="D198" s="353">
        <f>SUM(B201:Y201)</f>
        <v>142.44</v>
      </c>
      <c r="E198" s="363" t="s">
        <v>114</v>
      </c>
      <c r="F198" s="354">
        <f>D198/g/J198</f>
        <v>192.06187401906058</v>
      </c>
      <c r="G198" s="363" t="s">
        <v>56</v>
      </c>
      <c r="H198" s="64">
        <v>0.15989999999999999</v>
      </c>
      <c r="I198" s="363" t="s">
        <v>271</v>
      </c>
      <c r="J198" s="355">
        <f>H198-L198</f>
        <v>7.5599999999999987E-2</v>
      </c>
      <c r="K198" s="363" t="s">
        <v>272</v>
      </c>
      <c r="L198" s="64">
        <v>8.43E-2</v>
      </c>
      <c r="M198" s="363" t="s">
        <v>57</v>
      </c>
      <c r="N198" s="65">
        <v>114</v>
      </c>
      <c r="O198" s="363" t="s">
        <v>59</v>
      </c>
      <c r="P198" s="65">
        <v>114</v>
      </c>
      <c r="Q198" s="363" t="s">
        <v>60</v>
      </c>
      <c r="R198" s="65">
        <v>228</v>
      </c>
      <c r="S198" s="363" t="s">
        <v>61</v>
      </c>
      <c r="T198" s="65">
        <v>24</v>
      </c>
      <c r="U198" s="363" t="s">
        <v>54</v>
      </c>
      <c r="V198" s="66" t="s">
        <v>401</v>
      </c>
      <c r="W198" s="463" t="s">
        <v>394</v>
      </c>
      <c r="X198" s="465">
        <v>0.97</v>
      </c>
      <c r="Y198" s="463" t="s">
        <v>393</v>
      </c>
      <c r="Z198" s="358">
        <v>13</v>
      </c>
    </row>
    <row r="199" spans="1:26" x14ac:dyDescent="0.2">
      <c r="A199" s="362" t="s">
        <v>33</v>
      </c>
      <c r="B199" s="370">
        <v>0</v>
      </c>
      <c r="C199" s="371">
        <v>0.02</v>
      </c>
      <c r="D199" s="371">
        <v>0.04</v>
      </c>
      <c r="E199" s="371">
        <v>0.62</v>
      </c>
      <c r="F199" s="371">
        <v>0.66</v>
      </c>
      <c r="G199" s="371">
        <v>0.68</v>
      </c>
      <c r="H199" s="371">
        <v>0.8</v>
      </c>
      <c r="I199" s="371">
        <v>0.84</v>
      </c>
      <c r="J199" s="371">
        <v>0.88</v>
      </c>
      <c r="K199" s="371">
        <v>0.92</v>
      </c>
      <c r="L199" s="371">
        <v>0.96</v>
      </c>
      <c r="M199" s="371">
        <v>1</v>
      </c>
      <c r="N199" s="371">
        <v>1.08</v>
      </c>
      <c r="O199" s="371">
        <v>2</v>
      </c>
      <c r="P199" s="371">
        <v>2</v>
      </c>
      <c r="Q199" s="371">
        <v>2</v>
      </c>
      <c r="R199" s="371">
        <v>2</v>
      </c>
      <c r="S199" s="371">
        <f t="shared" ref="S199:X200" si="69">R199</f>
        <v>2</v>
      </c>
      <c r="T199" s="371">
        <f t="shared" si="69"/>
        <v>2</v>
      </c>
      <c r="U199" s="371">
        <f t="shared" si="69"/>
        <v>2</v>
      </c>
      <c r="V199" s="371">
        <f t="shared" si="69"/>
        <v>2</v>
      </c>
      <c r="W199" s="371">
        <f t="shared" si="69"/>
        <v>2</v>
      </c>
      <c r="X199" s="371">
        <f t="shared" si="69"/>
        <v>2</v>
      </c>
      <c r="Y199" s="381">
        <v>1000</v>
      </c>
    </row>
    <row r="200" spans="1:26" x14ac:dyDescent="0.2">
      <c r="A200" s="378" t="s">
        <v>34</v>
      </c>
      <c r="B200" s="372">
        <v>0</v>
      </c>
      <c r="C200" s="373">
        <v>250</v>
      </c>
      <c r="D200" s="373">
        <v>210</v>
      </c>
      <c r="E200" s="373">
        <v>160</v>
      </c>
      <c r="F200" s="373">
        <v>150</v>
      </c>
      <c r="G200" s="373">
        <v>142</v>
      </c>
      <c r="H200" s="373">
        <v>62</v>
      </c>
      <c r="I200" s="373">
        <v>48</v>
      </c>
      <c r="J200" s="373">
        <v>34</v>
      </c>
      <c r="K200" s="373">
        <v>24</v>
      </c>
      <c r="L200" s="373">
        <v>15</v>
      </c>
      <c r="M200" s="373">
        <v>10</v>
      </c>
      <c r="N200" s="373">
        <v>0</v>
      </c>
      <c r="O200" s="373">
        <v>0</v>
      </c>
      <c r="P200" s="373">
        <v>0</v>
      </c>
      <c r="Q200" s="373">
        <v>0</v>
      </c>
      <c r="R200" s="373">
        <v>0</v>
      </c>
      <c r="S200" s="373">
        <f t="shared" si="69"/>
        <v>0</v>
      </c>
      <c r="T200" s="373">
        <f t="shared" si="69"/>
        <v>0</v>
      </c>
      <c r="U200" s="373">
        <f t="shared" si="69"/>
        <v>0</v>
      </c>
      <c r="V200" s="373">
        <f t="shared" si="69"/>
        <v>0</v>
      </c>
      <c r="W200" s="373">
        <f t="shared" si="69"/>
        <v>0</v>
      </c>
      <c r="X200" s="373">
        <f t="shared" si="69"/>
        <v>0</v>
      </c>
      <c r="Y200" s="382">
        <v>0</v>
      </c>
    </row>
    <row r="201" spans="1:26" ht="13.5" thickBot="1" x14ac:dyDescent="0.25">
      <c r="A201" s="379" t="s">
        <v>116</v>
      </c>
      <c r="B201" s="374">
        <f t="shared" ref="B201:X201" si="70">(C200+B200)*(C199-B199)/2</f>
        <v>2.5</v>
      </c>
      <c r="C201" s="375">
        <f t="shared" si="70"/>
        <v>4.6000000000000005</v>
      </c>
      <c r="D201" s="375">
        <f t="shared" si="70"/>
        <v>107.3</v>
      </c>
      <c r="E201" s="375">
        <f t="shared" si="70"/>
        <v>6.2000000000000055</v>
      </c>
      <c r="F201" s="375">
        <f t="shared" si="70"/>
        <v>2.9200000000000026</v>
      </c>
      <c r="G201" s="375">
        <f t="shared" si="70"/>
        <v>12.24</v>
      </c>
      <c r="H201" s="375">
        <f t="shared" si="70"/>
        <v>2.1999999999999957</v>
      </c>
      <c r="I201" s="375">
        <f t="shared" si="70"/>
        <v>1.6400000000000015</v>
      </c>
      <c r="J201" s="375">
        <f t="shared" si="70"/>
        <v>1.160000000000001</v>
      </c>
      <c r="K201" s="375">
        <f t="shared" si="70"/>
        <v>0.77999999999999847</v>
      </c>
      <c r="L201" s="375">
        <f t="shared" si="70"/>
        <v>0.50000000000000044</v>
      </c>
      <c r="M201" s="375">
        <f t="shared" si="70"/>
        <v>0.40000000000000036</v>
      </c>
      <c r="N201" s="375">
        <f t="shared" si="70"/>
        <v>0</v>
      </c>
      <c r="O201" s="375">
        <f t="shared" si="70"/>
        <v>0</v>
      </c>
      <c r="P201" s="375">
        <f t="shared" si="70"/>
        <v>0</v>
      </c>
      <c r="Q201" s="375">
        <f t="shared" si="70"/>
        <v>0</v>
      </c>
      <c r="R201" s="375">
        <f t="shared" si="70"/>
        <v>0</v>
      </c>
      <c r="S201" s="375">
        <f t="shared" si="70"/>
        <v>0</v>
      </c>
      <c r="T201" s="375">
        <f t="shared" si="70"/>
        <v>0</v>
      </c>
      <c r="U201" s="375">
        <f t="shared" si="70"/>
        <v>0</v>
      </c>
      <c r="V201" s="375">
        <f t="shared" si="70"/>
        <v>0</v>
      </c>
      <c r="W201" s="375">
        <f t="shared" si="70"/>
        <v>0</v>
      </c>
      <c r="X201" s="375">
        <f t="shared" si="70"/>
        <v>0</v>
      </c>
      <c r="Y201" s="369"/>
    </row>
    <row r="202" spans="1:26" ht="13.5" thickBot="1" x14ac:dyDescent="0.25">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row>
    <row r="203" spans="1:26" ht="13.5" thickBot="1" x14ac:dyDescent="0.25">
      <c r="A203" s="361" t="s">
        <v>538</v>
      </c>
      <c r="B203" s="359">
        <f>ROW(A203)</f>
        <v>203</v>
      </c>
      <c r="C203" s="363" t="s">
        <v>115</v>
      </c>
      <c r="D203" s="353">
        <f>SUM(B206:Y206)</f>
        <v>143.08845000000002</v>
      </c>
      <c r="E203" s="363" t="s">
        <v>114</v>
      </c>
      <c r="F203" s="354">
        <f>D203/g/J203</f>
        <v>168.23504721190514</v>
      </c>
      <c r="G203" s="363" t="s">
        <v>56</v>
      </c>
      <c r="H203" s="64">
        <v>0.17249999999999999</v>
      </c>
      <c r="I203" s="363" t="s">
        <v>271</v>
      </c>
      <c r="J203" s="355">
        <f>H203-L203</f>
        <v>8.6699999999999985E-2</v>
      </c>
      <c r="K203" s="363" t="s">
        <v>272</v>
      </c>
      <c r="L203" s="64">
        <v>8.5800000000000001E-2</v>
      </c>
      <c r="M203" s="363" t="s">
        <v>57</v>
      </c>
      <c r="N203" s="65">
        <v>114</v>
      </c>
      <c r="O203" s="363" t="s">
        <v>59</v>
      </c>
      <c r="P203" s="65">
        <v>114</v>
      </c>
      <c r="Q203" s="363" t="s">
        <v>60</v>
      </c>
      <c r="R203" s="65">
        <v>228</v>
      </c>
      <c r="S203" s="363" t="s">
        <v>61</v>
      </c>
      <c r="T203" s="65">
        <v>24</v>
      </c>
      <c r="U203" s="363" t="s">
        <v>54</v>
      </c>
      <c r="V203" s="66" t="s">
        <v>119</v>
      </c>
      <c r="W203" s="463" t="s">
        <v>394</v>
      </c>
      <c r="X203" s="465">
        <v>0.97</v>
      </c>
      <c r="Y203" s="463" t="s">
        <v>393</v>
      </c>
      <c r="Z203" s="358">
        <v>11</v>
      </c>
    </row>
    <row r="204" spans="1:26" x14ac:dyDescent="0.2">
      <c r="A204" s="362" t="s">
        <v>33</v>
      </c>
      <c r="B204" s="370">
        <v>0</v>
      </c>
      <c r="C204" s="371">
        <v>8.0000000000000002E-3</v>
      </c>
      <c r="D204" s="371">
        <v>1.2999999999999999E-2</v>
      </c>
      <c r="E204" s="371">
        <v>2.1999999999999999E-2</v>
      </c>
      <c r="F204" s="371">
        <v>3.5000000000000003E-2</v>
      </c>
      <c r="G204" s="371">
        <v>6.3E-2</v>
      </c>
      <c r="H204" s="371">
        <v>0.10299999999999999</v>
      </c>
      <c r="I204" s="371">
        <v>0.19600000000000001</v>
      </c>
      <c r="J204" s="371">
        <v>0.311</v>
      </c>
      <c r="K204" s="371">
        <v>0.47399999999999998</v>
      </c>
      <c r="L204" s="371">
        <v>0.56399999999999995</v>
      </c>
      <c r="M204" s="371">
        <v>0.76200000000000001</v>
      </c>
      <c r="N204" s="371">
        <v>0.85799999999999998</v>
      </c>
      <c r="O204" s="371">
        <v>0.92800000000000005</v>
      </c>
      <c r="P204" s="371">
        <v>1.038</v>
      </c>
      <c r="Q204" s="371">
        <v>1.08</v>
      </c>
      <c r="R204" s="371">
        <v>1.131</v>
      </c>
      <c r="S204" s="371">
        <v>1.1850000000000001</v>
      </c>
      <c r="T204" s="371">
        <v>1.224</v>
      </c>
      <c r="U204" s="371">
        <v>1.258</v>
      </c>
      <c r="V204" s="371">
        <v>1.4</v>
      </c>
      <c r="W204" s="371">
        <v>1.4410000000000001</v>
      </c>
      <c r="X204" s="371">
        <v>2</v>
      </c>
      <c r="Y204" s="381">
        <v>1000</v>
      </c>
    </row>
    <row r="205" spans="1:26" x14ac:dyDescent="0.2">
      <c r="A205" s="378" t="s">
        <v>34</v>
      </c>
      <c r="B205" s="372">
        <v>0</v>
      </c>
      <c r="C205" s="373">
        <v>168.643</v>
      </c>
      <c r="D205" s="373">
        <v>177.339</v>
      </c>
      <c r="E205" s="373">
        <v>177.86600000000001</v>
      </c>
      <c r="F205" s="373">
        <v>171.27799999999999</v>
      </c>
      <c r="G205" s="373">
        <v>157.839</v>
      </c>
      <c r="H205" s="373">
        <v>154.941</v>
      </c>
      <c r="I205" s="373">
        <v>148.88</v>
      </c>
      <c r="J205" s="373">
        <v>144.137</v>
      </c>
      <c r="K205" s="373">
        <v>138.07599999999999</v>
      </c>
      <c r="L205" s="373">
        <v>135.70500000000001</v>
      </c>
      <c r="M205" s="373">
        <v>125.955</v>
      </c>
      <c r="N205" s="373">
        <v>116.733</v>
      </c>
      <c r="O205" s="373">
        <v>101.71299999999999</v>
      </c>
      <c r="P205" s="373">
        <v>57.444000000000003</v>
      </c>
      <c r="Q205" s="373">
        <v>42.688000000000002</v>
      </c>
      <c r="R205" s="373">
        <v>31.884</v>
      </c>
      <c r="S205" s="373">
        <v>17.655000000000001</v>
      </c>
      <c r="T205" s="373">
        <v>9.4860000000000007</v>
      </c>
      <c r="U205" s="373">
        <v>5.27</v>
      </c>
      <c r="V205" s="373">
        <v>0.79100000000000004</v>
      </c>
      <c r="W205" s="373">
        <v>0</v>
      </c>
      <c r="X205" s="373">
        <f>W205</f>
        <v>0</v>
      </c>
      <c r="Y205" s="382">
        <v>0</v>
      </c>
    </row>
    <row r="206" spans="1:26" ht="13.5" thickBot="1" x14ac:dyDescent="0.25">
      <c r="A206" s="379" t="s">
        <v>116</v>
      </c>
      <c r="B206" s="374">
        <f t="shared" ref="B206:X206" si="71">(C205+B205)*(C204-B204)/2</f>
        <v>0.67457200000000006</v>
      </c>
      <c r="C206" s="375">
        <f t="shared" si="71"/>
        <v>0.86495499999999981</v>
      </c>
      <c r="D206" s="375">
        <f t="shared" si="71"/>
        <v>1.5984225000000001</v>
      </c>
      <c r="E206" s="375">
        <f t="shared" si="71"/>
        <v>2.2694360000000007</v>
      </c>
      <c r="F206" s="375">
        <f t="shared" si="71"/>
        <v>4.6076379999999988</v>
      </c>
      <c r="G206" s="375">
        <f t="shared" si="71"/>
        <v>6.2555999999999985</v>
      </c>
      <c r="H206" s="375">
        <f t="shared" si="71"/>
        <v>14.127676500000003</v>
      </c>
      <c r="I206" s="375">
        <f t="shared" si="71"/>
        <v>16.848477499999998</v>
      </c>
      <c r="J206" s="375">
        <f t="shared" si="71"/>
        <v>23.000359499999995</v>
      </c>
      <c r="K206" s="375">
        <f t="shared" si="71"/>
        <v>12.320144999999997</v>
      </c>
      <c r="L206" s="375">
        <f t="shared" si="71"/>
        <v>25.904340000000012</v>
      </c>
      <c r="M206" s="375">
        <f t="shared" si="71"/>
        <v>11.649023999999997</v>
      </c>
      <c r="N206" s="375">
        <f t="shared" si="71"/>
        <v>7.6456100000000067</v>
      </c>
      <c r="O206" s="375">
        <f t="shared" si="71"/>
        <v>8.7536349999999974</v>
      </c>
      <c r="P206" s="375">
        <f t="shared" si="71"/>
        <v>2.1027720000000021</v>
      </c>
      <c r="Q206" s="375">
        <f t="shared" si="71"/>
        <v>1.9015859999999976</v>
      </c>
      <c r="R206" s="375">
        <f t="shared" si="71"/>
        <v>1.3375530000000013</v>
      </c>
      <c r="S206" s="375">
        <f t="shared" si="71"/>
        <v>0.52924949999999904</v>
      </c>
      <c r="T206" s="375">
        <f t="shared" si="71"/>
        <v>0.25085200000000024</v>
      </c>
      <c r="U206" s="375">
        <f t="shared" si="71"/>
        <v>0.43033099999999969</v>
      </c>
      <c r="V206" s="375">
        <f t="shared" si="71"/>
        <v>1.621550000000006E-2</v>
      </c>
      <c r="W206" s="375">
        <f t="shared" si="71"/>
        <v>0</v>
      </c>
      <c r="X206" s="375">
        <f t="shared" si="71"/>
        <v>0</v>
      </c>
      <c r="Y206" s="369"/>
    </row>
    <row r="207" spans="1:26" ht="13.5" thickBot="1" x14ac:dyDescent="0.25">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row>
    <row r="208" spans="1:26" ht="13.5" thickBot="1" x14ac:dyDescent="0.25">
      <c r="A208" s="361" t="s">
        <v>537</v>
      </c>
      <c r="B208" s="359">
        <f>ROW(A208)</f>
        <v>208</v>
      </c>
      <c r="C208" s="363" t="s">
        <v>115</v>
      </c>
      <c r="D208" s="353">
        <f>SUM(B211:Y211)</f>
        <v>139.423417</v>
      </c>
      <c r="E208" s="363" t="s">
        <v>114</v>
      </c>
      <c r="F208" s="354">
        <f>D208/g/J208</f>
        <v>158.62027745922524</v>
      </c>
      <c r="G208" s="363" t="s">
        <v>56</v>
      </c>
      <c r="H208" s="64">
        <v>0.19450000000000001</v>
      </c>
      <c r="I208" s="363" t="s">
        <v>271</v>
      </c>
      <c r="J208" s="355">
        <f>H208-L208</f>
        <v>8.9600000000000013E-2</v>
      </c>
      <c r="K208" s="363" t="s">
        <v>272</v>
      </c>
      <c r="L208" s="64">
        <v>0.10489999999999999</v>
      </c>
      <c r="M208" s="363" t="s">
        <v>57</v>
      </c>
      <c r="N208" s="65">
        <v>114</v>
      </c>
      <c r="O208" s="363" t="s">
        <v>59</v>
      </c>
      <c r="P208" s="65">
        <v>144</v>
      </c>
      <c r="Q208" s="363" t="s">
        <v>60</v>
      </c>
      <c r="R208" s="65">
        <v>228</v>
      </c>
      <c r="S208" s="363" t="s">
        <v>61</v>
      </c>
      <c r="T208" s="65">
        <v>24</v>
      </c>
      <c r="U208" s="363" t="s">
        <v>54</v>
      </c>
      <c r="V208" s="66" t="s">
        <v>119</v>
      </c>
      <c r="W208" s="463" t="s">
        <v>394</v>
      </c>
      <c r="X208" s="465">
        <v>1.3</v>
      </c>
      <c r="Y208" s="463" t="s">
        <v>393</v>
      </c>
      <c r="Z208" s="358">
        <v>12</v>
      </c>
    </row>
    <row r="209" spans="1:26" x14ac:dyDescent="0.2">
      <c r="A209" s="362" t="s">
        <v>33</v>
      </c>
      <c r="B209" s="370">
        <v>0</v>
      </c>
      <c r="C209" s="371">
        <v>1.0999999999999999E-2</v>
      </c>
      <c r="D209" s="371">
        <v>2.1999999999999999E-2</v>
      </c>
      <c r="E209" s="371">
        <v>4.5999999999999999E-2</v>
      </c>
      <c r="F209" s="371">
        <v>8.1000000000000003E-2</v>
      </c>
      <c r="G209" s="371">
        <v>0.219</v>
      </c>
      <c r="H209" s="371">
        <v>0.253</v>
      </c>
      <c r="I209" s="371">
        <v>0.27400000000000002</v>
      </c>
      <c r="J209" s="371">
        <v>0.30499999999999999</v>
      </c>
      <c r="K209" s="371">
        <v>0.41199999999999998</v>
      </c>
      <c r="L209" s="371">
        <v>0.78900000000000003</v>
      </c>
      <c r="M209" s="371">
        <v>0.89900000000000002</v>
      </c>
      <c r="N209" s="371">
        <v>0.95299999999999996</v>
      </c>
      <c r="O209" s="371">
        <v>0.999</v>
      </c>
      <c r="P209" s="371">
        <v>1.03</v>
      </c>
      <c r="Q209" s="371">
        <v>1.0569999999999999</v>
      </c>
      <c r="R209" s="371">
        <v>1.1020000000000001</v>
      </c>
      <c r="S209" s="371">
        <v>1.1539999999999999</v>
      </c>
      <c r="T209" s="371">
        <v>1.1970000000000001</v>
      </c>
      <c r="U209" s="371">
        <v>1.2769999999999999</v>
      </c>
      <c r="V209" s="371">
        <v>1.335</v>
      </c>
      <c r="W209" s="371">
        <v>1.4510000000000001</v>
      </c>
      <c r="X209" s="371">
        <v>2</v>
      </c>
      <c r="Y209" s="381">
        <v>1000</v>
      </c>
    </row>
    <row r="210" spans="1:26" x14ac:dyDescent="0.2">
      <c r="A210" s="378" t="s">
        <v>34</v>
      </c>
      <c r="B210" s="372">
        <v>0</v>
      </c>
      <c r="C210" s="373">
        <v>198.41800000000001</v>
      </c>
      <c r="D210" s="373">
        <v>221.83500000000001</v>
      </c>
      <c r="E210" s="373">
        <v>212.65799999999999</v>
      </c>
      <c r="F210" s="373">
        <v>218.35400000000001</v>
      </c>
      <c r="G210" s="373">
        <v>204.43</v>
      </c>
      <c r="H210" s="373">
        <v>195.886</v>
      </c>
      <c r="I210" s="373">
        <v>183.54400000000001</v>
      </c>
      <c r="J210" s="373">
        <v>88.290999999999997</v>
      </c>
      <c r="K210" s="373">
        <v>93.671000000000006</v>
      </c>
      <c r="L210" s="373">
        <v>93.986999999999995</v>
      </c>
      <c r="M210" s="373">
        <v>91.138999999999996</v>
      </c>
      <c r="N210" s="373">
        <v>89.873000000000005</v>
      </c>
      <c r="O210" s="373">
        <v>87.025000000000006</v>
      </c>
      <c r="P210" s="373">
        <v>81.328999999999994</v>
      </c>
      <c r="Q210" s="373">
        <v>69.936999999999998</v>
      </c>
      <c r="R210" s="373">
        <v>54.113999999999997</v>
      </c>
      <c r="S210" s="373">
        <v>42.405000000000001</v>
      </c>
      <c r="T210" s="373">
        <v>31.646000000000001</v>
      </c>
      <c r="U210" s="373">
        <v>17.088999999999999</v>
      </c>
      <c r="V210" s="373">
        <v>9.81</v>
      </c>
      <c r="W210" s="373">
        <v>0</v>
      </c>
      <c r="X210" s="373">
        <v>0</v>
      </c>
      <c r="Y210" s="382">
        <v>0</v>
      </c>
    </row>
    <row r="211" spans="1:26" ht="13.5" thickBot="1" x14ac:dyDescent="0.25">
      <c r="A211" s="379" t="s">
        <v>116</v>
      </c>
      <c r="B211" s="374">
        <f t="shared" ref="B211:X211" si="72">(C210+B210)*(C209-B209)/2</f>
        <v>1.091299</v>
      </c>
      <c r="C211" s="375">
        <f t="shared" si="72"/>
        <v>2.3113915</v>
      </c>
      <c r="D211" s="375">
        <f t="shared" si="72"/>
        <v>5.2139160000000002</v>
      </c>
      <c r="E211" s="375">
        <f t="shared" si="72"/>
        <v>7.5427100000000005</v>
      </c>
      <c r="F211" s="375">
        <f t="shared" si="72"/>
        <v>29.172096000000003</v>
      </c>
      <c r="G211" s="375">
        <f t="shared" si="72"/>
        <v>6.8053720000000011</v>
      </c>
      <c r="H211" s="375">
        <f t="shared" si="72"/>
        <v>3.9840150000000034</v>
      </c>
      <c r="I211" s="375">
        <f t="shared" si="72"/>
        <v>4.2134424999999966</v>
      </c>
      <c r="J211" s="375">
        <f t="shared" si="72"/>
        <v>9.7349669999999975</v>
      </c>
      <c r="K211" s="375">
        <f t="shared" si="72"/>
        <v>35.373533000000009</v>
      </c>
      <c r="L211" s="375">
        <f t="shared" si="72"/>
        <v>10.181929999999998</v>
      </c>
      <c r="M211" s="375">
        <f t="shared" si="72"/>
        <v>4.8873239999999942</v>
      </c>
      <c r="N211" s="375">
        <f t="shared" si="72"/>
        <v>4.068654000000004</v>
      </c>
      <c r="O211" s="375">
        <f t="shared" si="72"/>
        <v>2.6094870000000019</v>
      </c>
      <c r="P211" s="375">
        <f t="shared" si="72"/>
        <v>2.0420909999999934</v>
      </c>
      <c r="Q211" s="375">
        <f t="shared" si="72"/>
        <v>2.791147500000009</v>
      </c>
      <c r="R211" s="375">
        <f t="shared" si="72"/>
        <v>2.5094939999999917</v>
      </c>
      <c r="S211" s="375">
        <f t="shared" si="72"/>
        <v>1.5920965000000056</v>
      </c>
      <c r="T211" s="375">
        <f t="shared" si="72"/>
        <v>1.9493999999999962</v>
      </c>
      <c r="U211" s="375">
        <f t="shared" si="72"/>
        <v>0.78007100000000074</v>
      </c>
      <c r="V211" s="375">
        <f t="shared" si="72"/>
        <v>0.56898000000000049</v>
      </c>
      <c r="W211" s="375">
        <f t="shared" si="72"/>
        <v>0</v>
      </c>
      <c r="X211" s="375">
        <f t="shared" si="72"/>
        <v>0</v>
      </c>
      <c r="Y211" s="369"/>
    </row>
    <row r="212" spans="1:26" ht="13.5" thickBot="1" x14ac:dyDescent="0.25">
      <c r="A212" s="6" t="s">
        <v>316</v>
      </c>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row>
    <row r="213" spans="1:26" ht="13.5" thickBot="1" x14ac:dyDescent="0.25">
      <c r="A213" s="361" t="s">
        <v>375</v>
      </c>
      <c r="B213" s="359">
        <f>ROW(A213)</f>
        <v>213</v>
      </c>
      <c r="C213" s="363" t="s">
        <v>115</v>
      </c>
      <c r="D213" s="353">
        <f>SUM(B216:Y216)</f>
        <v>82.798500000000018</v>
      </c>
      <c r="E213" s="363" t="s">
        <v>114</v>
      </c>
      <c r="F213" s="354">
        <f>D213/g/J213</f>
        <v>131.87834480122325</v>
      </c>
      <c r="G213" s="363" t="s">
        <v>56</v>
      </c>
      <c r="H213" s="64">
        <v>0.152</v>
      </c>
      <c r="I213" s="363" t="s">
        <v>271</v>
      </c>
      <c r="J213" s="355">
        <f>H213-L213</f>
        <v>6.4000000000000001E-2</v>
      </c>
      <c r="K213" s="363" t="s">
        <v>272</v>
      </c>
      <c r="L213" s="64">
        <v>8.7999999999999995E-2</v>
      </c>
      <c r="M213" s="363" t="s">
        <v>57</v>
      </c>
      <c r="N213" s="65">
        <v>71</v>
      </c>
      <c r="O213" s="363" t="s">
        <v>59</v>
      </c>
      <c r="P213" s="65">
        <v>71</v>
      </c>
      <c r="Q213" s="363" t="s">
        <v>60</v>
      </c>
      <c r="R213" s="65">
        <v>142</v>
      </c>
      <c r="S213" s="363" t="s">
        <v>61</v>
      </c>
      <c r="T213" s="65">
        <v>29</v>
      </c>
      <c r="U213" s="363" t="s">
        <v>54</v>
      </c>
      <c r="V213" s="66" t="s">
        <v>119</v>
      </c>
      <c r="W213" s="463" t="s">
        <v>394</v>
      </c>
      <c r="X213" s="465">
        <v>0.96</v>
      </c>
      <c r="Y213" s="463" t="s">
        <v>393</v>
      </c>
      <c r="Z213" s="358">
        <v>11</v>
      </c>
    </row>
    <row r="214" spans="1:26" x14ac:dyDescent="0.2">
      <c r="A214" s="362" t="s">
        <v>33</v>
      </c>
      <c r="B214" s="370">
        <v>0</v>
      </c>
      <c r="C214" s="371">
        <v>0.02</v>
      </c>
      <c r="D214" s="371">
        <v>0.03</v>
      </c>
      <c r="E214" s="371">
        <v>0.04</v>
      </c>
      <c r="F214" s="371">
        <v>0.06</v>
      </c>
      <c r="G214" s="371">
        <v>0.08</v>
      </c>
      <c r="H214" s="371">
        <v>0.15</v>
      </c>
      <c r="I214" s="371">
        <v>0.18</v>
      </c>
      <c r="J214" s="371">
        <v>0.2</v>
      </c>
      <c r="K214" s="371">
        <v>0.3</v>
      </c>
      <c r="L214" s="371">
        <v>0.4</v>
      </c>
      <c r="M214" s="371">
        <v>0.5</v>
      </c>
      <c r="N214" s="371">
        <v>0.6</v>
      </c>
      <c r="O214" s="371">
        <v>0.7</v>
      </c>
      <c r="P214" s="371">
        <v>0.82</v>
      </c>
      <c r="Q214" s="371">
        <v>0.93</v>
      </c>
      <c r="R214" s="371">
        <v>1</v>
      </c>
      <c r="S214" s="371">
        <f t="shared" ref="S214:X215" si="73">R214</f>
        <v>1</v>
      </c>
      <c r="T214" s="371">
        <f t="shared" si="73"/>
        <v>1</v>
      </c>
      <c r="U214" s="371">
        <f t="shared" si="73"/>
        <v>1</v>
      </c>
      <c r="V214" s="371">
        <f t="shared" si="73"/>
        <v>1</v>
      </c>
      <c r="W214" s="371">
        <f t="shared" si="73"/>
        <v>1</v>
      </c>
      <c r="X214" s="371">
        <v>2</v>
      </c>
      <c r="Y214" s="381">
        <v>1000</v>
      </c>
    </row>
    <row r="215" spans="1:26" x14ac:dyDescent="0.2">
      <c r="A215" s="378" t="s">
        <v>34</v>
      </c>
      <c r="B215" s="372">
        <v>0</v>
      </c>
      <c r="C215" s="373">
        <v>41.9</v>
      </c>
      <c r="D215" s="373">
        <v>92.1</v>
      </c>
      <c r="E215" s="373">
        <v>116.7</v>
      </c>
      <c r="F215" s="373">
        <v>112.7</v>
      </c>
      <c r="G215" s="373">
        <v>82.7</v>
      </c>
      <c r="H215" s="373">
        <v>84.7</v>
      </c>
      <c r="I215" s="373">
        <v>86.2</v>
      </c>
      <c r="J215" s="373">
        <v>87.9</v>
      </c>
      <c r="K215" s="373">
        <v>90.9</v>
      </c>
      <c r="L215" s="373">
        <v>93.9</v>
      </c>
      <c r="M215" s="373">
        <v>95.3</v>
      </c>
      <c r="N215" s="373">
        <v>96.8</v>
      </c>
      <c r="O215" s="373">
        <v>97.6</v>
      </c>
      <c r="P215" s="373">
        <v>108.2</v>
      </c>
      <c r="Q215" s="373">
        <v>11</v>
      </c>
      <c r="R215" s="373">
        <v>0</v>
      </c>
      <c r="S215" s="373">
        <f t="shared" si="73"/>
        <v>0</v>
      </c>
      <c r="T215" s="373">
        <f t="shared" si="73"/>
        <v>0</v>
      </c>
      <c r="U215" s="373">
        <f t="shared" si="73"/>
        <v>0</v>
      </c>
      <c r="V215" s="373">
        <f t="shared" si="73"/>
        <v>0</v>
      </c>
      <c r="W215" s="373">
        <f t="shared" si="73"/>
        <v>0</v>
      </c>
      <c r="X215" s="373">
        <f t="shared" si="73"/>
        <v>0</v>
      </c>
      <c r="Y215" s="382">
        <v>0</v>
      </c>
    </row>
    <row r="216" spans="1:26" ht="13.5" thickBot="1" x14ac:dyDescent="0.25">
      <c r="A216" s="379" t="s">
        <v>116</v>
      </c>
      <c r="B216" s="374">
        <f t="shared" ref="B216:V216" si="74">(C215+B215)*(C214-B214)/2</f>
        <v>0.41899999999999998</v>
      </c>
      <c r="C216" s="375">
        <f t="shared" si="74"/>
        <v>0.66999999999999993</v>
      </c>
      <c r="D216" s="375">
        <f t="shared" si="74"/>
        <v>1.0440000000000003</v>
      </c>
      <c r="E216" s="375">
        <f t="shared" si="74"/>
        <v>2.2939999999999996</v>
      </c>
      <c r="F216" s="375">
        <f t="shared" si="74"/>
        <v>1.9540000000000004</v>
      </c>
      <c r="G216" s="375">
        <f t="shared" si="74"/>
        <v>5.859</v>
      </c>
      <c r="H216" s="375">
        <f t="shared" si="74"/>
        <v>2.5634999999999999</v>
      </c>
      <c r="I216" s="375">
        <f t="shared" si="74"/>
        <v>1.7410000000000019</v>
      </c>
      <c r="J216" s="375">
        <f>(K215+J215)*(K214-J214)/2</f>
        <v>8.9399999999999977</v>
      </c>
      <c r="K216" s="375">
        <f t="shared" si="74"/>
        <v>9.2400000000000038</v>
      </c>
      <c r="L216" s="375">
        <f t="shared" si="74"/>
        <v>9.4599999999999973</v>
      </c>
      <c r="M216" s="375">
        <f t="shared" si="74"/>
        <v>9.6049999999999969</v>
      </c>
      <c r="N216" s="375">
        <f t="shared" si="74"/>
        <v>9.7199999999999971</v>
      </c>
      <c r="O216" s="375">
        <f t="shared" si="74"/>
        <v>12.348000000000001</v>
      </c>
      <c r="P216" s="375">
        <f t="shared" si="74"/>
        <v>6.5560000000000063</v>
      </c>
      <c r="Q216" s="375">
        <f t="shared" si="74"/>
        <v>0.38499999999999973</v>
      </c>
      <c r="R216" s="375">
        <f t="shared" si="74"/>
        <v>0</v>
      </c>
      <c r="S216" s="375">
        <f>(T215+S215)*(T214-S214)/2</f>
        <v>0</v>
      </c>
      <c r="T216" s="375">
        <f t="shared" si="74"/>
        <v>0</v>
      </c>
      <c r="U216" s="375">
        <f t="shared" si="74"/>
        <v>0</v>
      </c>
      <c r="V216" s="375">
        <f t="shared" si="74"/>
        <v>0</v>
      </c>
      <c r="W216" s="375">
        <f>(X215+W215)*(X214-W214)/2</f>
        <v>0</v>
      </c>
      <c r="X216" s="375">
        <f>(Y215+X215)*(Y214-X214)/2</f>
        <v>0</v>
      </c>
      <c r="Y216" s="369"/>
    </row>
    <row r="217" spans="1:26" ht="13.5" thickBot="1" x14ac:dyDescent="0.25">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row>
    <row r="218" spans="1:26" ht="13.5" thickBot="1" x14ac:dyDescent="0.25">
      <c r="A218" s="361" t="s">
        <v>376</v>
      </c>
      <c r="B218" s="359">
        <f>ROW(A218)</f>
        <v>218</v>
      </c>
      <c r="C218" s="363" t="s">
        <v>115</v>
      </c>
      <c r="D218" s="353">
        <f>SUM(B221:Y221)</f>
        <v>98.257101163036367</v>
      </c>
      <c r="E218" s="363" t="s">
        <v>114</v>
      </c>
      <c r="F218" s="354">
        <f>D218/g/J218</f>
        <v>177.58890761893778</v>
      </c>
      <c r="G218" s="363" t="s">
        <v>56</v>
      </c>
      <c r="H218" s="64">
        <v>0.14319999999999999</v>
      </c>
      <c r="I218" s="363" t="s">
        <v>271</v>
      </c>
      <c r="J218" s="355">
        <f>H218-L218</f>
        <v>5.6399999999999992E-2</v>
      </c>
      <c r="K218" s="363" t="s">
        <v>272</v>
      </c>
      <c r="L218" s="64">
        <v>8.6800000000000002E-2</v>
      </c>
      <c r="M218" s="363" t="s">
        <v>57</v>
      </c>
      <c r="N218" s="65">
        <v>71</v>
      </c>
      <c r="O218" s="363" t="s">
        <v>59</v>
      </c>
      <c r="P218" s="65">
        <v>71</v>
      </c>
      <c r="Q218" s="363" t="s">
        <v>60</v>
      </c>
      <c r="R218" s="65">
        <v>142</v>
      </c>
      <c r="S218" s="363" t="s">
        <v>61</v>
      </c>
      <c r="T218" s="65">
        <v>29</v>
      </c>
      <c r="U218" s="363" t="s">
        <v>54</v>
      </c>
      <c r="V218" s="66" t="s">
        <v>119</v>
      </c>
      <c r="W218" s="463" t="s">
        <v>394</v>
      </c>
      <c r="X218" s="465">
        <v>1.1499999999999999</v>
      </c>
      <c r="Y218" s="463" t="s">
        <v>393</v>
      </c>
      <c r="Z218" s="358">
        <v>14</v>
      </c>
    </row>
    <row r="219" spans="1:26" x14ac:dyDescent="0.2">
      <c r="A219" s="362" t="s">
        <v>33</v>
      </c>
      <c r="B219" s="370">
        <v>0</v>
      </c>
      <c r="C219" s="371">
        <v>1.4999999999999999E-2</v>
      </c>
      <c r="D219" s="371">
        <v>0.03</v>
      </c>
      <c r="E219" s="371">
        <v>4.4999999999999998E-2</v>
      </c>
      <c r="F219" s="371">
        <v>0.06</v>
      </c>
      <c r="G219" s="371">
        <v>7.4999999999999997E-2</v>
      </c>
      <c r="H219" s="371">
        <v>0.09</v>
      </c>
      <c r="I219" s="371">
        <v>0.105</v>
      </c>
      <c r="J219" s="371">
        <v>0.12</v>
      </c>
      <c r="K219" s="371">
        <v>0.18</v>
      </c>
      <c r="L219" s="371">
        <v>0.24</v>
      </c>
      <c r="M219" s="371">
        <v>0.3</v>
      </c>
      <c r="N219" s="371">
        <v>0.48</v>
      </c>
      <c r="O219" s="371">
        <v>0.6</v>
      </c>
      <c r="P219" s="371">
        <v>0.66</v>
      </c>
      <c r="Q219" s="371">
        <v>0.72</v>
      </c>
      <c r="R219" s="371">
        <v>0.78</v>
      </c>
      <c r="S219" s="371">
        <v>0.84</v>
      </c>
      <c r="T219" s="371">
        <v>0.9</v>
      </c>
      <c r="U219" s="371">
        <v>0.96</v>
      </c>
      <c r="V219" s="371">
        <v>1.0349999999999999</v>
      </c>
      <c r="W219" s="371">
        <v>1.2</v>
      </c>
      <c r="X219" s="371">
        <v>2</v>
      </c>
      <c r="Y219" s="381">
        <v>1000</v>
      </c>
    </row>
    <row r="220" spans="1:26" x14ac:dyDescent="0.2">
      <c r="A220" s="378" t="s">
        <v>34</v>
      </c>
      <c r="B220" s="372">
        <v>0</v>
      </c>
      <c r="C220" s="376">
        <v>99.328788958822486</v>
      </c>
      <c r="D220" s="376">
        <v>109.07039432469</v>
      </c>
      <c r="E220" s="376">
        <v>65.255411286427503</v>
      </c>
      <c r="F220" s="376">
        <v>67.568486533117493</v>
      </c>
      <c r="G220" s="376">
        <v>73.929443461515007</v>
      </c>
      <c r="H220" s="376">
        <v>74.329783408057494</v>
      </c>
      <c r="I220" s="376">
        <v>78.1552540083525</v>
      </c>
      <c r="J220" s="376">
        <v>78.600076171177506</v>
      </c>
      <c r="K220" s="376">
        <v>82.203135690059995</v>
      </c>
      <c r="L220" s="376">
        <v>84.516210936749999</v>
      </c>
      <c r="M220" s="376">
        <v>88.51961040217499</v>
      </c>
      <c r="N220" s="376">
        <v>95.102978411984992</v>
      </c>
      <c r="O220" s="376">
        <v>95.547800574809997</v>
      </c>
      <c r="P220" s="376">
        <v>94.480227384029988</v>
      </c>
      <c r="Q220" s="376">
        <v>92.122669921057494</v>
      </c>
      <c r="R220" s="376">
        <v>90.743721216299988</v>
      </c>
      <c r="S220" s="376">
        <v>88.964432564999996</v>
      </c>
      <c r="T220" s="376">
        <v>85.405855262399996</v>
      </c>
      <c r="U220" s="376">
        <v>83.448637745970004</v>
      </c>
      <c r="V220" s="376">
        <v>88.074788239349999</v>
      </c>
      <c r="W220" s="376">
        <v>0</v>
      </c>
      <c r="X220" s="373">
        <v>0</v>
      </c>
      <c r="Y220" s="382">
        <v>0</v>
      </c>
    </row>
    <row r="221" spans="1:26" ht="13.5" thickBot="1" x14ac:dyDescent="0.25">
      <c r="A221" s="379" t="s">
        <v>116</v>
      </c>
      <c r="B221" s="374">
        <f t="shared" ref="B221:V221" si="75">(C220+B220)*(C219-B219)/2</f>
        <v>0.74496591719116867</v>
      </c>
      <c r="C221" s="375">
        <f t="shared" si="75"/>
        <v>1.5629938746263436</v>
      </c>
      <c r="D221" s="375">
        <f t="shared" si="75"/>
        <v>1.3074435420833814</v>
      </c>
      <c r="E221" s="375">
        <f t="shared" si="75"/>
        <v>0.99617923364658734</v>
      </c>
      <c r="F221" s="375">
        <f t="shared" si="75"/>
        <v>1.0612344749597438</v>
      </c>
      <c r="G221" s="375">
        <f t="shared" si="75"/>
        <v>1.1119442015217937</v>
      </c>
      <c r="H221" s="375">
        <f t="shared" si="75"/>
        <v>1.1436377806230749</v>
      </c>
      <c r="I221" s="375">
        <f t="shared" si="75"/>
        <v>1.175664976346475</v>
      </c>
      <c r="J221" s="375">
        <f>(K220+J220)*(K219-J219)/2</f>
        <v>4.824096355837125</v>
      </c>
      <c r="K221" s="375">
        <f t="shared" si="75"/>
        <v>5.0015803988042995</v>
      </c>
      <c r="L221" s="375">
        <f t="shared" si="75"/>
        <v>5.1910746401677494</v>
      </c>
      <c r="M221" s="375">
        <f t="shared" si="75"/>
        <v>16.526032993274399</v>
      </c>
      <c r="N221" s="375">
        <f t="shared" si="75"/>
        <v>11.439046739207699</v>
      </c>
      <c r="O221" s="375">
        <f t="shared" si="75"/>
        <v>5.7008408387652043</v>
      </c>
      <c r="P221" s="375">
        <f t="shared" si="75"/>
        <v>5.5980869191526192</v>
      </c>
      <c r="Q221" s="375">
        <f t="shared" si="75"/>
        <v>5.4859917341207289</v>
      </c>
      <c r="R221" s="375">
        <f t="shared" si="75"/>
        <v>5.3912446134389942</v>
      </c>
      <c r="S221" s="375">
        <f>(T220+S220)*(T219-S219)/2</f>
        <v>5.2311086348220037</v>
      </c>
      <c r="T221" s="375">
        <f t="shared" si="75"/>
        <v>5.0656347902510959</v>
      </c>
      <c r="U221" s="375">
        <f t="shared" si="75"/>
        <v>6.4321284744494962</v>
      </c>
      <c r="V221" s="375">
        <f t="shared" si="75"/>
        <v>7.2661700297463767</v>
      </c>
      <c r="W221" s="375">
        <f>(X220+W220)*(X219-W219)/2</f>
        <v>0</v>
      </c>
      <c r="X221" s="375">
        <f>(Y220+X220)*(Y219-X219)/2</f>
        <v>0</v>
      </c>
      <c r="Y221" s="369"/>
    </row>
    <row r="222" spans="1:26" ht="13.5" thickBot="1" x14ac:dyDescent="0.25">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row>
    <row r="223" spans="1:26" ht="13.5" thickBot="1" x14ac:dyDescent="0.25">
      <c r="A223" s="361" t="s">
        <v>377</v>
      </c>
      <c r="B223" s="359">
        <f>ROW(A223)</f>
        <v>223</v>
      </c>
      <c r="C223" s="363" t="s">
        <v>115</v>
      </c>
      <c r="D223" s="353">
        <f>SUM(B226:Y226)</f>
        <v>109.60639850000001</v>
      </c>
      <c r="E223" s="363" t="s">
        <v>114</v>
      </c>
      <c r="F223" s="354">
        <f>D223/g/J223</f>
        <v>194.31174666489383</v>
      </c>
      <c r="G223" s="363" t="s">
        <v>56</v>
      </c>
      <c r="H223" s="64">
        <v>0.14130000000000001</v>
      </c>
      <c r="I223" s="363" t="s">
        <v>271</v>
      </c>
      <c r="J223" s="355">
        <f>H223-L223</f>
        <v>5.7500000000000009E-2</v>
      </c>
      <c r="K223" s="363" t="s">
        <v>272</v>
      </c>
      <c r="L223" s="64">
        <v>8.3799999999999999E-2</v>
      </c>
      <c r="M223" s="363" t="s">
        <v>57</v>
      </c>
      <c r="N223" s="65">
        <v>71</v>
      </c>
      <c r="O223" s="363" t="s">
        <v>59</v>
      </c>
      <c r="P223" s="65">
        <v>71</v>
      </c>
      <c r="Q223" s="363" t="s">
        <v>60</v>
      </c>
      <c r="R223" s="65">
        <v>142</v>
      </c>
      <c r="S223" s="363" t="s">
        <v>61</v>
      </c>
      <c r="T223" s="65">
        <v>29</v>
      </c>
      <c r="U223" s="363" t="s">
        <v>54</v>
      </c>
      <c r="V223" s="66" t="s">
        <v>401</v>
      </c>
      <c r="W223" s="463" t="s">
        <v>394</v>
      </c>
      <c r="X223" s="465">
        <v>0.45</v>
      </c>
      <c r="Y223" s="463" t="s">
        <v>393</v>
      </c>
      <c r="Z223" s="358">
        <v>14</v>
      </c>
    </row>
    <row r="224" spans="1:26" x14ac:dyDescent="0.2">
      <c r="A224" s="362" t="s">
        <v>33</v>
      </c>
      <c r="B224" s="370">
        <v>0</v>
      </c>
      <c r="C224" s="371">
        <v>6.0000000000000001E-3</v>
      </c>
      <c r="D224" s="371">
        <v>1.0999999999999999E-2</v>
      </c>
      <c r="E224" s="371">
        <v>1.6E-2</v>
      </c>
      <c r="F224" s="371">
        <v>3.1E-2</v>
      </c>
      <c r="G224" s="371">
        <v>7.4999999999999997E-2</v>
      </c>
      <c r="H224" s="371">
        <v>0.122</v>
      </c>
      <c r="I224" s="371">
        <v>0.216</v>
      </c>
      <c r="J224" s="371">
        <v>0.25</v>
      </c>
      <c r="K224" s="371">
        <v>0.28699999999999998</v>
      </c>
      <c r="L224" s="371">
        <v>0.35399999999999998</v>
      </c>
      <c r="M224" s="371">
        <v>0.374</v>
      </c>
      <c r="N224" s="371">
        <v>0.4</v>
      </c>
      <c r="O224" s="371">
        <v>0.41299999999999998</v>
      </c>
      <c r="P224" s="371">
        <v>0.42</v>
      </c>
      <c r="Q224" s="371">
        <v>0.433</v>
      </c>
      <c r="R224" s="371">
        <v>0.44500000000000001</v>
      </c>
      <c r="S224" s="371">
        <v>0.45400000000000001</v>
      </c>
      <c r="T224" s="371">
        <f t="shared" ref="T224:X225" si="76">S224</f>
        <v>0.45400000000000001</v>
      </c>
      <c r="U224" s="371">
        <f t="shared" si="76"/>
        <v>0.45400000000000001</v>
      </c>
      <c r="V224" s="371">
        <f t="shared" si="76"/>
        <v>0.45400000000000001</v>
      </c>
      <c r="W224" s="371">
        <f t="shared" si="76"/>
        <v>0.45400000000000001</v>
      </c>
      <c r="X224" s="371">
        <v>2</v>
      </c>
      <c r="Y224" s="381">
        <v>1000</v>
      </c>
    </row>
    <row r="225" spans="1:26" x14ac:dyDescent="0.2">
      <c r="A225" s="378" t="s">
        <v>34</v>
      </c>
      <c r="B225" s="372">
        <v>0</v>
      </c>
      <c r="C225" s="373">
        <v>151.62100000000001</v>
      </c>
      <c r="D225" s="373">
        <v>198.07900000000001</v>
      </c>
      <c r="E225" s="373">
        <v>203.12100000000001</v>
      </c>
      <c r="F225" s="373">
        <v>201.68100000000001</v>
      </c>
      <c r="G225" s="373">
        <v>226.17</v>
      </c>
      <c r="H225" s="373">
        <v>250.3</v>
      </c>
      <c r="I225" s="373">
        <v>280.19200000000001</v>
      </c>
      <c r="J225" s="373">
        <v>287.03500000000003</v>
      </c>
      <c r="K225" s="373">
        <v>284.87400000000002</v>
      </c>
      <c r="L225" s="373">
        <v>269.74799999999999</v>
      </c>
      <c r="M225" s="373">
        <v>258.58300000000003</v>
      </c>
      <c r="N225" s="373">
        <v>233.37299999999999</v>
      </c>
      <c r="O225" s="373">
        <v>234.09399999999999</v>
      </c>
      <c r="P225" s="373">
        <v>227.61099999999999</v>
      </c>
      <c r="Q225" s="373">
        <v>137.935</v>
      </c>
      <c r="R225" s="373">
        <v>33.853999999999999</v>
      </c>
      <c r="S225" s="373">
        <v>0</v>
      </c>
      <c r="T225" s="373">
        <f t="shared" si="76"/>
        <v>0</v>
      </c>
      <c r="U225" s="373">
        <f t="shared" si="76"/>
        <v>0</v>
      </c>
      <c r="V225" s="373">
        <f t="shared" si="76"/>
        <v>0</v>
      </c>
      <c r="W225" s="373">
        <f t="shared" si="76"/>
        <v>0</v>
      </c>
      <c r="X225" s="373">
        <f t="shared" si="76"/>
        <v>0</v>
      </c>
      <c r="Y225" s="382">
        <v>0</v>
      </c>
    </row>
    <row r="226" spans="1:26" ht="13.5" thickBot="1" x14ac:dyDescent="0.25">
      <c r="A226" s="379" t="s">
        <v>116</v>
      </c>
      <c r="B226" s="374">
        <f t="shared" ref="B226:X226" si="77">(C225+B225)*(C224-B224)/2</f>
        <v>0.45486300000000002</v>
      </c>
      <c r="C226" s="375">
        <f t="shared" si="77"/>
        <v>0.87424999999999997</v>
      </c>
      <c r="D226" s="375">
        <f t="shared" si="77"/>
        <v>1.0030000000000003</v>
      </c>
      <c r="E226" s="375">
        <f t="shared" si="77"/>
        <v>3.0360149999999999</v>
      </c>
      <c r="F226" s="375">
        <f t="shared" si="77"/>
        <v>9.4127219999999987</v>
      </c>
      <c r="G226" s="375">
        <f t="shared" si="77"/>
        <v>11.197045000000001</v>
      </c>
      <c r="H226" s="375">
        <f t="shared" si="77"/>
        <v>24.933123999999999</v>
      </c>
      <c r="I226" s="375">
        <f t="shared" si="77"/>
        <v>9.6428590000000014</v>
      </c>
      <c r="J226" s="375">
        <f t="shared" si="77"/>
        <v>10.580316499999995</v>
      </c>
      <c r="K226" s="375">
        <f t="shared" si="77"/>
        <v>18.579837000000005</v>
      </c>
      <c r="L226" s="375">
        <f t="shared" si="77"/>
        <v>5.2833100000000046</v>
      </c>
      <c r="M226" s="375">
        <f t="shared" si="77"/>
        <v>6.3954280000000061</v>
      </c>
      <c r="N226" s="375">
        <f t="shared" si="77"/>
        <v>3.0385354999999898</v>
      </c>
      <c r="O226" s="375">
        <f t="shared" si="77"/>
        <v>1.6159675000000013</v>
      </c>
      <c r="P226" s="375">
        <f t="shared" si="77"/>
        <v>2.3760490000000019</v>
      </c>
      <c r="Q226" s="375">
        <f t="shared" si="77"/>
        <v>1.0307340000000009</v>
      </c>
      <c r="R226" s="375">
        <f t="shared" si="77"/>
        <v>0.15234300000000014</v>
      </c>
      <c r="S226" s="375">
        <f t="shared" si="77"/>
        <v>0</v>
      </c>
      <c r="T226" s="375">
        <f t="shared" si="77"/>
        <v>0</v>
      </c>
      <c r="U226" s="375">
        <f t="shared" si="77"/>
        <v>0</v>
      </c>
      <c r="V226" s="375">
        <f t="shared" si="77"/>
        <v>0</v>
      </c>
      <c r="W226" s="375">
        <f t="shared" si="77"/>
        <v>0</v>
      </c>
      <c r="X226" s="375">
        <f t="shared" si="77"/>
        <v>0</v>
      </c>
      <c r="Y226" s="369"/>
    </row>
    <row r="227" spans="1:26" ht="13.5" thickBot="1" x14ac:dyDescent="0.25">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row>
    <row r="228" spans="1:26" ht="13.5" thickBot="1" x14ac:dyDescent="0.25">
      <c r="A228" s="361" t="s">
        <v>378</v>
      </c>
      <c r="B228" s="359">
        <f>ROW(A228)</f>
        <v>228</v>
      </c>
      <c r="C228" s="363" t="s">
        <v>115</v>
      </c>
      <c r="D228" s="353">
        <f>SUM(B231:Y231)</f>
        <v>115.63</v>
      </c>
      <c r="E228" s="363" t="s">
        <v>114</v>
      </c>
      <c r="F228" s="354">
        <f>D228/g/J228</f>
        <v>199.77884897804037</v>
      </c>
      <c r="G228" s="363" t="s">
        <v>56</v>
      </c>
      <c r="H228" s="64">
        <v>0.14499999999999999</v>
      </c>
      <c r="I228" s="363" t="s">
        <v>271</v>
      </c>
      <c r="J228" s="355">
        <f>H228-L228</f>
        <v>5.8999999999999997E-2</v>
      </c>
      <c r="K228" s="363" t="s">
        <v>272</v>
      </c>
      <c r="L228" s="64">
        <v>8.5999999999999993E-2</v>
      </c>
      <c r="M228" s="363" t="s">
        <v>57</v>
      </c>
      <c r="N228" s="65">
        <v>71</v>
      </c>
      <c r="O228" s="363" t="s">
        <v>59</v>
      </c>
      <c r="P228" s="65">
        <v>71</v>
      </c>
      <c r="Q228" s="363" t="s">
        <v>60</v>
      </c>
      <c r="R228" s="65">
        <v>142</v>
      </c>
      <c r="S228" s="363" t="s">
        <v>61</v>
      </c>
      <c r="T228" s="65">
        <v>29</v>
      </c>
      <c r="U228" s="363" t="s">
        <v>54</v>
      </c>
      <c r="V228" s="66" t="s">
        <v>400</v>
      </c>
      <c r="W228" s="463" t="s">
        <v>394</v>
      </c>
      <c r="X228" s="465">
        <v>0.93</v>
      </c>
      <c r="Y228" s="463" t="s">
        <v>393</v>
      </c>
      <c r="Z228" s="358">
        <v>13</v>
      </c>
    </row>
    <row r="229" spans="1:26" x14ac:dyDescent="0.2">
      <c r="A229" s="362" t="s">
        <v>33</v>
      </c>
      <c r="B229" s="370">
        <v>0</v>
      </c>
      <c r="C229" s="371">
        <v>0.01</v>
      </c>
      <c r="D229" s="371">
        <v>0.02</v>
      </c>
      <c r="E229" s="371">
        <v>0.03</v>
      </c>
      <c r="F229" s="371">
        <v>0.04</v>
      </c>
      <c r="G229" s="371">
        <v>0.05</v>
      </c>
      <c r="H229" s="371">
        <v>0.1</v>
      </c>
      <c r="I229" s="371">
        <v>0.2</v>
      </c>
      <c r="J229" s="371">
        <v>0.3</v>
      </c>
      <c r="K229" s="371">
        <v>0.4</v>
      </c>
      <c r="L229" s="371">
        <v>0.6</v>
      </c>
      <c r="M229" s="371">
        <v>0.75</v>
      </c>
      <c r="N229" s="371">
        <v>0.81</v>
      </c>
      <c r="O229" s="371">
        <v>0.86</v>
      </c>
      <c r="P229" s="371">
        <v>0.9</v>
      </c>
      <c r="Q229" s="371">
        <v>0.95</v>
      </c>
      <c r="R229" s="371">
        <v>1</v>
      </c>
      <c r="S229" s="371">
        <v>1</v>
      </c>
      <c r="T229" s="371">
        <v>1</v>
      </c>
      <c r="U229" s="371">
        <v>1</v>
      </c>
      <c r="V229" s="371">
        <v>1</v>
      </c>
      <c r="W229" s="371">
        <v>1</v>
      </c>
      <c r="X229" s="371">
        <v>2</v>
      </c>
      <c r="Y229" s="381">
        <v>1000</v>
      </c>
    </row>
    <row r="230" spans="1:26" x14ac:dyDescent="0.2">
      <c r="A230" s="378" t="s">
        <v>34</v>
      </c>
      <c r="B230" s="372">
        <v>0</v>
      </c>
      <c r="C230" s="376">
        <v>55</v>
      </c>
      <c r="D230" s="376">
        <v>168</v>
      </c>
      <c r="E230" s="376">
        <v>157</v>
      </c>
      <c r="F230" s="376">
        <v>148</v>
      </c>
      <c r="G230" s="376">
        <v>125</v>
      </c>
      <c r="H230" s="376">
        <v>135</v>
      </c>
      <c r="I230" s="376">
        <v>141</v>
      </c>
      <c r="J230" s="376">
        <v>142</v>
      </c>
      <c r="K230" s="376">
        <v>141</v>
      </c>
      <c r="L230" s="376">
        <v>133</v>
      </c>
      <c r="M230" s="376">
        <v>127</v>
      </c>
      <c r="N230" s="376">
        <v>128</v>
      </c>
      <c r="O230" s="376">
        <v>60</v>
      </c>
      <c r="P230" s="376">
        <v>15</v>
      </c>
      <c r="Q230" s="376">
        <v>0</v>
      </c>
      <c r="R230" s="376">
        <v>0</v>
      </c>
      <c r="S230" s="376">
        <v>0</v>
      </c>
      <c r="T230" s="376">
        <v>0</v>
      </c>
      <c r="U230" s="376">
        <v>0</v>
      </c>
      <c r="V230" s="376">
        <v>0</v>
      </c>
      <c r="W230" s="376">
        <v>0</v>
      </c>
      <c r="X230" s="373">
        <v>0</v>
      </c>
      <c r="Y230" s="382">
        <v>0</v>
      </c>
    </row>
    <row r="231" spans="1:26" ht="13.5" thickBot="1" x14ac:dyDescent="0.25">
      <c r="A231" s="379" t="s">
        <v>116</v>
      </c>
      <c r="B231" s="374">
        <f t="shared" ref="B231:X231" si="78">(C230+B230)*(C229-B229)/2</f>
        <v>0.27500000000000002</v>
      </c>
      <c r="C231" s="375">
        <f t="shared" si="78"/>
        <v>1.115</v>
      </c>
      <c r="D231" s="375">
        <f t="shared" si="78"/>
        <v>1.6249999999999998</v>
      </c>
      <c r="E231" s="375">
        <f t="shared" si="78"/>
        <v>1.5250000000000004</v>
      </c>
      <c r="F231" s="375">
        <f t="shared" si="78"/>
        <v>1.3650000000000002</v>
      </c>
      <c r="G231" s="375">
        <f t="shared" si="78"/>
        <v>6.5</v>
      </c>
      <c r="H231" s="375">
        <f t="shared" si="78"/>
        <v>13.8</v>
      </c>
      <c r="I231" s="375">
        <f t="shared" si="78"/>
        <v>14.149999999999997</v>
      </c>
      <c r="J231" s="375">
        <f t="shared" si="78"/>
        <v>14.150000000000004</v>
      </c>
      <c r="K231" s="375">
        <f t="shared" si="78"/>
        <v>27.399999999999995</v>
      </c>
      <c r="L231" s="375">
        <f t="shared" si="78"/>
        <v>19.500000000000004</v>
      </c>
      <c r="M231" s="375">
        <f t="shared" si="78"/>
        <v>7.6500000000000066</v>
      </c>
      <c r="N231" s="375">
        <f t="shared" si="78"/>
        <v>4.699999999999994</v>
      </c>
      <c r="O231" s="375">
        <f t="shared" si="78"/>
        <v>1.5000000000000013</v>
      </c>
      <c r="P231" s="375">
        <f t="shared" si="78"/>
        <v>0.3749999999999995</v>
      </c>
      <c r="Q231" s="375">
        <f t="shared" si="78"/>
        <v>0</v>
      </c>
      <c r="R231" s="375">
        <f t="shared" si="78"/>
        <v>0</v>
      </c>
      <c r="S231" s="375">
        <f t="shared" si="78"/>
        <v>0</v>
      </c>
      <c r="T231" s="375">
        <f t="shared" si="78"/>
        <v>0</v>
      </c>
      <c r="U231" s="375">
        <f t="shared" si="78"/>
        <v>0</v>
      </c>
      <c r="V231" s="375">
        <f t="shared" si="78"/>
        <v>0</v>
      </c>
      <c r="W231" s="375">
        <f t="shared" si="78"/>
        <v>0</v>
      </c>
      <c r="X231" s="375">
        <f t="shared" si="78"/>
        <v>0</v>
      </c>
      <c r="Y231" s="369"/>
    </row>
    <row r="232" spans="1:26" ht="13.5" thickBot="1" x14ac:dyDescent="0.25">
      <c r="A232" s="6" t="s">
        <v>386</v>
      </c>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row>
    <row r="233" spans="1:26" ht="13.5" thickBot="1" x14ac:dyDescent="0.25">
      <c r="A233" s="361" t="s">
        <v>387</v>
      </c>
      <c r="B233" s="359">
        <f>ROW(A233)</f>
        <v>233</v>
      </c>
      <c r="C233" s="363" t="s">
        <v>115</v>
      </c>
      <c r="D233" s="353">
        <f>SUM(B236:Y236)</f>
        <v>115.63</v>
      </c>
      <c r="E233" s="363" t="s">
        <v>114</v>
      </c>
      <c r="F233" s="354">
        <f>D233/g/J233</f>
        <v>125.39310733728064</v>
      </c>
      <c r="G233" s="363" t="s">
        <v>56</v>
      </c>
      <c r="H233" s="64">
        <v>0.2</v>
      </c>
      <c r="I233" s="363" t="s">
        <v>271</v>
      </c>
      <c r="J233" s="355">
        <f>H233-L233</f>
        <v>9.4000000000000014E-2</v>
      </c>
      <c r="K233" s="363" t="s">
        <v>272</v>
      </c>
      <c r="L233" s="64">
        <v>0.106</v>
      </c>
      <c r="M233" s="363" t="s">
        <v>57</v>
      </c>
      <c r="N233" s="65">
        <v>93</v>
      </c>
      <c r="O233" s="363" t="s">
        <v>59</v>
      </c>
      <c r="P233" s="65">
        <v>93</v>
      </c>
      <c r="Q233" s="363" t="s">
        <v>60</v>
      </c>
      <c r="R233" s="65">
        <v>187</v>
      </c>
      <c r="S233" s="363" t="s">
        <v>61</v>
      </c>
      <c r="T233" s="65">
        <v>29</v>
      </c>
      <c r="U233" s="363" t="s">
        <v>54</v>
      </c>
      <c r="V233" s="66" t="s">
        <v>119</v>
      </c>
      <c r="W233" s="463" t="s">
        <v>394</v>
      </c>
      <c r="X233" s="465">
        <v>0.96</v>
      </c>
      <c r="Y233" s="463" t="s">
        <v>393</v>
      </c>
      <c r="Z233" s="358">
        <v>14</v>
      </c>
    </row>
    <row r="234" spans="1:26" x14ac:dyDescent="0.2">
      <c r="A234" s="362" t="s">
        <v>33</v>
      </c>
      <c r="B234" s="370">
        <v>0</v>
      </c>
      <c r="C234" s="371">
        <v>0.01</v>
      </c>
      <c r="D234" s="371">
        <v>0.02</v>
      </c>
      <c r="E234" s="371">
        <v>0.03</v>
      </c>
      <c r="F234" s="371">
        <v>0.04</v>
      </c>
      <c r="G234" s="371">
        <v>0.05</v>
      </c>
      <c r="H234" s="371">
        <v>0.1</v>
      </c>
      <c r="I234" s="371">
        <v>0.2</v>
      </c>
      <c r="J234" s="371">
        <v>0.3</v>
      </c>
      <c r="K234" s="371">
        <v>0.4</v>
      </c>
      <c r="L234" s="371">
        <v>0.6</v>
      </c>
      <c r="M234" s="371">
        <v>0.75</v>
      </c>
      <c r="N234" s="371">
        <v>0.81</v>
      </c>
      <c r="O234" s="371">
        <v>0.86</v>
      </c>
      <c r="P234" s="371">
        <v>0.9</v>
      </c>
      <c r="Q234" s="371">
        <v>0.95</v>
      </c>
      <c r="R234" s="371">
        <v>1</v>
      </c>
      <c r="S234" s="371">
        <f t="shared" ref="S234:X235" si="79">R234</f>
        <v>1</v>
      </c>
      <c r="T234" s="371">
        <f t="shared" si="79"/>
        <v>1</v>
      </c>
      <c r="U234" s="371">
        <f t="shared" si="79"/>
        <v>1</v>
      </c>
      <c r="V234" s="371">
        <f t="shared" si="79"/>
        <v>1</v>
      </c>
      <c r="W234" s="371">
        <f t="shared" si="79"/>
        <v>1</v>
      </c>
      <c r="X234" s="371">
        <v>2</v>
      </c>
      <c r="Y234" s="381">
        <v>1000</v>
      </c>
    </row>
    <row r="235" spans="1:26" x14ac:dyDescent="0.2">
      <c r="A235" s="378" t="s">
        <v>34</v>
      </c>
      <c r="B235" s="372">
        <v>0</v>
      </c>
      <c r="C235" s="373">
        <v>55</v>
      </c>
      <c r="D235" s="373">
        <v>168</v>
      </c>
      <c r="E235" s="373">
        <v>157</v>
      </c>
      <c r="F235" s="373">
        <v>148</v>
      </c>
      <c r="G235" s="373">
        <v>125</v>
      </c>
      <c r="H235" s="373">
        <v>135</v>
      </c>
      <c r="I235" s="373">
        <v>141</v>
      </c>
      <c r="J235" s="373">
        <v>142</v>
      </c>
      <c r="K235" s="373">
        <v>141</v>
      </c>
      <c r="L235" s="373">
        <v>133</v>
      </c>
      <c r="M235" s="373">
        <v>127</v>
      </c>
      <c r="N235" s="373">
        <v>128</v>
      </c>
      <c r="O235" s="373">
        <v>60</v>
      </c>
      <c r="P235" s="373">
        <v>15</v>
      </c>
      <c r="Q235" s="373">
        <v>0</v>
      </c>
      <c r="R235" s="373">
        <v>0</v>
      </c>
      <c r="S235" s="373">
        <f t="shared" si="79"/>
        <v>0</v>
      </c>
      <c r="T235" s="373">
        <f t="shared" si="79"/>
        <v>0</v>
      </c>
      <c r="U235" s="373">
        <f t="shared" si="79"/>
        <v>0</v>
      </c>
      <c r="V235" s="373">
        <f t="shared" si="79"/>
        <v>0</v>
      </c>
      <c r="W235" s="373">
        <f t="shared" si="79"/>
        <v>0</v>
      </c>
      <c r="X235" s="373">
        <f t="shared" si="79"/>
        <v>0</v>
      </c>
      <c r="Y235" s="382">
        <v>0</v>
      </c>
    </row>
    <row r="236" spans="1:26" ht="13.5" thickBot="1" x14ac:dyDescent="0.25">
      <c r="A236" s="379" t="s">
        <v>116</v>
      </c>
      <c r="B236" s="374">
        <f t="shared" ref="B236:X236" si="80">(C235+B235)*(C234-B234)/2</f>
        <v>0.27500000000000002</v>
      </c>
      <c r="C236" s="375">
        <f t="shared" si="80"/>
        <v>1.115</v>
      </c>
      <c r="D236" s="375">
        <f t="shared" si="80"/>
        <v>1.6249999999999998</v>
      </c>
      <c r="E236" s="375">
        <f t="shared" si="80"/>
        <v>1.5250000000000004</v>
      </c>
      <c r="F236" s="375">
        <f t="shared" si="80"/>
        <v>1.3650000000000002</v>
      </c>
      <c r="G236" s="375">
        <f t="shared" si="80"/>
        <v>6.5</v>
      </c>
      <c r="H236" s="375">
        <f t="shared" si="80"/>
        <v>13.8</v>
      </c>
      <c r="I236" s="375">
        <f t="shared" si="80"/>
        <v>14.149999999999997</v>
      </c>
      <c r="J236" s="375">
        <f t="shared" si="80"/>
        <v>14.150000000000004</v>
      </c>
      <c r="K236" s="375">
        <f t="shared" si="80"/>
        <v>27.399999999999995</v>
      </c>
      <c r="L236" s="375">
        <f t="shared" si="80"/>
        <v>19.500000000000004</v>
      </c>
      <c r="M236" s="375">
        <f t="shared" si="80"/>
        <v>7.6500000000000066</v>
      </c>
      <c r="N236" s="375">
        <f t="shared" si="80"/>
        <v>4.699999999999994</v>
      </c>
      <c r="O236" s="375">
        <f t="shared" si="80"/>
        <v>1.5000000000000013</v>
      </c>
      <c r="P236" s="375">
        <f t="shared" si="80"/>
        <v>0.3749999999999995</v>
      </c>
      <c r="Q236" s="375">
        <f t="shared" si="80"/>
        <v>0</v>
      </c>
      <c r="R236" s="375">
        <f t="shared" si="80"/>
        <v>0</v>
      </c>
      <c r="S236" s="375">
        <f t="shared" si="80"/>
        <v>0</v>
      </c>
      <c r="T236" s="375">
        <f t="shared" si="80"/>
        <v>0</v>
      </c>
      <c r="U236" s="375">
        <f t="shared" si="80"/>
        <v>0</v>
      </c>
      <c r="V236" s="375">
        <f t="shared" si="80"/>
        <v>0</v>
      </c>
      <c r="W236" s="375">
        <f t="shared" si="80"/>
        <v>0</v>
      </c>
      <c r="X236" s="375">
        <f t="shared" si="80"/>
        <v>0</v>
      </c>
      <c r="Y236" s="369"/>
    </row>
    <row r="237" spans="1:26" ht="13.5" thickBot="1" x14ac:dyDescent="0.25">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row>
    <row r="238" spans="1:26" ht="13.5" thickBot="1" x14ac:dyDescent="0.25">
      <c r="A238" s="361" t="s">
        <v>392</v>
      </c>
      <c r="B238" s="359">
        <f>ROW(A238)</f>
        <v>238</v>
      </c>
      <c r="C238" s="363" t="s">
        <v>115</v>
      </c>
      <c r="D238" s="353">
        <f>SUM(B241:Y241)</f>
        <v>158.04815100000002</v>
      </c>
      <c r="E238" s="363" t="s">
        <v>114</v>
      </c>
      <c r="F238" s="354">
        <v>198</v>
      </c>
      <c r="G238" s="363" t="s">
        <v>56</v>
      </c>
      <c r="H238" s="64">
        <v>0.19450000000000001</v>
      </c>
      <c r="I238" s="363" t="s">
        <v>271</v>
      </c>
      <c r="J238" s="355">
        <f>H238-L238</f>
        <v>8.9600000000000013E-2</v>
      </c>
      <c r="K238" s="363" t="s">
        <v>272</v>
      </c>
      <c r="L238" s="64">
        <v>0.10489999999999999</v>
      </c>
      <c r="M238" s="363" t="s">
        <v>57</v>
      </c>
      <c r="N238" s="65">
        <v>93</v>
      </c>
      <c r="O238" s="363" t="s">
        <v>59</v>
      </c>
      <c r="P238" s="65">
        <v>93</v>
      </c>
      <c r="Q238" s="363" t="s">
        <v>60</v>
      </c>
      <c r="R238" s="65">
        <v>187</v>
      </c>
      <c r="S238" s="363" t="s">
        <v>61</v>
      </c>
      <c r="T238" s="65">
        <v>29</v>
      </c>
      <c r="U238" s="363" t="s">
        <v>54</v>
      </c>
      <c r="V238" s="66" t="s">
        <v>119</v>
      </c>
      <c r="W238" s="463" t="s">
        <v>394</v>
      </c>
      <c r="X238" s="465">
        <v>1.27</v>
      </c>
      <c r="Y238" s="463" t="s">
        <v>393</v>
      </c>
      <c r="Z238" s="358">
        <v>14</v>
      </c>
    </row>
    <row r="239" spans="1:26" x14ac:dyDescent="0.2">
      <c r="A239" s="362" t="s">
        <v>33</v>
      </c>
      <c r="B239" s="471">
        <v>0</v>
      </c>
      <c r="C239" s="471">
        <v>4.0000000000000001E-3</v>
      </c>
      <c r="D239" s="471">
        <v>2.1999999999999999E-2</v>
      </c>
      <c r="E239" s="471">
        <v>3.9E-2</v>
      </c>
      <c r="F239" s="471">
        <v>0.122</v>
      </c>
      <c r="G239" s="471">
        <v>0.23599999999999999</v>
      </c>
      <c r="H239" s="471">
        <v>0.58899999999999997</v>
      </c>
      <c r="I239" s="471">
        <v>0.80100000000000005</v>
      </c>
      <c r="J239" s="471">
        <v>1.0680000000000001</v>
      </c>
      <c r="K239" s="471">
        <v>1.1180000000000001</v>
      </c>
      <c r="L239" s="471">
        <v>1.145</v>
      </c>
      <c r="M239" s="471">
        <v>1.1739999999999999</v>
      </c>
      <c r="N239" s="471">
        <v>1.2110000000000001</v>
      </c>
      <c r="O239" s="471">
        <v>1.2470000000000001</v>
      </c>
      <c r="P239" s="471">
        <v>1.2989999999999999</v>
      </c>
      <c r="Q239" s="371">
        <v>2</v>
      </c>
      <c r="R239" s="371">
        <v>2</v>
      </c>
      <c r="S239" s="371">
        <f t="shared" ref="S239:X240" si="81">R239</f>
        <v>2</v>
      </c>
      <c r="T239" s="371">
        <f t="shared" si="81"/>
        <v>2</v>
      </c>
      <c r="U239" s="371">
        <f t="shared" si="81"/>
        <v>2</v>
      </c>
      <c r="V239" s="371">
        <f t="shared" si="81"/>
        <v>2</v>
      </c>
      <c r="W239" s="371">
        <f t="shared" si="81"/>
        <v>2</v>
      </c>
      <c r="X239" s="371">
        <f t="shared" si="81"/>
        <v>2</v>
      </c>
      <c r="Y239" s="381">
        <v>1000</v>
      </c>
    </row>
    <row r="240" spans="1:26" x14ac:dyDescent="0.2">
      <c r="A240" s="378" t="s">
        <v>34</v>
      </c>
      <c r="B240" s="471">
        <v>0</v>
      </c>
      <c r="C240" s="471">
        <v>15.683</v>
      </c>
      <c r="D240" s="471">
        <v>170.834</v>
      </c>
      <c r="E240" s="471">
        <v>116.877</v>
      </c>
      <c r="F240" s="471">
        <v>142.642</v>
      </c>
      <c r="G240" s="471">
        <v>149.73699999999999</v>
      </c>
      <c r="H240" s="471">
        <v>142.642</v>
      </c>
      <c r="I240" s="471">
        <v>131.25299999999999</v>
      </c>
      <c r="J240" s="471">
        <v>122.104</v>
      </c>
      <c r="K240" s="471">
        <v>107.91500000000001</v>
      </c>
      <c r="L240" s="471">
        <v>78.415999999999997</v>
      </c>
      <c r="M240" s="471">
        <v>43.128999999999998</v>
      </c>
      <c r="N240" s="471">
        <v>21.471</v>
      </c>
      <c r="O240" s="471">
        <v>8.7750000000000004</v>
      </c>
      <c r="P240" s="471">
        <v>0</v>
      </c>
      <c r="Q240" s="373">
        <v>0</v>
      </c>
      <c r="R240" s="373">
        <v>0</v>
      </c>
      <c r="S240" s="373">
        <f t="shared" si="81"/>
        <v>0</v>
      </c>
      <c r="T240" s="373">
        <f t="shared" si="81"/>
        <v>0</v>
      </c>
      <c r="U240" s="373">
        <f t="shared" si="81"/>
        <v>0</v>
      </c>
      <c r="V240" s="373">
        <f t="shared" si="81"/>
        <v>0</v>
      </c>
      <c r="W240" s="373">
        <f t="shared" si="81"/>
        <v>0</v>
      </c>
      <c r="X240" s="373">
        <f t="shared" si="81"/>
        <v>0</v>
      </c>
      <c r="Y240" s="382">
        <v>0</v>
      </c>
    </row>
    <row r="241" spans="1:26" ht="13.5" thickBot="1" x14ac:dyDescent="0.25">
      <c r="A241" s="379" t="s">
        <v>116</v>
      </c>
      <c r="B241" s="374">
        <f t="shared" ref="B241:X241" si="82">(C240+B240)*(C239-B239)/2</f>
        <v>3.1365999999999998E-2</v>
      </c>
      <c r="C241" s="375">
        <f t="shared" si="82"/>
        <v>1.6786529999999997</v>
      </c>
      <c r="D241" s="375">
        <f t="shared" si="82"/>
        <v>2.4455435000000003</v>
      </c>
      <c r="E241" s="375">
        <f t="shared" si="82"/>
        <v>10.770038499999998</v>
      </c>
      <c r="F241" s="375">
        <f t="shared" si="82"/>
        <v>16.665603000000001</v>
      </c>
      <c r="G241" s="375">
        <f t="shared" si="82"/>
        <v>51.604893500000003</v>
      </c>
      <c r="H241" s="375">
        <f t="shared" si="82"/>
        <v>29.03287000000001</v>
      </c>
      <c r="I241" s="375">
        <f t="shared" si="82"/>
        <v>33.823159499999996</v>
      </c>
      <c r="J241" s="375">
        <f t="shared" si="82"/>
        <v>5.7504750000000051</v>
      </c>
      <c r="K241" s="375">
        <f t="shared" si="82"/>
        <v>2.5154684999999923</v>
      </c>
      <c r="L241" s="375">
        <f t="shared" si="82"/>
        <v>1.7624024999999945</v>
      </c>
      <c r="M241" s="375">
        <f t="shared" si="82"/>
        <v>1.1951000000000045</v>
      </c>
      <c r="N241" s="375">
        <f t="shared" si="82"/>
        <v>0.54442800000000058</v>
      </c>
      <c r="O241" s="375">
        <f t="shared" si="82"/>
        <v>0.22814999999999924</v>
      </c>
      <c r="P241" s="375">
        <f t="shared" si="82"/>
        <v>0</v>
      </c>
      <c r="Q241" s="375">
        <f t="shared" si="82"/>
        <v>0</v>
      </c>
      <c r="R241" s="375">
        <f t="shared" si="82"/>
        <v>0</v>
      </c>
      <c r="S241" s="375">
        <f t="shared" si="82"/>
        <v>0</v>
      </c>
      <c r="T241" s="375">
        <f t="shared" si="82"/>
        <v>0</v>
      </c>
      <c r="U241" s="375">
        <f t="shared" si="82"/>
        <v>0</v>
      </c>
      <c r="V241" s="375">
        <f t="shared" si="82"/>
        <v>0</v>
      </c>
      <c r="W241" s="375">
        <f t="shared" si="82"/>
        <v>0</v>
      </c>
      <c r="X241" s="375">
        <f t="shared" si="82"/>
        <v>0</v>
      </c>
      <c r="Y241" s="369"/>
    </row>
    <row r="242" spans="1:26" ht="13.5" thickBot="1" x14ac:dyDescent="0.25">
      <c r="A242" s="6" t="s">
        <v>374</v>
      </c>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row>
    <row r="243" spans="1:26" ht="13.5" thickBot="1" x14ac:dyDescent="0.25">
      <c r="A243" s="361" t="s">
        <v>379</v>
      </c>
      <c r="B243" s="359">
        <f>ROW(A243)</f>
        <v>243</v>
      </c>
      <c r="C243" s="363" t="s">
        <v>115</v>
      </c>
      <c r="D243" s="353">
        <f>SUM(B246:Y246)</f>
        <v>136.75235000000001</v>
      </c>
      <c r="E243" s="363" t="s">
        <v>114</v>
      </c>
      <c r="F243" s="354">
        <f>D243/g/J243</f>
        <v>152.35078513616639</v>
      </c>
      <c r="G243" s="363" t="s">
        <v>56</v>
      </c>
      <c r="H243" s="64">
        <v>0.21249999999999999</v>
      </c>
      <c r="I243" s="363" t="s">
        <v>271</v>
      </c>
      <c r="J243" s="355">
        <f>H243-L243</f>
        <v>9.1499999999999998E-2</v>
      </c>
      <c r="K243" s="363" t="s">
        <v>272</v>
      </c>
      <c r="L243" s="64">
        <v>0.121</v>
      </c>
      <c r="M243" s="363" t="s">
        <v>57</v>
      </c>
      <c r="N243" s="65">
        <v>63</v>
      </c>
      <c r="O243" s="363" t="s">
        <v>59</v>
      </c>
      <c r="P243" s="65">
        <v>114</v>
      </c>
      <c r="Q243" s="363" t="s">
        <v>60</v>
      </c>
      <c r="R243" s="65">
        <v>127</v>
      </c>
      <c r="S243" s="363" t="s">
        <v>61</v>
      </c>
      <c r="T243" s="65">
        <v>38</v>
      </c>
      <c r="U243" s="363" t="s">
        <v>54</v>
      </c>
      <c r="V243" s="66" t="s">
        <v>119</v>
      </c>
      <c r="W243" s="463" t="s">
        <v>394</v>
      </c>
      <c r="X243" s="465">
        <v>2.36</v>
      </c>
      <c r="Y243" s="463" t="s">
        <v>393</v>
      </c>
      <c r="Z243" s="358">
        <v>13</v>
      </c>
    </row>
    <row r="244" spans="1:26" x14ac:dyDescent="0.2">
      <c r="A244" s="362" t="s">
        <v>33</v>
      </c>
      <c r="B244" s="370">
        <v>0</v>
      </c>
      <c r="C244" s="371">
        <v>2.9000000000000001E-2</v>
      </c>
      <c r="D244" s="371">
        <v>4.5999999999999999E-2</v>
      </c>
      <c r="E244" s="371">
        <v>5.8000000000000003E-2</v>
      </c>
      <c r="F244" s="371">
        <v>8.4000000000000005E-2</v>
      </c>
      <c r="G244" s="371">
        <v>0.17100000000000001</v>
      </c>
      <c r="H244" s="371">
        <v>0.28000000000000003</v>
      </c>
      <c r="I244" s="371">
        <v>0.45500000000000002</v>
      </c>
      <c r="J244" s="371">
        <v>0.58599999999999997</v>
      </c>
      <c r="K244" s="371">
        <v>0.74099999999999999</v>
      </c>
      <c r="L244" s="371">
        <v>0.95199999999999996</v>
      </c>
      <c r="M244" s="371">
        <v>1.2170000000000001</v>
      </c>
      <c r="N244" s="371">
        <v>1.43</v>
      </c>
      <c r="O244" s="371">
        <v>1.6259999999999999</v>
      </c>
      <c r="P244" s="371">
        <v>1.8069999999999999</v>
      </c>
      <c r="Q244" s="371">
        <v>1.9590000000000001</v>
      </c>
      <c r="R244" s="371">
        <v>2.1040000000000001</v>
      </c>
      <c r="S244" s="371">
        <v>2.1680000000000001</v>
      </c>
      <c r="T244" s="371">
        <v>2.21</v>
      </c>
      <c r="U244" s="371">
        <v>2.2469999999999999</v>
      </c>
      <c r="V244" s="371">
        <v>2.3290000000000002</v>
      </c>
      <c r="W244" s="371">
        <f>2.4</f>
        <v>2.4</v>
      </c>
      <c r="X244" s="371">
        <f>W244</f>
        <v>2.4</v>
      </c>
      <c r="Y244" s="381">
        <v>1000</v>
      </c>
    </row>
    <row r="245" spans="1:26" x14ac:dyDescent="0.2">
      <c r="A245" s="378" t="s">
        <v>34</v>
      </c>
      <c r="B245" s="372">
        <v>0</v>
      </c>
      <c r="C245" s="373">
        <v>90.25</v>
      </c>
      <c r="D245" s="373">
        <v>69.17</v>
      </c>
      <c r="E245" s="373">
        <v>59.947000000000003</v>
      </c>
      <c r="F245" s="373">
        <v>47.167000000000002</v>
      </c>
      <c r="G245" s="373">
        <v>57.970999999999997</v>
      </c>
      <c r="H245" s="373">
        <v>59.552</v>
      </c>
      <c r="I245" s="373">
        <v>61.265000000000001</v>
      </c>
      <c r="J245" s="373">
        <v>61.66</v>
      </c>
      <c r="K245" s="373">
        <v>62.319000000000003</v>
      </c>
      <c r="L245" s="373">
        <v>63.768000000000001</v>
      </c>
      <c r="M245" s="373">
        <v>64.69</v>
      </c>
      <c r="N245" s="373">
        <v>63.768000000000001</v>
      </c>
      <c r="O245" s="373">
        <v>61.265000000000001</v>
      </c>
      <c r="P245" s="373">
        <v>58.103000000000002</v>
      </c>
      <c r="Q245" s="373">
        <v>53.887</v>
      </c>
      <c r="R245" s="373">
        <v>48.353000000000002</v>
      </c>
      <c r="S245" s="373">
        <v>47.563000000000002</v>
      </c>
      <c r="T245" s="373">
        <v>44.005000000000003</v>
      </c>
      <c r="U245" s="373">
        <v>37.286000000000001</v>
      </c>
      <c r="V245" s="373">
        <v>22.265999999999998</v>
      </c>
      <c r="W245" s="373">
        <v>0</v>
      </c>
      <c r="X245" s="373">
        <f>W245</f>
        <v>0</v>
      </c>
      <c r="Y245" s="382">
        <v>0</v>
      </c>
    </row>
    <row r="246" spans="1:26" ht="13.5" thickBot="1" x14ac:dyDescent="0.25">
      <c r="A246" s="379" t="s">
        <v>116</v>
      </c>
      <c r="B246" s="374">
        <f t="shared" ref="B246:X246" si="83">(C245+B245)*(C244-B244)/2</f>
        <v>1.3086250000000001</v>
      </c>
      <c r="C246" s="375">
        <f t="shared" si="83"/>
        <v>1.35507</v>
      </c>
      <c r="D246" s="375">
        <f t="shared" si="83"/>
        <v>0.77470200000000033</v>
      </c>
      <c r="E246" s="375">
        <f t="shared" si="83"/>
        <v>1.3924820000000002</v>
      </c>
      <c r="F246" s="375">
        <f t="shared" si="83"/>
        <v>4.5735030000000005</v>
      </c>
      <c r="G246" s="375">
        <f t="shared" si="83"/>
        <v>6.4050035000000003</v>
      </c>
      <c r="H246" s="375">
        <f t="shared" si="83"/>
        <v>10.5714875</v>
      </c>
      <c r="I246" s="375">
        <f t="shared" si="83"/>
        <v>8.0515874999999966</v>
      </c>
      <c r="J246" s="375">
        <f t="shared" si="83"/>
        <v>9.6083725000000015</v>
      </c>
      <c r="K246" s="375">
        <f t="shared" si="83"/>
        <v>13.302178499999998</v>
      </c>
      <c r="L246" s="375">
        <f t="shared" si="83"/>
        <v>17.020685000000007</v>
      </c>
      <c r="M246" s="375">
        <f t="shared" si="83"/>
        <v>13.68077699999999</v>
      </c>
      <c r="N246" s="375">
        <f t="shared" si="83"/>
        <v>12.253233999999997</v>
      </c>
      <c r="O246" s="375">
        <f t="shared" si="83"/>
        <v>10.802804000000002</v>
      </c>
      <c r="P246" s="375">
        <f t="shared" si="83"/>
        <v>8.5112400000000079</v>
      </c>
      <c r="Q246" s="375">
        <f t="shared" si="83"/>
        <v>7.4124000000000017</v>
      </c>
      <c r="R246" s="375">
        <f t="shared" si="83"/>
        <v>3.0693120000000027</v>
      </c>
      <c r="S246" s="375">
        <f t="shared" si="83"/>
        <v>1.9229279999999918</v>
      </c>
      <c r="T246" s="375">
        <f t="shared" si="83"/>
        <v>1.5038834999999968</v>
      </c>
      <c r="U246" s="375">
        <f t="shared" si="83"/>
        <v>2.4416320000000087</v>
      </c>
      <c r="V246" s="375">
        <f t="shared" si="83"/>
        <v>0.7904429999999969</v>
      </c>
      <c r="W246" s="375">
        <f t="shared" si="83"/>
        <v>0</v>
      </c>
      <c r="X246" s="375">
        <f t="shared" si="83"/>
        <v>0</v>
      </c>
      <c r="Y246" s="369"/>
    </row>
    <row r="247" spans="1:26" ht="13.5" thickBot="1" x14ac:dyDescent="0.25">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row>
    <row r="248" spans="1:26" ht="13.5" thickBot="1" x14ac:dyDescent="0.25">
      <c r="A248" s="361" t="s">
        <v>380</v>
      </c>
      <c r="B248" s="359">
        <f>ROW(A248)</f>
        <v>248</v>
      </c>
      <c r="C248" s="363" t="s">
        <v>115</v>
      </c>
      <c r="D248" s="353">
        <f>SUM(B251:Y251)</f>
        <v>127.06944999999999</v>
      </c>
      <c r="E248" s="363" t="s">
        <v>114</v>
      </c>
      <c r="F248" s="354">
        <f>D248/g/J248</f>
        <v>180.65624835614466</v>
      </c>
      <c r="G248" s="363" t="s">
        <v>56</v>
      </c>
      <c r="H248" s="64">
        <v>0.18840000000000001</v>
      </c>
      <c r="I248" s="363" t="s">
        <v>271</v>
      </c>
      <c r="J248" s="355">
        <f>H248-L248</f>
        <v>7.1700000000000014E-2</v>
      </c>
      <c r="K248" s="363" t="s">
        <v>272</v>
      </c>
      <c r="L248" s="64">
        <v>0.1167</v>
      </c>
      <c r="M248" s="363" t="s">
        <v>57</v>
      </c>
      <c r="N248" s="65">
        <v>63</v>
      </c>
      <c r="O248" s="363" t="s">
        <v>59</v>
      </c>
      <c r="P248" s="65">
        <v>114</v>
      </c>
      <c r="Q248" s="363" t="s">
        <v>60</v>
      </c>
      <c r="R248" s="65">
        <v>127</v>
      </c>
      <c r="S248" s="363" t="s">
        <v>61</v>
      </c>
      <c r="T248" s="65">
        <v>38</v>
      </c>
      <c r="U248" s="363" t="s">
        <v>54</v>
      </c>
      <c r="V248" s="66" t="s">
        <v>119</v>
      </c>
      <c r="W248" s="463" t="s">
        <v>394</v>
      </c>
      <c r="X248" s="465">
        <v>0.69</v>
      </c>
      <c r="Y248" s="463" t="s">
        <v>393</v>
      </c>
      <c r="Z248" s="358">
        <v>12</v>
      </c>
    </row>
    <row r="249" spans="1:26" x14ac:dyDescent="0.2">
      <c r="A249" s="362" t="s">
        <v>33</v>
      </c>
      <c r="B249" s="370">
        <v>0</v>
      </c>
      <c r="C249" s="371">
        <v>0.01</v>
      </c>
      <c r="D249" s="371">
        <v>0.02</v>
      </c>
      <c r="E249" s="371">
        <v>0.05</v>
      </c>
      <c r="F249" s="371">
        <v>0.1</v>
      </c>
      <c r="G249" s="371">
        <v>0.2</v>
      </c>
      <c r="H249" s="371">
        <v>0.3</v>
      </c>
      <c r="I249" s="371">
        <v>0.35</v>
      </c>
      <c r="J249" s="371">
        <v>0.4</v>
      </c>
      <c r="K249" s="371">
        <v>0.45</v>
      </c>
      <c r="L249" s="371">
        <v>0.5</v>
      </c>
      <c r="M249" s="371">
        <v>0.55000000000000004</v>
      </c>
      <c r="N249" s="371">
        <v>0.6</v>
      </c>
      <c r="O249" s="371">
        <v>0.61</v>
      </c>
      <c r="P249" s="371">
        <v>0.63</v>
      </c>
      <c r="Q249" s="371">
        <v>0.64</v>
      </c>
      <c r="R249" s="371">
        <v>0.65</v>
      </c>
      <c r="S249" s="371">
        <v>0.67</v>
      </c>
      <c r="T249" s="371">
        <v>0.68</v>
      </c>
      <c r="U249" s="371">
        <v>0.69</v>
      </c>
      <c r="V249" s="371">
        <f t="shared" ref="V249:X250" si="84">U249</f>
        <v>0.69</v>
      </c>
      <c r="W249" s="371">
        <f t="shared" si="84"/>
        <v>0.69</v>
      </c>
      <c r="X249" s="371">
        <v>2</v>
      </c>
      <c r="Y249" s="381">
        <v>1000</v>
      </c>
    </row>
    <row r="250" spans="1:26" x14ac:dyDescent="0.2">
      <c r="A250" s="378" t="s">
        <v>34</v>
      </c>
      <c r="B250" s="372">
        <v>0</v>
      </c>
      <c r="C250" s="373">
        <v>108.72</v>
      </c>
      <c r="D250" s="373">
        <v>131.19</v>
      </c>
      <c r="E250" s="373">
        <v>153.13999999999999</v>
      </c>
      <c r="F250" s="373">
        <v>168.97</v>
      </c>
      <c r="G250" s="373">
        <v>189.92</v>
      </c>
      <c r="H250" s="373">
        <v>199.95</v>
      </c>
      <c r="I250" s="373">
        <v>203.59</v>
      </c>
      <c r="J250" s="373">
        <v>205.03</v>
      </c>
      <c r="K250" s="373">
        <v>202.6</v>
      </c>
      <c r="L250" s="373">
        <v>203.06</v>
      </c>
      <c r="M250" s="373">
        <v>199.34</v>
      </c>
      <c r="N250" s="373">
        <v>194.71</v>
      </c>
      <c r="O250" s="373">
        <v>194.1</v>
      </c>
      <c r="P250" s="373">
        <v>193.49</v>
      </c>
      <c r="Q250" s="373">
        <v>193.68</v>
      </c>
      <c r="R250" s="373">
        <v>202.91</v>
      </c>
      <c r="S250" s="373">
        <v>163.38999999999999</v>
      </c>
      <c r="T250" s="373">
        <v>80.44</v>
      </c>
      <c r="U250" s="373">
        <v>0</v>
      </c>
      <c r="V250" s="373">
        <f t="shared" si="84"/>
        <v>0</v>
      </c>
      <c r="W250" s="373">
        <f t="shared" si="84"/>
        <v>0</v>
      </c>
      <c r="X250" s="373">
        <f t="shared" si="84"/>
        <v>0</v>
      </c>
      <c r="Y250" s="382">
        <v>0</v>
      </c>
    </row>
    <row r="251" spans="1:26" ht="13.5" thickBot="1" x14ac:dyDescent="0.25">
      <c r="A251" s="379" t="s">
        <v>116</v>
      </c>
      <c r="B251" s="374">
        <f t="shared" ref="B251:X251" si="85">(C250+B250)*(C249-B249)/2</f>
        <v>0.54359999999999997</v>
      </c>
      <c r="C251" s="375">
        <f t="shared" si="85"/>
        <v>1.1995500000000001</v>
      </c>
      <c r="D251" s="375">
        <f t="shared" si="85"/>
        <v>4.2649499999999998</v>
      </c>
      <c r="E251" s="375">
        <f t="shared" si="85"/>
        <v>8.0527500000000014</v>
      </c>
      <c r="F251" s="375">
        <f t="shared" si="85"/>
        <v>17.944500000000001</v>
      </c>
      <c r="G251" s="375">
        <f t="shared" si="85"/>
        <v>19.493499999999997</v>
      </c>
      <c r="H251" s="375">
        <f t="shared" si="85"/>
        <v>10.088499999999996</v>
      </c>
      <c r="I251" s="375">
        <f t="shared" si="85"/>
        <v>10.215500000000009</v>
      </c>
      <c r="J251" s="375">
        <f t="shared" si="85"/>
        <v>10.190749999999998</v>
      </c>
      <c r="K251" s="375">
        <f t="shared" si="85"/>
        <v>10.141499999999997</v>
      </c>
      <c r="L251" s="375">
        <f t="shared" si="85"/>
        <v>10.060000000000008</v>
      </c>
      <c r="M251" s="375">
        <f t="shared" si="85"/>
        <v>9.8512499999999878</v>
      </c>
      <c r="N251" s="375">
        <f t="shared" si="85"/>
        <v>1.9440500000000018</v>
      </c>
      <c r="O251" s="375">
        <f t="shared" si="85"/>
        <v>3.8759000000000037</v>
      </c>
      <c r="P251" s="375">
        <f t="shared" si="85"/>
        <v>1.9358500000000018</v>
      </c>
      <c r="Q251" s="375">
        <f t="shared" si="85"/>
        <v>1.982950000000002</v>
      </c>
      <c r="R251" s="375">
        <f t="shared" si="85"/>
        <v>3.6630000000000029</v>
      </c>
      <c r="S251" s="375">
        <f t="shared" si="85"/>
        <v>1.2191500000000011</v>
      </c>
      <c r="T251" s="375">
        <f t="shared" si="85"/>
        <v>0.40219999999999589</v>
      </c>
      <c r="U251" s="375">
        <f t="shared" si="85"/>
        <v>0</v>
      </c>
      <c r="V251" s="375">
        <f t="shared" si="85"/>
        <v>0</v>
      </c>
      <c r="W251" s="375">
        <f t="shared" si="85"/>
        <v>0</v>
      </c>
      <c r="X251" s="375">
        <f t="shared" si="85"/>
        <v>0</v>
      </c>
      <c r="Y251" s="369"/>
    </row>
    <row r="252" spans="1:26" ht="13.5" thickBot="1" x14ac:dyDescent="0.25">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row>
    <row r="253" spans="1:26" ht="13.5" thickBot="1" x14ac:dyDescent="0.25">
      <c r="A253" s="361" t="s">
        <v>388</v>
      </c>
      <c r="B253" s="359">
        <f>ROW(A253)</f>
        <v>253</v>
      </c>
      <c r="C253" s="363" t="s">
        <v>115</v>
      </c>
      <c r="D253" s="353">
        <f>SUM(B256:Y256)</f>
        <v>142.7236025</v>
      </c>
      <c r="E253" s="363" t="s">
        <v>114</v>
      </c>
      <c r="F253" s="354">
        <v>208</v>
      </c>
      <c r="G253" s="363" t="s">
        <v>56</v>
      </c>
      <c r="H253" s="64">
        <v>0.19700000000000001</v>
      </c>
      <c r="I253" s="363" t="s">
        <v>271</v>
      </c>
      <c r="J253" s="355">
        <f>H253-L253</f>
        <v>7.0000000000000007E-2</v>
      </c>
      <c r="K253" s="363" t="s">
        <v>272</v>
      </c>
      <c r="L253" s="64">
        <v>0.127</v>
      </c>
      <c r="M253" s="363" t="s">
        <v>57</v>
      </c>
      <c r="N253" s="65">
        <v>63</v>
      </c>
      <c r="O253" s="363" t="s">
        <v>59</v>
      </c>
      <c r="P253" s="65">
        <v>114</v>
      </c>
      <c r="Q253" s="363" t="s">
        <v>60</v>
      </c>
      <c r="R253" s="65">
        <v>127</v>
      </c>
      <c r="S253" s="363" t="s">
        <v>61</v>
      </c>
      <c r="T253" s="65">
        <v>38</v>
      </c>
      <c r="U253" s="363" t="s">
        <v>54</v>
      </c>
      <c r="V253" s="66" t="s">
        <v>119</v>
      </c>
      <c r="W253" s="463" t="s">
        <v>394</v>
      </c>
      <c r="X253" s="465">
        <v>1.8</v>
      </c>
      <c r="Y253" s="463" t="s">
        <v>393</v>
      </c>
      <c r="Z253" s="358">
        <v>15</v>
      </c>
    </row>
    <row r="254" spans="1:26" x14ac:dyDescent="0.2">
      <c r="A254" s="362" t="s">
        <v>33</v>
      </c>
      <c r="B254" s="370">
        <v>0</v>
      </c>
      <c r="C254" s="370">
        <v>6.0000000000000001E-3</v>
      </c>
      <c r="D254" s="371">
        <v>1.7999999999999999E-2</v>
      </c>
      <c r="E254" s="371">
        <v>3.5999999999999997E-2</v>
      </c>
      <c r="F254" s="371">
        <v>4.7E-2</v>
      </c>
      <c r="G254" s="371">
        <v>8.4000000000000005E-2</v>
      </c>
      <c r="H254" s="371">
        <v>0.13500000000000001</v>
      </c>
      <c r="I254" s="371">
        <v>0.23799999999999999</v>
      </c>
      <c r="J254" s="371">
        <v>0.438</v>
      </c>
      <c r="K254" s="371">
        <v>0.63</v>
      </c>
      <c r="L254" s="371">
        <v>0.85899999999999999</v>
      </c>
      <c r="M254" s="371">
        <v>1.2829999999999999</v>
      </c>
      <c r="N254" s="371">
        <v>1.4470000000000001</v>
      </c>
      <c r="O254" s="371">
        <v>1.643</v>
      </c>
      <c r="P254" s="371">
        <v>1.7130000000000001</v>
      </c>
      <c r="Q254" s="371">
        <v>1.7430000000000001</v>
      </c>
      <c r="R254" s="371">
        <v>1.79</v>
      </c>
      <c r="S254" s="371">
        <v>1.8180000000000001</v>
      </c>
      <c r="T254" s="371">
        <v>1.8520000000000001</v>
      </c>
      <c r="U254" s="371">
        <v>2</v>
      </c>
      <c r="V254" s="371">
        <f t="shared" ref="V254:X255" si="86">U254</f>
        <v>2</v>
      </c>
      <c r="W254" s="371">
        <f t="shared" si="86"/>
        <v>2</v>
      </c>
      <c r="X254" s="371">
        <f t="shared" si="86"/>
        <v>2</v>
      </c>
      <c r="Y254" s="381">
        <v>1000</v>
      </c>
    </row>
    <row r="255" spans="1:26" x14ac:dyDescent="0.2">
      <c r="A255" s="378" t="s">
        <v>34</v>
      </c>
      <c r="B255" s="372">
        <v>0</v>
      </c>
      <c r="C255" s="372">
        <v>104.068</v>
      </c>
      <c r="D255" s="373">
        <v>137.928</v>
      </c>
      <c r="E255" s="373">
        <v>70.706999999999994</v>
      </c>
      <c r="F255" s="373">
        <v>62.241999999999997</v>
      </c>
      <c r="G255" s="373">
        <v>73.694000000000003</v>
      </c>
      <c r="H255" s="373">
        <v>78.176000000000002</v>
      </c>
      <c r="I255" s="373">
        <v>84.150999999999996</v>
      </c>
      <c r="J255" s="373">
        <v>89.628</v>
      </c>
      <c r="K255" s="373">
        <v>88.135000000000005</v>
      </c>
      <c r="L255" s="373">
        <v>87.138999999999996</v>
      </c>
      <c r="M255" s="373">
        <v>77.180000000000007</v>
      </c>
      <c r="N255" s="373">
        <v>70.706999999999994</v>
      </c>
      <c r="O255" s="373">
        <v>67.718999999999994</v>
      </c>
      <c r="P255" s="373">
        <v>64.233999999999995</v>
      </c>
      <c r="Q255" s="373">
        <v>54.274999999999999</v>
      </c>
      <c r="R255" s="373">
        <v>18.423999999999999</v>
      </c>
      <c r="S255" s="373">
        <v>6.4729999999999999</v>
      </c>
      <c r="T255" s="373">
        <v>0</v>
      </c>
      <c r="U255" s="373">
        <v>0</v>
      </c>
      <c r="V255" s="373">
        <f t="shared" si="86"/>
        <v>0</v>
      </c>
      <c r="W255" s="373">
        <f t="shared" si="86"/>
        <v>0</v>
      </c>
      <c r="X255" s="373">
        <f t="shared" si="86"/>
        <v>0</v>
      </c>
      <c r="Y255" s="382">
        <v>0</v>
      </c>
    </row>
    <row r="256" spans="1:26" ht="13.5" thickBot="1" x14ac:dyDescent="0.25">
      <c r="A256" s="379" t="s">
        <v>116</v>
      </c>
      <c r="B256" s="374">
        <f t="shared" ref="B256:X256" si="87">(C255+B255)*(C254-B254)/2</f>
        <v>0.31220399999999998</v>
      </c>
      <c r="C256" s="375">
        <f t="shared" si="87"/>
        <v>1.4519759999999997</v>
      </c>
      <c r="D256" s="375">
        <f t="shared" si="87"/>
        <v>1.8777149999999998</v>
      </c>
      <c r="E256" s="375">
        <f t="shared" si="87"/>
        <v>0.73121950000000013</v>
      </c>
      <c r="F256" s="375">
        <f t="shared" si="87"/>
        <v>2.5148160000000006</v>
      </c>
      <c r="G256" s="375">
        <f t="shared" si="87"/>
        <v>3.8726850000000006</v>
      </c>
      <c r="H256" s="375">
        <f t="shared" si="87"/>
        <v>8.3598404999999989</v>
      </c>
      <c r="I256" s="375">
        <f t="shared" si="87"/>
        <v>17.3779</v>
      </c>
      <c r="J256" s="375">
        <f t="shared" si="87"/>
        <v>17.065248</v>
      </c>
      <c r="K256" s="375">
        <f t="shared" si="87"/>
        <v>20.068873</v>
      </c>
      <c r="L256" s="375">
        <f t="shared" si="87"/>
        <v>34.835628</v>
      </c>
      <c r="M256" s="375">
        <f t="shared" si="87"/>
        <v>12.126734000000011</v>
      </c>
      <c r="N256" s="375">
        <f t="shared" si="87"/>
        <v>13.565747999999996</v>
      </c>
      <c r="O256" s="375">
        <f t="shared" si="87"/>
        <v>4.6183550000000029</v>
      </c>
      <c r="P256" s="375">
        <f t="shared" si="87"/>
        <v>1.7776350000000014</v>
      </c>
      <c r="Q256" s="375">
        <f t="shared" si="87"/>
        <v>1.7084264999999974</v>
      </c>
      <c r="R256" s="375">
        <f t="shared" si="87"/>
        <v>0.34855800000000031</v>
      </c>
      <c r="S256" s="375">
        <f t="shared" si="87"/>
        <v>0.1100410000000001</v>
      </c>
      <c r="T256" s="375">
        <f t="shared" si="87"/>
        <v>0</v>
      </c>
      <c r="U256" s="375">
        <f t="shared" si="87"/>
        <v>0</v>
      </c>
      <c r="V256" s="375">
        <f t="shared" si="87"/>
        <v>0</v>
      </c>
      <c r="W256" s="375">
        <f t="shared" si="87"/>
        <v>0</v>
      </c>
      <c r="X256" s="375">
        <f t="shared" si="87"/>
        <v>0</v>
      </c>
      <c r="Y256" s="369"/>
    </row>
    <row r="257" spans="1:25" ht="13.5" thickBot="1" x14ac:dyDescent="0.25">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row>
    <row r="258" spans="1:25" ht="13.5" thickBot="1" x14ac:dyDescent="0.25">
      <c r="A258" s="361" t="s">
        <v>274</v>
      </c>
      <c r="B258" s="360">
        <f>ROW(A258)</f>
        <v>258</v>
      </c>
      <c r="C258" s="363" t="s">
        <v>115</v>
      </c>
      <c r="D258" s="353">
        <f>SUM(B261:Y261)</f>
        <v>33.500000000000007</v>
      </c>
      <c r="E258" s="363" t="s">
        <v>114</v>
      </c>
      <c r="F258" s="354">
        <f>D258/g/J258</f>
        <v>68.297655453618759</v>
      </c>
      <c r="G258" s="363" t="s">
        <v>56</v>
      </c>
      <c r="H258" s="64">
        <v>8.5000000000000006E-2</v>
      </c>
      <c r="I258" s="363" t="s">
        <v>271</v>
      </c>
      <c r="J258" s="355">
        <f>H258-L258</f>
        <v>0.05</v>
      </c>
      <c r="K258" s="363" t="s">
        <v>272</v>
      </c>
      <c r="L258" s="64">
        <v>3.5000000000000003E-2</v>
      </c>
      <c r="M258" s="363" t="s">
        <v>57</v>
      </c>
      <c r="N258" s="65">
        <v>20</v>
      </c>
      <c r="O258" s="363" t="s">
        <v>59</v>
      </c>
      <c r="P258" s="65">
        <v>20</v>
      </c>
      <c r="Q258" s="363" t="s">
        <v>60</v>
      </c>
      <c r="R258" s="65">
        <v>39</v>
      </c>
      <c r="S258" s="363" t="s">
        <v>61</v>
      </c>
      <c r="T258" s="65">
        <v>39</v>
      </c>
      <c r="U258" s="363" t="s">
        <v>54</v>
      </c>
      <c r="V258" s="66" t="s">
        <v>401</v>
      </c>
      <c r="W258" s="12"/>
      <c r="X258" s="12"/>
      <c r="Y258" s="12"/>
    </row>
    <row r="259" spans="1:25" x14ac:dyDescent="0.2">
      <c r="A259" s="362" t="s">
        <v>33</v>
      </c>
      <c r="B259" s="370">
        <v>0</v>
      </c>
      <c r="C259" s="371">
        <v>0.05</v>
      </c>
      <c r="D259" s="371">
        <v>0.1</v>
      </c>
      <c r="E259" s="371">
        <v>0.25</v>
      </c>
      <c r="F259" s="371">
        <v>0.3</v>
      </c>
      <c r="G259" s="371">
        <v>0.35</v>
      </c>
      <c r="H259" s="371">
        <v>0.45</v>
      </c>
      <c r="I259" s="371">
        <v>0.55000000000000004</v>
      </c>
      <c r="J259" s="371">
        <v>3.5</v>
      </c>
      <c r="K259" s="371">
        <v>3.6</v>
      </c>
      <c r="L259" s="371">
        <v>3.6</v>
      </c>
      <c r="M259" s="371">
        <v>3.6</v>
      </c>
      <c r="N259" s="371">
        <v>3.6</v>
      </c>
      <c r="O259" s="371">
        <v>3.6</v>
      </c>
      <c r="P259" s="371">
        <v>3.6</v>
      </c>
      <c r="Q259" s="371">
        <v>3.6</v>
      </c>
      <c r="R259" s="371">
        <v>3.6</v>
      </c>
      <c r="S259" s="371">
        <v>3.6</v>
      </c>
      <c r="T259" s="371">
        <v>3.6</v>
      </c>
      <c r="U259" s="371">
        <v>3.6</v>
      </c>
      <c r="V259" s="371">
        <v>3.6</v>
      </c>
      <c r="W259" s="371">
        <v>3.6</v>
      </c>
      <c r="X259" s="371">
        <v>3.6</v>
      </c>
      <c r="Y259" s="381">
        <v>1000</v>
      </c>
    </row>
    <row r="260" spans="1:25" x14ac:dyDescent="0.2">
      <c r="A260" s="378" t="s">
        <v>34</v>
      </c>
      <c r="B260" s="372">
        <v>0</v>
      </c>
      <c r="C260" s="373">
        <v>68</v>
      </c>
      <c r="D260" s="373">
        <v>62</v>
      </c>
      <c r="E260" s="373">
        <v>60</v>
      </c>
      <c r="F260" s="373">
        <v>39</v>
      </c>
      <c r="G260" s="373">
        <v>38</v>
      </c>
      <c r="H260" s="373">
        <v>9</v>
      </c>
      <c r="I260" s="373">
        <v>5</v>
      </c>
      <c r="J260" s="373">
        <v>3</v>
      </c>
      <c r="K260" s="373">
        <v>0</v>
      </c>
      <c r="L260" s="373">
        <v>0</v>
      </c>
      <c r="M260" s="373">
        <v>0</v>
      </c>
      <c r="N260" s="373">
        <v>0</v>
      </c>
      <c r="O260" s="373">
        <v>0</v>
      </c>
      <c r="P260" s="373">
        <v>0</v>
      </c>
      <c r="Q260" s="373">
        <v>0</v>
      </c>
      <c r="R260" s="373">
        <v>0</v>
      </c>
      <c r="S260" s="373">
        <v>0</v>
      </c>
      <c r="T260" s="373">
        <v>0</v>
      </c>
      <c r="U260" s="373">
        <v>0</v>
      </c>
      <c r="V260" s="373">
        <v>0</v>
      </c>
      <c r="W260" s="373">
        <v>0</v>
      </c>
      <c r="X260" s="373">
        <v>0</v>
      </c>
      <c r="Y260" s="382">
        <v>0</v>
      </c>
    </row>
    <row r="261" spans="1:25" ht="13.5" thickBot="1" x14ac:dyDescent="0.25">
      <c r="A261" s="379" t="s">
        <v>116</v>
      </c>
      <c r="B261" s="374">
        <f t="shared" ref="B261:V261" si="88">(C260+B260)*(C259-B259)/2</f>
        <v>1.7000000000000002</v>
      </c>
      <c r="C261" s="375">
        <f t="shared" si="88"/>
        <v>3.25</v>
      </c>
      <c r="D261" s="375">
        <f t="shared" si="88"/>
        <v>9.15</v>
      </c>
      <c r="E261" s="375">
        <f t="shared" si="88"/>
        <v>2.4749999999999996</v>
      </c>
      <c r="F261" s="375">
        <f t="shared" si="88"/>
        <v>1.9249999999999996</v>
      </c>
      <c r="G261" s="375">
        <f t="shared" si="88"/>
        <v>2.350000000000001</v>
      </c>
      <c r="H261" s="375">
        <f t="shared" si="88"/>
        <v>0.70000000000000018</v>
      </c>
      <c r="I261" s="375">
        <f t="shared" si="88"/>
        <v>11.8</v>
      </c>
      <c r="J261" s="375">
        <f t="shared" si="88"/>
        <v>0.15000000000000013</v>
      </c>
      <c r="K261" s="375">
        <f t="shared" si="88"/>
        <v>0</v>
      </c>
      <c r="L261" s="375">
        <f t="shared" si="88"/>
        <v>0</v>
      </c>
      <c r="M261" s="375">
        <f t="shared" si="88"/>
        <v>0</v>
      </c>
      <c r="N261" s="375">
        <f t="shared" si="88"/>
        <v>0</v>
      </c>
      <c r="O261" s="375">
        <f t="shared" si="88"/>
        <v>0</v>
      </c>
      <c r="P261" s="375">
        <f t="shared" si="88"/>
        <v>0</v>
      </c>
      <c r="Q261" s="375">
        <f t="shared" si="88"/>
        <v>0</v>
      </c>
      <c r="R261" s="375">
        <f t="shared" si="88"/>
        <v>0</v>
      </c>
      <c r="S261" s="375">
        <f t="shared" si="88"/>
        <v>0</v>
      </c>
      <c r="T261" s="375">
        <f t="shared" si="88"/>
        <v>0</v>
      </c>
      <c r="U261" s="375">
        <f t="shared" si="88"/>
        <v>0</v>
      </c>
      <c r="V261" s="375">
        <f t="shared" si="88"/>
        <v>0</v>
      </c>
      <c r="W261" s="375">
        <f>(X260+W260)*(X259-W259)/2</f>
        <v>0</v>
      </c>
      <c r="X261" s="375">
        <f>(Y260+X260)*(Y259-X259)/2</f>
        <v>0</v>
      </c>
      <c r="Y261" s="369"/>
    </row>
    <row r="262" spans="1:25" ht="13.5" thickBot="1" x14ac:dyDescent="0.25">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row>
    <row r="263" spans="1:25" ht="13.5" thickBot="1" x14ac:dyDescent="0.25">
      <c r="A263" s="361" t="s">
        <v>275</v>
      </c>
      <c r="B263" s="359">
        <f>ROW(A263)</f>
        <v>263</v>
      </c>
      <c r="C263" s="363" t="s">
        <v>115</v>
      </c>
      <c r="D263" s="353">
        <f>SUM(B266:Y266)</f>
        <v>145.46</v>
      </c>
      <c r="E263" s="363" t="s">
        <v>114</v>
      </c>
      <c r="F263" s="354">
        <f>D263/g/J263</f>
        <v>211.82466870540264</v>
      </c>
      <c r="G263" s="363" t="s">
        <v>56</v>
      </c>
      <c r="H263" s="64">
        <v>0.22</v>
      </c>
      <c r="I263" s="363" t="s">
        <v>271</v>
      </c>
      <c r="J263" s="355">
        <f>H263-L263</f>
        <v>7.0000000000000007E-2</v>
      </c>
      <c r="K263" s="363" t="s">
        <v>272</v>
      </c>
      <c r="L263" s="64">
        <v>0.15</v>
      </c>
      <c r="M263" s="363" t="s">
        <v>57</v>
      </c>
      <c r="N263" s="65">
        <v>50</v>
      </c>
      <c r="O263" s="363" t="s">
        <v>59</v>
      </c>
      <c r="P263" s="65">
        <v>55</v>
      </c>
      <c r="Q263" s="363" t="s">
        <v>60</v>
      </c>
      <c r="R263" s="65">
        <v>76</v>
      </c>
      <c r="S263" s="363" t="s">
        <v>61</v>
      </c>
      <c r="T263" s="65">
        <v>40</v>
      </c>
      <c r="U263" s="363" t="s">
        <v>54</v>
      </c>
      <c r="V263" s="66" t="s">
        <v>401</v>
      </c>
      <c r="W263" s="12"/>
      <c r="X263" s="12"/>
      <c r="Y263" s="12"/>
    </row>
    <row r="264" spans="1:25" x14ac:dyDescent="0.2">
      <c r="A264" s="362" t="s">
        <v>33</v>
      </c>
      <c r="B264" s="370">
        <v>0</v>
      </c>
      <c r="C264" s="371">
        <v>0.02</v>
      </c>
      <c r="D264" s="371">
        <v>0.04</v>
      </c>
      <c r="E264" s="371">
        <v>0.05</v>
      </c>
      <c r="F264" s="371">
        <v>0.06</v>
      </c>
      <c r="G264" s="371">
        <v>0.94</v>
      </c>
      <c r="H264" s="377">
        <v>0.94200000000000006</v>
      </c>
      <c r="I264" s="371">
        <v>0.95</v>
      </c>
      <c r="J264" s="371">
        <v>0.95</v>
      </c>
      <c r="K264" s="371">
        <v>0.95</v>
      </c>
      <c r="L264" s="371">
        <v>0.95</v>
      </c>
      <c r="M264" s="371">
        <v>0.95</v>
      </c>
      <c r="N264" s="371">
        <v>0.95</v>
      </c>
      <c r="O264" s="371">
        <v>0.95</v>
      </c>
      <c r="P264" s="371">
        <v>0.95</v>
      </c>
      <c r="Q264" s="371">
        <v>0.95</v>
      </c>
      <c r="R264" s="371">
        <v>0.95</v>
      </c>
      <c r="S264" s="371">
        <v>0.95</v>
      </c>
      <c r="T264" s="371">
        <v>0.95</v>
      </c>
      <c r="U264" s="371">
        <v>0.95</v>
      </c>
      <c r="V264" s="371">
        <v>0.95</v>
      </c>
      <c r="W264" s="371">
        <v>0.95</v>
      </c>
      <c r="X264" s="371">
        <v>2</v>
      </c>
      <c r="Y264" s="381">
        <v>1000</v>
      </c>
    </row>
    <row r="265" spans="1:25" x14ac:dyDescent="0.2">
      <c r="A265" s="378" t="s">
        <v>34</v>
      </c>
      <c r="B265" s="372">
        <v>0</v>
      </c>
      <c r="C265" s="373">
        <v>320</v>
      </c>
      <c r="D265" s="373">
        <v>170</v>
      </c>
      <c r="E265" s="373">
        <v>205</v>
      </c>
      <c r="F265" s="373">
        <v>217</v>
      </c>
      <c r="G265" s="373">
        <v>85</v>
      </c>
      <c r="H265" s="373">
        <v>82</v>
      </c>
      <c r="I265" s="373">
        <v>0</v>
      </c>
      <c r="J265" s="373">
        <v>0</v>
      </c>
      <c r="K265" s="373">
        <v>0</v>
      </c>
      <c r="L265" s="373">
        <v>0</v>
      </c>
      <c r="M265" s="373">
        <v>0</v>
      </c>
      <c r="N265" s="373">
        <v>0</v>
      </c>
      <c r="O265" s="373">
        <v>0</v>
      </c>
      <c r="P265" s="373">
        <v>0</v>
      </c>
      <c r="Q265" s="373">
        <v>0</v>
      </c>
      <c r="R265" s="373">
        <v>0</v>
      </c>
      <c r="S265" s="373">
        <v>0</v>
      </c>
      <c r="T265" s="373">
        <v>0</v>
      </c>
      <c r="U265" s="373">
        <v>0</v>
      </c>
      <c r="V265" s="373">
        <v>0</v>
      </c>
      <c r="W265" s="373">
        <v>0</v>
      </c>
      <c r="X265" s="373">
        <v>0</v>
      </c>
      <c r="Y265" s="382">
        <v>0</v>
      </c>
    </row>
    <row r="266" spans="1:25" ht="13.5" thickBot="1" x14ac:dyDescent="0.25">
      <c r="A266" s="379" t="s">
        <v>116</v>
      </c>
      <c r="B266" s="374">
        <f t="shared" ref="B266:H266" si="89">(C265+B265)*(C264-B264)/2</f>
        <v>3.2</v>
      </c>
      <c r="C266" s="375">
        <f t="shared" si="89"/>
        <v>4.9000000000000004</v>
      </c>
      <c r="D266" s="375">
        <f t="shared" si="89"/>
        <v>1.8750000000000004</v>
      </c>
      <c r="E266" s="375">
        <f t="shared" si="89"/>
        <v>2.109999999999999</v>
      </c>
      <c r="F266" s="375">
        <f t="shared" si="89"/>
        <v>132.88</v>
      </c>
      <c r="G266" s="375">
        <f t="shared" si="89"/>
        <v>0.16700000000000942</v>
      </c>
      <c r="H266" s="375">
        <f t="shared" si="89"/>
        <v>0.32799999999999574</v>
      </c>
      <c r="I266" s="375">
        <f t="shared" ref="I266:V266" si="90">(J265+I265)*(J264-I264)/2</f>
        <v>0</v>
      </c>
      <c r="J266" s="375">
        <f>(K265+J265)*(K264-J264)/2</f>
        <v>0</v>
      </c>
      <c r="K266" s="375">
        <f t="shared" si="90"/>
        <v>0</v>
      </c>
      <c r="L266" s="375">
        <f t="shared" si="90"/>
        <v>0</v>
      </c>
      <c r="M266" s="375">
        <f t="shared" si="90"/>
        <v>0</v>
      </c>
      <c r="N266" s="375">
        <f t="shared" si="90"/>
        <v>0</v>
      </c>
      <c r="O266" s="375">
        <f t="shared" si="90"/>
        <v>0</v>
      </c>
      <c r="P266" s="375">
        <f t="shared" si="90"/>
        <v>0</v>
      </c>
      <c r="Q266" s="375">
        <f t="shared" si="90"/>
        <v>0</v>
      </c>
      <c r="R266" s="375">
        <f t="shared" si="90"/>
        <v>0</v>
      </c>
      <c r="S266" s="375">
        <f>(T265+S265)*(T264-S264)/2</f>
        <v>0</v>
      </c>
      <c r="T266" s="375">
        <f t="shared" si="90"/>
        <v>0</v>
      </c>
      <c r="U266" s="375">
        <f t="shared" si="90"/>
        <v>0</v>
      </c>
      <c r="V266" s="375">
        <f t="shared" si="90"/>
        <v>0</v>
      </c>
      <c r="W266" s="375">
        <f>(X265+W265)*(X264-W264)/2</f>
        <v>0</v>
      </c>
      <c r="X266" s="375">
        <f>(Y265+X265)*(Y264-X264)/2</f>
        <v>0</v>
      </c>
      <c r="Y266" s="369"/>
    </row>
    <row r="267" spans="1:25" x14ac:dyDescent="0.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row>
    <row r="268" spans="1:25" ht="13.5" thickBot="1" x14ac:dyDescent="0.25">
      <c r="A268" s="6" t="s">
        <v>313</v>
      </c>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row>
    <row r="269" spans="1:25" ht="13.5" thickBot="1" x14ac:dyDescent="0.25">
      <c r="A269" s="361" t="s">
        <v>35</v>
      </c>
      <c r="B269" s="359">
        <f>ROW(A269)</f>
        <v>269</v>
      </c>
      <c r="C269" s="363" t="s">
        <v>115</v>
      </c>
      <c r="D269" s="353">
        <f>SUM(B272:Y272)</f>
        <v>1071.5999999999999</v>
      </c>
      <c r="E269" s="363" t="s">
        <v>114</v>
      </c>
      <c r="F269" s="354">
        <f>D269/g/J269</f>
        <v>163.03802090465106</v>
      </c>
      <c r="G269" s="363" t="s">
        <v>56</v>
      </c>
      <c r="H269" s="64">
        <v>2.02</v>
      </c>
      <c r="I269" s="363" t="s">
        <v>271</v>
      </c>
      <c r="J269" s="355">
        <f>H269-L269</f>
        <v>0.66999999999999993</v>
      </c>
      <c r="K269" s="363" t="s">
        <v>272</v>
      </c>
      <c r="L269" s="64">
        <v>1.35</v>
      </c>
      <c r="M269" s="363" t="s">
        <v>57</v>
      </c>
      <c r="N269" s="65">
        <v>154</v>
      </c>
      <c r="O269" s="363" t="s">
        <v>59</v>
      </c>
      <c r="P269" s="65">
        <v>168</v>
      </c>
      <c r="Q269" s="363" t="s">
        <v>60</v>
      </c>
      <c r="R269" s="65">
        <v>230</v>
      </c>
      <c r="S269" s="363" t="s">
        <v>61</v>
      </c>
      <c r="T269" s="65">
        <v>67</v>
      </c>
      <c r="U269" s="363" t="s">
        <v>54</v>
      </c>
      <c r="V269" s="66" t="s">
        <v>118</v>
      </c>
      <c r="W269" s="12"/>
      <c r="X269" s="12"/>
      <c r="Y269" s="12"/>
    </row>
    <row r="270" spans="1:25" x14ac:dyDescent="0.2">
      <c r="A270" s="362" t="s">
        <v>33</v>
      </c>
      <c r="B270" s="370">
        <v>0</v>
      </c>
      <c r="C270" s="371">
        <v>0.02</v>
      </c>
      <c r="D270" s="371">
        <v>0.05</v>
      </c>
      <c r="E270" s="371">
        <v>0.06</v>
      </c>
      <c r="F270" s="371">
        <v>0.09</v>
      </c>
      <c r="G270" s="371">
        <v>0.17</v>
      </c>
      <c r="H270" s="371">
        <v>0.2</v>
      </c>
      <c r="I270" s="371">
        <v>0.38</v>
      </c>
      <c r="J270" s="371">
        <v>0.75</v>
      </c>
      <c r="K270" s="371">
        <v>0.79</v>
      </c>
      <c r="L270" s="371">
        <v>1.1299999999999999</v>
      </c>
      <c r="M270" s="371">
        <v>1.2</v>
      </c>
      <c r="N270" s="371">
        <v>1.5</v>
      </c>
      <c r="O270" s="371">
        <v>1.54</v>
      </c>
      <c r="P270" s="371">
        <v>1.65</v>
      </c>
      <c r="Q270" s="371">
        <v>1.7</v>
      </c>
      <c r="R270" s="371">
        <v>1.79</v>
      </c>
      <c r="S270" s="371">
        <v>1.79</v>
      </c>
      <c r="T270" s="371">
        <v>1.79</v>
      </c>
      <c r="U270" s="371">
        <v>1.79</v>
      </c>
      <c r="V270" s="371">
        <v>1.79</v>
      </c>
      <c r="W270" s="371">
        <v>1.79</v>
      </c>
      <c r="X270" s="371">
        <v>1.79</v>
      </c>
      <c r="Y270" s="381">
        <v>1000</v>
      </c>
    </row>
    <row r="271" spans="1:25" x14ac:dyDescent="0.2">
      <c r="A271" s="378" t="s">
        <v>34</v>
      </c>
      <c r="B271" s="372">
        <v>0</v>
      </c>
      <c r="C271" s="373">
        <v>20</v>
      </c>
      <c r="D271" s="373">
        <v>870</v>
      </c>
      <c r="E271" s="373">
        <v>530</v>
      </c>
      <c r="F271" s="373">
        <v>790</v>
      </c>
      <c r="G271" s="373">
        <v>700</v>
      </c>
      <c r="H271" s="373">
        <v>710</v>
      </c>
      <c r="I271" s="373">
        <v>670</v>
      </c>
      <c r="J271" s="373">
        <v>630</v>
      </c>
      <c r="K271" s="373">
        <v>630</v>
      </c>
      <c r="L271" s="373">
        <v>710</v>
      </c>
      <c r="M271" s="373">
        <v>690</v>
      </c>
      <c r="N271" s="373">
        <v>690</v>
      </c>
      <c r="O271" s="373">
        <v>660</v>
      </c>
      <c r="P271" s="373">
        <v>160</v>
      </c>
      <c r="Q271" s="373">
        <v>10</v>
      </c>
      <c r="R271" s="373">
        <v>0</v>
      </c>
      <c r="S271" s="373">
        <v>0</v>
      </c>
      <c r="T271" s="373">
        <v>0</v>
      </c>
      <c r="U271" s="373">
        <v>0</v>
      </c>
      <c r="V271" s="373">
        <v>0</v>
      </c>
      <c r="W271" s="373">
        <v>0</v>
      </c>
      <c r="X271" s="373">
        <v>0</v>
      </c>
      <c r="Y271" s="382">
        <v>0</v>
      </c>
    </row>
    <row r="272" spans="1:25" ht="13.5" thickBot="1" x14ac:dyDescent="0.25">
      <c r="A272" s="379" t="s">
        <v>116</v>
      </c>
      <c r="B272" s="374">
        <f t="shared" ref="B272:Q272" si="91">(C271+B271)*(C270-B270)/2</f>
        <v>0.2</v>
      </c>
      <c r="C272" s="375">
        <f t="shared" si="91"/>
        <v>13.350000000000001</v>
      </c>
      <c r="D272" s="375">
        <f t="shared" si="91"/>
        <v>6.9999999999999964</v>
      </c>
      <c r="E272" s="375">
        <f t="shared" si="91"/>
        <v>19.8</v>
      </c>
      <c r="F272" s="375">
        <f t="shared" si="91"/>
        <v>59.600000000000009</v>
      </c>
      <c r="G272" s="375">
        <f t="shared" si="91"/>
        <v>21.15</v>
      </c>
      <c r="H272" s="375">
        <f t="shared" si="91"/>
        <v>124.19999999999999</v>
      </c>
      <c r="I272" s="375">
        <f t="shared" si="91"/>
        <v>240.5</v>
      </c>
      <c r="J272" s="375">
        <f>(K271+J271)*(K270-J270)/2</f>
        <v>25.200000000000024</v>
      </c>
      <c r="K272" s="375">
        <f t="shared" si="91"/>
        <v>227.7999999999999</v>
      </c>
      <c r="L272" s="375">
        <f t="shared" si="91"/>
        <v>49.000000000000043</v>
      </c>
      <c r="M272" s="375">
        <f t="shared" si="91"/>
        <v>207.00000000000003</v>
      </c>
      <c r="N272" s="375">
        <f t="shared" si="91"/>
        <v>27.000000000000025</v>
      </c>
      <c r="O272" s="375">
        <f t="shared" si="91"/>
        <v>45.099999999999952</v>
      </c>
      <c r="P272" s="375">
        <f t="shared" si="91"/>
        <v>4.2500000000000036</v>
      </c>
      <c r="Q272" s="375">
        <f t="shared" si="91"/>
        <v>0.4500000000000004</v>
      </c>
      <c r="R272" s="375">
        <f t="shared" ref="R272:X272" si="92">(S271+R271)*(S270-R270)/2</f>
        <v>0</v>
      </c>
      <c r="S272" s="375">
        <f t="shared" si="92"/>
        <v>0</v>
      </c>
      <c r="T272" s="375">
        <f t="shared" si="92"/>
        <v>0</v>
      </c>
      <c r="U272" s="375">
        <f t="shared" si="92"/>
        <v>0</v>
      </c>
      <c r="V272" s="375">
        <f t="shared" si="92"/>
        <v>0</v>
      </c>
      <c r="W272" s="375">
        <f t="shared" si="92"/>
        <v>0</v>
      </c>
      <c r="X272" s="375">
        <f t="shared" si="92"/>
        <v>0</v>
      </c>
      <c r="Y272" s="383"/>
    </row>
    <row r="273" spans="1:25" ht="13.5" thickBot="1" x14ac:dyDescent="0.25">
      <c r="S273" s="12"/>
      <c r="T273" s="12"/>
      <c r="U273" s="12"/>
      <c r="V273" s="12"/>
      <c r="W273" s="12"/>
      <c r="X273" s="12"/>
      <c r="Y273" s="12"/>
    </row>
    <row r="274" spans="1:25" ht="13.5" thickBot="1" x14ac:dyDescent="0.25">
      <c r="A274" s="361" t="s">
        <v>36</v>
      </c>
      <c r="B274" s="359">
        <f>ROW(A274)</f>
        <v>274</v>
      </c>
      <c r="C274" s="363" t="s">
        <v>115</v>
      </c>
      <c r="D274" s="353">
        <f>SUM(B277:Y277)</f>
        <v>2102.35</v>
      </c>
      <c r="E274" s="363" t="s">
        <v>114</v>
      </c>
      <c r="F274" s="354">
        <f>D274/g/J274</f>
        <v>174.23319493133766</v>
      </c>
      <c r="G274" s="363" t="s">
        <v>56</v>
      </c>
      <c r="H274" s="64">
        <v>3.7</v>
      </c>
      <c r="I274" s="363" t="s">
        <v>271</v>
      </c>
      <c r="J274" s="355">
        <f>H274-L274</f>
        <v>1.23</v>
      </c>
      <c r="K274" s="363" t="s">
        <v>272</v>
      </c>
      <c r="L274" s="64">
        <v>2.4700000000000002</v>
      </c>
      <c r="M274" s="363" t="s">
        <v>57</v>
      </c>
      <c r="N274" s="65">
        <v>151</v>
      </c>
      <c r="O274" s="363" t="s">
        <v>59</v>
      </c>
      <c r="P274" s="65">
        <v>171</v>
      </c>
      <c r="Q274" s="363" t="s">
        <v>60</v>
      </c>
      <c r="R274" s="65">
        <v>247</v>
      </c>
      <c r="S274" s="363" t="s">
        <v>61</v>
      </c>
      <c r="T274" s="65">
        <v>90</v>
      </c>
      <c r="U274" s="363" t="s">
        <v>54</v>
      </c>
      <c r="V274" s="66" t="s">
        <v>118</v>
      </c>
      <c r="W274" s="12"/>
      <c r="X274" s="12"/>
      <c r="Y274" s="12"/>
    </row>
    <row r="275" spans="1:25" x14ac:dyDescent="0.2">
      <c r="A275" s="362" t="s">
        <v>33</v>
      </c>
      <c r="B275" s="370">
        <v>0</v>
      </c>
      <c r="C275" s="371">
        <v>0.05</v>
      </c>
      <c r="D275" s="371">
        <v>0.1</v>
      </c>
      <c r="E275" s="371">
        <v>1</v>
      </c>
      <c r="F275" s="371">
        <v>1.35</v>
      </c>
      <c r="G275" s="371">
        <v>1.75</v>
      </c>
      <c r="H275" s="371">
        <v>2.15</v>
      </c>
      <c r="I275" s="371">
        <v>2.25</v>
      </c>
      <c r="J275" s="371">
        <v>2.48</v>
      </c>
      <c r="K275" s="371">
        <v>2.6</v>
      </c>
      <c r="L275" s="371">
        <v>2.8</v>
      </c>
      <c r="M275" s="371">
        <v>2.8</v>
      </c>
      <c r="N275" s="371">
        <v>2.8</v>
      </c>
      <c r="O275" s="371">
        <v>2.8</v>
      </c>
      <c r="P275" s="371">
        <v>2.8</v>
      </c>
      <c r="Q275" s="371">
        <v>2.8</v>
      </c>
      <c r="R275" s="371">
        <v>2.8</v>
      </c>
      <c r="S275" s="371">
        <v>2.8</v>
      </c>
      <c r="T275" s="371">
        <v>2.8</v>
      </c>
      <c r="U275" s="371">
        <v>2.8</v>
      </c>
      <c r="V275" s="371">
        <v>2.8</v>
      </c>
      <c r="W275" s="371">
        <v>2.8</v>
      </c>
      <c r="X275" s="371">
        <v>2.8</v>
      </c>
      <c r="Y275" s="381">
        <v>1000</v>
      </c>
    </row>
    <row r="276" spans="1:25" x14ac:dyDescent="0.2">
      <c r="A276" s="378" t="s">
        <v>34</v>
      </c>
      <c r="B276" s="372">
        <v>0</v>
      </c>
      <c r="C276" s="373">
        <v>860</v>
      </c>
      <c r="D276" s="373">
        <v>840</v>
      </c>
      <c r="E276" s="373">
        <v>840</v>
      </c>
      <c r="F276" s="373">
        <v>850</v>
      </c>
      <c r="G276" s="373">
        <v>900</v>
      </c>
      <c r="H276" s="373">
        <v>1050</v>
      </c>
      <c r="I276" s="373">
        <v>1020</v>
      </c>
      <c r="J276" s="373">
        <v>120</v>
      </c>
      <c r="K276" s="373">
        <v>30</v>
      </c>
      <c r="L276" s="373">
        <v>0</v>
      </c>
      <c r="M276" s="373">
        <v>0</v>
      </c>
      <c r="N276" s="373">
        <v>0</v>
      </c>
      <c r="O276" s="373">
        <v>0</v>
      </c>
      <c r="P276" s="373">
        <v>0</v>
      </c>
      <c r="Q276" s="373">
        <v>0</v>
      </c>
      <c r="R276" s="373">
        <v>0</v>
      </c>
      <c r="S276" s="373">
        <v>0</v>
      </c>
      <c r="T276" s="373">
        <v>0</v>
      </c>
      <c r="U276" s="373">
        <v>0</v>
      </c>
      <c r="V276" s="373">
        <v>0</v>
      </c>
      <c r="W276" s="373">
        <v>0</v>
      </c>
      <c r="X276" s="373">
        <v>0</v>
      </c>
      <c r="Y276" s="382">
        <v>0</v>
      </c>
    </row>
    <row r="277" spans="1:25" ht="13.5" thickBot="1" x14ac:dyDescent="0.25">
      <c r="A277" s="379" t="s">
        <v>116</v>
      </c>
      <c r="B277" s="374">
        <f t="shared" ref="B277:K277" si="93">(C276+B276)*(C275-B275)/2</f>
        <v>21.5</v>
      </c>
      <c r="C277" s="375">
        <f t="shared" si="93"/>
        <v>42.5</v>
      </c>
      <c r="D277" s="375">
        <f t="shared" si="93"/>
        <v>756</v>
      </c>
      <c r="E277" s="375">
        <f t="shared" si="93"/>
        <v>295.75000000000006</v>
      </c>
      <c r="F277" s="375">
        <f t="shared" si="93"/>
        <v>349.99999999999994</v>
      </c>
      <c r="G277" s="375">
        <f t="shared" si="93"/>
        <v>389.99999999999989</v>
      </c>
      <c r="H277" s="375">
        <f t="shared" si="93"/>
        <v>103.50000000000009</v>
      </c>
      <c r="I277" s="375">
        <f t="shared" si="93"/>
        <v>131.1</v>
      </c>
      <c r="J277" s="375">
        <f>(K276+J276)*(K275-J275)/2</f>
        <v>9.0000000000000071</v>
      </c>
      <c r="K277" s="375">
        <f t="shared" si="93"/>
        <v>2.999999999999996</v>
      </c>
      <c r="L277" s="375">
        <f t="shared" ref="L277:V277" si="94">(M276+L276)*(M275-L275)/2</f>
        <v>0</v>
      </c>
      <c r="M277" s="375">
        <f t="shared" si="94"/>
        <v>0</v>
      </c>
      <c r="N277" s="375">
        <f t="shared" si="94"/>
        <v>0</v>
      </c>
      <c r="O277" s="375">
        <f t="shared" si="94"/>
        <v>0</v>
      </c>
      <c r="P277" s="375">
        <f t="shared" si="94"/>
        <v>0</v>
      </c>
      <c r="Q277" s="375">
        <f t="shared" si="94"/>
        <v>0</v>
      </c>
      <c r="R277" s="375">
        <f t="shared" si="94"/>
        <v>0</v>
      </c>
      <c r="S277" s="375">
        <f>(T276+S276)*(T275-S275)/2</f>
        <v>0</v>
      </c>
      <c r="T277" s="375">
        <f t="shared" si="94"/>
        <v>0</v>
      </c>
      <c r="U277" s="375">
        <f t="shared" si="94"/>
        <v>0</v>
      </c>
      <c r="V277" s="375">
        <f t="shared" si="94"/>
        <v>0</v>
      </c>
      <c r="W277" s="375">
        <f>(X276+W276)*(X275-W275)/2</f>
        <v>0</v>
      </c>
      <c r="X277" s="375">
        <f>(Y276+X276)*(Y275-X275)/2</f>
        <v>0</v>
      </c>
      <c r="Y277" s="369"/>
    </row>
    <row r="278" spans="1:25" ht="13.5" thickBot="1" x14ac:dyDescent="0.25"/>
    <row r="279" spans="1:25" ht="13.5" thickBot="1" x14ac:dyDescent="0.25">
      <c r="A279" s="361" t="s">
        <v>549</v>
      </c>
      <c r="B279" s="359">
        <f>ROW(A279)</f>
        <v>279</v>
      </c>
      <c r="C279" s="363" t="s">
        <v>115</v>
      </c>
      <c r="D279" s="353">
        <f>SUM(B282:Y282)</f>
        <v>2058.37</v>
      </c>
      <c r="E279" s="363" t="s">
        <v>114</v>
      </c>
      <c r="F279" s="354">
        <f>D279/g/J279</f>
        <v>203.12066731598335</v>
      </c>
      <c r="G279" s="363" t="s">
        <v>56</v>
      </c>
      <c r="H279" s="64">
        <v>1.6850000000000001</v>
      </c>
      <c r="I279" s="363" t="s">
        <v>271</v>
      </c>
      <c r="J279" s="355">
        <f>H279-L279</f>
        <v>1.0329999999999999</v>
      </c>
      <c r="K279" s="363" t="s">
        <v>272</v>
      </c>
      <c r="L279" s="64">
        <v>0.65200000000000002</v>
      </c>
      <c r="M279" s="363" t="s">
        <v>57</v>
      </c>
      <c r="N279" s="65">
        <v>250</v>
      </c>
      <c r="O279" s="363" t="s">
        <v>59</v>
      </c>
      <c r="P279" s="65">
        <v>240</v>
      </c>
      <c r="Q279" s="363" t="s">
        <v>60</v>
      </c>
      <c r="R279" s="65">
        <v>488</v>
      </c>
      <c r="S279" s="363" t="s">
        <v>61</v>
      </c>
      <c r="T279" s="65">
        <v>54</v>
      </c>
      <c r="U279" s="363" t="s">
        <v>54</v>
      </c>
      <c r="V279" s="66" t="s">
        <v>118</v>
      </c>
      <c r="W279" s="12"/>
      <c r="X279" s="12"/>
      <c r="Y279" s="12"/>
    </row>
    <row r="280" spans="1:25" x14ac:dyDescent="0.2">
      <c r="A280" s="362" t="s">
        <v>33</v>
      </c>
      <c r="B280" s="370">
        <v>0</v>
      </c>
      <c r="C280" s="371">
        <v>0.05</v>
      </c>
      <c r="D280" s="371">
        <v>0.5</v>
      </c>
      <c r="E280" s="371">
        <v>1</v>
      </c>
      <c r="F280" s="371">
        <v>1.5</v>
      </c>
      <c r="G280" s="371">
        <v>2</v>
      </c>
      <c r="H280" s="371">
        <v>2.5</v>
      </c>
      <c r="I280" s="371">
        <v>2.97</v>
      </c>
      <c r="J280" s="371">
        <v>3.2</v>
      </c>
      <c r="K280" s="371">
        <v>3.47</v>
      </c>
      <c r="L280" s="371">
        <v>3.59</v>
      </c>
      <c r="M280" s="371">
        <v>3.59</v>
      </c>
      <c r="N280" s="371">
        <v>3.59</v>
      </c>
      <c r="O280" s="371">
        <v>3.59</v>
      </c>
      <c r="P280" s="371">
        <v>3.59</v>
      </c>
      <c r="Q280" s="371">
        <v>3.59</v>
      </c>
      <c r="R280" s="371">
        <v>3.59</v>
      </c>
      <c r="S280" s="371">
        <v>3.59</v>
      </c>
      <c r="T280" s="371">
        <v>3.59</v>
      </c>
      <c r="U280" s="371">
        <v>3.59</v>
      </c>
      <c r="V280" s="371">
        <v>3.59</v>
      </c>
      <c r="W280" s="371">
        <v>3.59</v>
      </c>
      <c r="X280" s="371">
        <v>3.59</v>
      </c>
      <c r="Y280" s="381">
        <v>1000</v>
      </c>
    </row>
    <row r="281" spans="1:25" x14ac:dyDescent="0.2">
      <c r="A281" s="378" t="s">
        <v>34</v>
      </c>
      <c r="B281" s="372">
        <v>0</v>
      </c>
      <c r="C281" s="373">
        <v>893</v>
      </c>
      <c r="D281" s="373">
        <v>798</v>
      </c>
      <c r="E281" s="373">
        <v>739</v>
      </c>
      <c r="F281" s="373">
        <v>659</v>
      </c>
      <c r="G281" s="373">
        <v>586</v>
      </c>
      <c r="H281" s="373">
        <v>513</v>
      </c>
      <c r="I281" s="373">
        <v>417</v>
      </c>
      <c r="J281" s="373">
        <v>225</v>
      </c>
      <c r="K281" s="373">
        <v>67</v>
      </c>
      <c r="L281" s="373">
        <v>0</v>
      </c>
      <c r="M281" s="373">
        <v>0</v>
      </c>
      <c r="N281" s="373">
        <v>0</v>
      </c>
      <c r="O281" s="373">
        <v>0</v>
      </c>
      <c r="P281" s="373">
        <v>0</v>
      </c>
      <c r="Q281" s="373">
        <v>0</v>
      </c>
      <c r="R281" s="373">
        <v>0</v>
      </c>
      <c r="S281" s="373">
        <v>0</v>
      </c>
      <c r="T281" s="373">
        <v>0</v>
      </c>
      <c r="U281" s="373">
        <v>0</v>
      </c>
      <c r="V281" s="373">
        <v>0</v>
      </c>
      <c r="W281" s="373">
        <v>0</v>
      </c>
      <c r="X281" s="373">
        <v>0</v>
      </c>
      <c r="Y281" s="382">
        <v>0</v>
      </c>
    </row>
    <row r="282" spans="1:25" ht="13.5" thickBot="1" x14ac:dyDescent="0.25">
      <c r="A282" s="380" t="s">
        <v>116</v>
      </c>
      <c r="B282" s="374">
        <f t="shared" ref="B282:V282" si="95">(C281+B281)*(C280-B280)/2</f>
        <v>22.325000000000003</v>
      </c>
      <c r="C282" s="375">
        <f t="shared" si="95"/>
        <v>380.47500000000002</v>
      </c>
      <c r="D282" s="375">
        <f t="shared" si="95"/>
        <v>384.25</v>
      </c>
      <c r="E282" s="375">
        <f t="shared" si="95"/>
        <v>349.5</v>
      </c>
      <c r="F282" s="375">
        <f t="shared" si="95"/>
        <v>311.25</v>
      </c>
      <c r="G282" s="375">
        <f t="shared" si="95"/>
        <v>274.75</v>
      </c>
      <c r="H282" s="375">
        <f t="shared" si="95"/>
        <v>218.5500000000001</v>
      </c>
      <c r="I282" s="375">
        <f t="shared" si="95"/>
        <v>73.83</v>
      </c>
      <c r="J282" s="375">
        <f>(K281+J281)*(K280-J280)/2</f>
        <v>39.42</v>
      </c>
      <c r="K282" s="375">
        <f t="shared" si="95"/>
        <v>4.0199999999999889</v>
      </c>
      <c r="L282" s="375">
        <f t="shared" si="95"/>
        <v>0</v>
      </c>
      <c r="M282" s="375">
        <f t="shared" si="95"/>
        <v>0</v>
      </c>
      <c r="N282" s="375">
        <f t="shared" si="95"/>
        <v>0</v>
      </c>
      <c r="O282" s="375">
        <f t="shared" si="95"/>
        <v>0</v>
      </c>
      <c r="P282" s="375">
        <f t="shared" si="95"/>
        <v>0</v>
      </c>
      <c r="Q282" s="375">
        <f t="shared" si="95"/>
        <v>0</v>
      </c>
      <c r="R282" s="375">
        <f t="shared" si="95"/>
        <v>0</v>
      </c>
      <c r="S282" s="375">
        <f>(T281+S281)*(T280-S280)/2</f>
        <v>0</v>
      </c>
      <c r="T282" s="375">
        <f t="shared" si="95"/>
        <v>0</v>
      </c>
      <c r="U282" s="375">
        <f t="shared" si="95"/>
        <v>0</v>
      </c>
      <c r="V282" s="375">
        <f t="shared" si="95"/>
        <v>0</v>
      </c>
      <c r="W282" s="375">
        <f>(X281+W281)*(X280-W280)/2</f>
        <v>0</v>
      </c>
      <c r="X282" s="375">
        <f>(Y281+X281)*(Y280-X280)/2</f>
        <v>0</v>
      </c>
      <c r="Y282" s="369"/>
    </row>
    <row r="283" spans="1:25" ht="13.5" thickBot="1" x14ac:dyDescent="0.25">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row>
    <row r="284" spans="1:25" ht="13.5" thickBot="1" x14ac:dyDescent="0.25">
      <c r="A284" s="361" t="s">
        <v>552</v>
      </c>
      <c r="B284" s="359">
        <f>ROW(A284)</f>
        <v>284</v>
      </c>
      <c r="C284" s="363" t="s">
        <v>115</v>
      </c>
      <c r="D284" s="353">
        <f>SUM(B287:Y287)</f>
        <v>1998.2428999999995</v>
      </c>
      <c r="E284" s="363" t="s">
        <v>114</v>
      </c>
      <c r="F284" s="354">
        <f>D284/g/J284</f>
        <v>207.42819268753979</v>
      </c>
      <c r="G284" s="363" t="s">
        <v>56</v>
      </c>
      <c r="H284" s="64">
        <v>1.6319999999999999</v>
      </c>
      <c r="I284" s="363" t="s">
        <v>271</v>
      </c>
      <c r="J284" s="355">
        <f>H284-L284</f>
        <v>0.98199999999999987</v>
      </c>
      <c r="K284" s="363" t="s">
        <v>272</v>
      </c>
      <c r="L284" s="64">
        <v>0.65</v>
      </c>
      <c r="M284" s="363" t="s">
        <v>57</v>
      </c>
      <c r="N284" s="65">
        <v>250</v>
      </c>
      <c r="O284" s="363" t="s">
        <v>59</v>
      </c>
      <c r="P284" s="65">
        <v>240</v>
      </c>
      <c r="Q284" s="363" t="s">
        <v>60</v>
      </c>
      <c r="R284" s="65">
        <v>488</v>
      </c>
      <c r="S284" s="363" t="s">
        <v>61</v>
      </c>
      <c r="T284" s="65">
        <v>54</v>
      </c>
      <c r="U284" s="363" t="s">
        <v>54</v>
      </c>
      <c r="V284" s="66" t="s">
        <v>118</v>
      </c>
      <c r="W284" s="12"/>
      <c r="X284" s="12"/>
      <c r="Y284" s="12"/>
    </row>
    <row r="285" spans="1:25" x14ac:dyDescent="0.2">
      <c r="A285" s="362" t="s">
        <v>33</v>
      </c>
      <c r="B285" s="373">
        <v>0</v>
      </c>
      <c r="C285" s="373">
        <v>0.01</v>
      </c>
      <c r="D285" s="373">
        <v>0.02</v>
      </c>
      <c r="E285" s="373">
        <v>0.05</v>
      </c>
      <c r="F285" s="373">
        <v>0.1</v>
      </c>
      <c r="G285" s="373">
        <v>0.2</v>
      </c>
      <c r="H285" s="373">
        <v>0.4</v>
      </c>
      <c r="I285" s="373">
        <v>0.8</v>
      </c>
      <c r="J285" s="373">
        <v>0.9</v>
      </c>
      <c r="K285" s="373">
        <v>1</v>
      </c>
      <c r="L285" s="373">
        <v>1.1000000000000001</v>
      </c>
      <c r="M285" s="373">
        <v>1.2</v>
      </c>
      <c r="N285" s="373">
        <v>1.3</v>
      </c>
      <c r="O285" s="373">
        <v>1.4</v>
      </c>
      <c r="P285" s="373">
        <v>1.55</v>
      </c>
      <c r="Q285" s="373">
        <v>1.6</v>
      </c>
      <c r="R285" s="373">
        <v>1.62</v>
      </c>
      <c r="S285" s="373">
        <v>1.64</v>
      </c>
      <c r="T285" s="373">
        <v>1.66</v>
      </c>
      <c r="U285" s="373">
        <v>1.67</v>
      </c>
      <c r="V285" s="373">
        <v>1.68</v>
      </c>
      <c r="W285" s="533">
        <v>1.69</v>
      </c>
      <c r="X285" s="533">
        <v>1.7</v>
      </c>
      <c r="Y285" s="381">
        <v>1000</v>
      </c>
    </row>
    <row r="286" spans="1:25" x14ac:dyDescent="0.2">
      <c r="A286" s="378" t="s">
        <v>34</v>
      </c>
      <c r="B286" s="373">
        <v>0</v>
      </c>
      <c r="C286" s="373">
        <v>492.25</v>
      </c>
      <c r="D286" s="373">
        <v>1369.46</v>
      </c>
      <c r="E286" s="373">
        <v>1236.01</v>
      </c>
      <c r="F286" s="373">
        <v>1279.47</v>
      </c>
      <c r="G286" s="373">
        <v>1311.39</v>
      </c>
      <c r="H286" s="373">
        <v>1331.39</v>
      </c>
      <c r="I286" s="373">
        <v>1304.08</v>
      </c>
      <c r="J286" s="373">
        <v>1280.6199999999999</v>
      </c>
      <c r="K286" s="373">
        <v>1249.8599999999999</v>
      </c>
      <c r="L286" s="373">
        <v>1217.94</v>
      </c>
      <c r="M286" s="373">
        <v>1199.29</v>
      </c>
      <c r="N286" s="373">
        <v>1158.77</v>
      </c>
      <c r="O286" s="373">
        <v>1112.56</v>
      </c>
      <c r="P286" s="373">
        <v>941.81</v>
      </c>
      <c r="Q286" s="373">
        <v>726.07</v>
      </c>
      <c r="R286" s="373">
        <v>559.16999999999996</v>
      </c>
      <c r="S286" s="373">
        <v>399.95</v>
      </c>
      <c r="T286" s="373">
        <v>317.66000000000003</v>
      </c>
      <c r="U286" s="373">
        <v>247.28</v>
      </c>
      <c r="V286" s="373">
        <v>198.05</v>
      </c>
      <c r="W286" s="373">
        <v>67.3</v>
      </c>
      <c r="X286" s="373">
        <v>0</v>
      </c>
      <c r="Y286" s="382">
        <v>0</v>
      </c>
    </row>
    <row r="287" spans="1:25" ht="13.5" thickBot="1" x14ac:dyDescent="0.25">
      <c r="A287" s="379" t="s">
        <v>116</v>
      </c>
      <c r="B287" s="374">
        <f t="shared" ref="B287:V287" si="96">(C286+B286)*(C285-B285)/2</f>
        <v>2.4612500000000002</v>
      </c>
      <c r="C287" s="375">
        <f t="shared" si="96"/>
        <v>9.3085500000000003</v>
      </c>
      <c r="D287" s="375">
        <f t="shared" si="96"/>
        <v>39.08205000000001</v>
      </c>
      <c r="E287" s="375">
        <f t="shared" si="96"/>
        <v>62.887</v>
      </c>
      <c r="F287" s="375">
        <f t="shared" si="96"/>
        <v>129.54300000000001</v>
      </c>
      <c r="G287" s="375">
        <f t="shared" si="96"/>
        <v>264.27800000000002</v>
      </c>
      <c r="H287" s="375">
        <f t="shared" si="96"/>
        <v>527.09400000000005</v>
      </c>
      <c r="I287" s="375">
        <f t="shared" si="96"/>
        <v>129.23499999999996</v>
      </c>
      <c r="J287" s="375">
        <f>(K286+J286)*(K285-J285)/2</f>
        <v>126.52399999999994</v>
      </c>
      <c r="K287" s="375">
        <f t="shared" si="96"/>
        <v>123.39000000000011</v>
      </c>
      <c r="L287" s="375">
        <f t="shared" si="96"/>
        <v>120.86149999999984</v>
      </c>
      <c r="M287" s="375">
        <f t="shared" si="96"/>
        <v>117.90300000000011</v>
      </c>
      <c r="N287" s="375">
        <f t="shared" si="96"/>
        <v>113.56649999999985</v>
      </c>
      <c r="O287" s="375">
        <f t="shared" si="96"/>
        <v>154.07775000000012</v>
      </c>
      <c r="P287" s="375">
        <f t="shared" si="96"/>
        <v>41.697000000000038</v>
      </c>
      <c r="Q287" s="375">
        <f t="shared" si="96"/>
        <v>12.852400000000012</v>
      </c>
      <c r="R287" s="375">
        <f t="shared" si="96"/>
        <v>9.5911999999999011</v>
      </c>
      <c r="S287" s="375">
        <f>(T286+S286)*(T285-S285)/2</f>
        <v>7.1761000000000061</v>
      </c>
      <c r="T287" s="375">
        <f t="shared" si="96"/>
        <v>2.8247000000000027</v>
      </c>
      <c r="U287" s="375">
        <f t="shared" si="96"/>
        <v>2.226650000000002</v>
      </c>
      <c r="V287" s="375">
        <f t="shared" si="96"/>
        <v>1.3267500000000012</v>
      </c>
      <c r="W287" s="375">
        <f>(X286+W286)*(X285-W285)/2</f>
        <v>0.3365000000000003</v>
      </c>
      <c r="X287" s="375">
        <f>(Y286+X286)*(Y285-X285)/2</f>
        <v>0</v>
      </c>
      <c r="Y287" s="369"/>
    </row>
    <row r="288" spans="1:25" ht="13.5" thickBot="1" x14ac:dyDescent="0.25">
      <c r="A288" s="12"/>
      <c r="L288" s="12"/>
      <c r="M288" s="12"/>
      <c r="N288" s="12"/>
      <c r="O288" s="12"/>
      <c r="P288" s="12"/>
      <c r="Q288" s="12"/>
      <c r="R288" s="12"/>
      <c r="S288" s="12"/>
      <c r="T288" s="12"/>
      <c r="U288" s="12"/>
      <c r="V288" s="12"/>
      <c r="W288" s="12"/>
      <c r="X288" s="12"/>
      <c r="Y288" s="12"/>
    </row>
    <row r="289" spans="1:25" ht="13.5" thickBot="1" x14ac:dyDescent="0.25">
      <c r="A289" s="361" t="s">
        <v>550</v>
      </c>
      <c r="B289" s="359">
        <f>ROW(A289)</f>
        <v>289</v>
      </c>
      <c r="C289" s="363" t="s">
        <v>115</v>
      </c>
      <c r="D289" s="353">
        <f>SUM(B292:Y292)</f>
        <v>3739.0284999999994</v>
      </c>
      <c r="E289" s="363" t="s">
        <v>114</v>
      </c>
      <c r="F289" s="354">
        <f>D289/g/J289</f>
        <v>203.4941790441234</v>
      </c>
      <c r="G289" s="363" t="s">
        <v>56</v>
      </c>
      <c r="H289" s="64">
        <v>3.5110000000000001</v>
      </c>
      <c r="I289" s="363" t="s">
        <v>271</v>
      </c>
      <c r="J289" s="355">
        <f>H289-L289</f>
        <v>1.8730000000000002</v>
      </c>
      <c r="K289" s="363" t="s">
        <v>272</v>
      </c>
      <c r="L289" s="64">
        <v>1.6379999999999999</v>
      </c>
      <c r="M289" s="363" t="s">
        <v>57</v>
      </c>
      <c r="N289" s="65">
        <v>243</v>
      </c>
      <c r="O289" s="363" t="s">
        <v>59</v>
      </c>
      <c r="P289" s="65">
        <v>249</v>
      </c>
      <c r="Q289" s="363" t="s">
        <v>60</v>
      </c>
      <c r="R289" s="65">
        <v>498</v>
      </c>
      <c r="S289" s="363" t="s">
        <v>61</v>
      </c>
      <c r="T289" s="65">
        <v>75</v>
      </c>
      <c r="U289" s="363" t="s">
        <v>54</v>
      </c>
      <c r="V289" s="66" t="s">
        <v>118</v>
      </c>
      <c r="W289" s="12"/>
      <c r="X289" s="12"/>
      <c r="Y289" s="12"/>
    </row>
    <row r="290" spans="1:25" x14ac:dyDescent="0.2">
      <c r="A290" s="362" t="s">
        <v>33</v>
      </c>
      <c r="B290" s="370">
        <v>0</v>
      </c>
      <c r="C290" s="371">
        <v>0.01</v>
      </c>
      <c r="D290" s="371">
        <v>0.1</v>
      </c>
      <c r="E290" s="371">
        <v>0.12</v>
      </c>
      <c r="F290" s="371">
        <v>0.26</v>
      </c>
      <c r="G290" s="371">
        <v>0.71</v>
      </c>
      <c r="H290" s="371">
        <v>1.28</v>
      </c>
      <c r="I290" s="371">
        <v>2.0499999999999998</v>
      </c>
      <c r="J290" s="371">
        <v>2.41</v>
      </c>
      <c r="K290" s="371">
        <v>2.83</v>
      </c>
      <c r="L290" s="371">
        <v>3.25</v>
      </c>
      <c r="M290" s="371">
        <v>3.65</v>
      </c>
      <c r="N290" s="371">
        <v>3.8</v>
      </c>
      <c r="O290" s="371">
        <v>4</v>
      </c>
      <c r="P290" s="371">
        <v>4.0999999999999996</v>
      </c>
      <c r="Q290" s="371">
        <v>4.1900000000000004</v>
      </c>
      <c r="R290" s="371">
        <v>4.3099999999999996</v>
      </c>
      <c r="S290" s="371">
        <v>4.41</v>
      </c>
      <c r="T290" s="371">
        <v>4.5199999999999996</v>
      </c>
      <c r="U290" s="371">
        <v>4.5999999999999996</v>
      </c>
      <c r="V290" s="371">
        <v>4.6500000000000004</v>
      </c>
      <c r="W290" s="371">
        <v>4.67</v>
      </c>
      <c r="X290" s="371">
        <v>4.68</v>
      </c>
      <c r="Y290" s="381">
        <v>1000</v>
      </c>
    </row>
    <row r="291" spans="1:25" x14ac:dyDescent="0.2">
      <c r="A291" s="378" t="s">
        <v>34</v>
      </c>
      <c r="B291" s="372">
        <v>27</v>
      </c>
      <c r="C291" s="373">
        <v>402.4</v>
      </c>
      <c r="D291" s="373">
        <v>1286</v>
      </c>
      <c r="E291" s="373">
        <v>1257</v>
      </c>
      <c r="F291" s="373">
        <v>1042</v>
      </c>
      <c r="G291" s="373">
        <v>1027</v>
      </c>
      <c r="H291" s="373">
        <v>998.4</v>
      </c>
      <c r="I291" s="373">
        <v>901.4</v>
      </c>
      <c r="J291" s="373">
        <v>849.6</v>
      </c>
      <c r="K291" s="373">
        <v>763.5</v>
      </c>
      <c r="L291" s="373">
        <v>707.1</v>
      </c>
      <c r="M291" s="373">
        <v>655.1</v>
      </c>
      <c r="N291" s="373">
        <v>651.70000000000005</v>
      </c>
      <c r="O291" s="373">
        <v>624.1</v>
      </c>
      <c r="P291" s="373">
        <v>601.29999999999995</v>
      </c>
      <c r="Q291" s="373">
        <v>536.20000000000005</v>
      </c>
      <c r="R291" s="373">
        <v>415.7</v>
      </c>
      <c r="S291" s="373">
        <v>270.2</v>
      </c>
      <c r="T291" s="373">
        <v>140.19999999999999</v>
      </c>
      <c r="U291" s="373">
        <v>76.900000000000006</v>
      </c>
      <c r="V291" s="373">
        <v>54.9</v>
      </c>
      <c r="W291" s="373">
        <v>40.200000000000003</v>
      </c>
      <c r="X291" s="373">
        <v>0</v>
      </c>
      <c r="Y291" s="382">
        <v>0</v>
      </c>
    </row>
    <row r="292" spans="1:25" ht="13.5" thickBot="1" x14ac:dyDescent="0.25">
      <c r="A292" s="379" t="s">
        <v>116</v>
      </c>
      <c r="B292" s="374">
        <f t="shared" ref="B292:V292" si="97">(C291+B291)*(C290-B290)/2</f>
        <v>2.1469999999999998</v>
      </c>
      <c r="C292" s="375">
        <f t="shared" si="97"/>
        <v>75.978000000000009</v>
      </c>
      <c r="D292" s="375">
        <f t="shared" si="97"/>
        <v>25.429999999999989</v>
      </c>
      <c r="E292" s="375">
        <f t="shared" si="97"/>
        <v>160.93</v>
      </c>
      <c r="F292" s="375">
        <f t="shared" si="97"/>
        <v>465.52499999999998</v>
      </c>
      <c r="G292" s="375">
        <f t="shared" si="97"/>
        <v>577.23900000000003</v>
      </c>
      <c r="H292" s="375">
        <f t="shared" si="97"/>
        <v>731.42299999999977</v>
      </c>
      <c r="I292" s="375">
        <f t="shared" si="97"/>
        <v>315.18000000000029</v>
      </c>
      <c r="J292" s="375">
        <f>(K291+J291)*(K290-J290)/2</f>
        <v>338.75099999999992</v>
      </c>
      <c r="K292" s="375">
        <f t="shared" si="97"/>
        <v>308.82599999999991</v>
      </c>
      <c r="L292" s="375">
        <f t="shared" si="97"/>
        <v>272.43999999999994</v>
      </c>
      <c r="M292" s="375">
        <f t="shared" si="97"/>
        <v>98.009999999999962</v>
      </c>
      <c r="N292" s="375">
        <f t="shared" si="97"/>
        <v>127.58000000000013</v>
      </c>
      <c r="O292" s="375">
        <f t="shared" si="97"/>
        <v>61.26999999999979</v>
      </c>
      <c r="P292" s="375">
        <f t="shared" si="97"/>
        <v>51.187500000000426</v>
      </c>
      <c r="Q292" s="375">
        <f t="shared" si="97"/>
        <v>57.113999999999635</v>
      </c>
      <c r="R292" s="375">
        <f t="shared" si="97"/>
        <v>34.295000000000179</v>
      </c>
      <c r="S292" s="375">
        <f>(T291+S291)*(T290-S290)/2</f>
        <v>22.571999999999882</v>
      </c>
      <c r="T292" s="375">
        <f t="shared" si="97"/>
        <v>8.6840000000000082</v>
      </c>
      <c r="U292" s="375">
        <f t="shared" si="97"/>
        <v>3.295000000000047</v>
      </c>
      <c r="V292" s="375">
        <f t="shared" si="97"/>
        <v>0.95099999999997964</v>
      </c>
      <c r="W292" s="375">
        <f>(X291+W291)*(X290-W290)/2</f>
        <v>0.20099999999999574</v>
      </c>
      <c r="X292" s="375">
        <f>(Y291+X291)*(Y290-X290)/2</f>
        <v>0</v>
      </c>
      <c r="Y292" s="369"/>
    </row>
    <row r="293" spans="1:25" ht="13.5" thickBot="1" x14ac:dyDescent="0.25">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row>
    <row r="294" spans="1:25" ht="13.5" thickBot="1" x14ac:dyDescent="0.25">
      <c r="A294" s="361" t="s">
        <v>556</v>
      </c>
      <c r="B294" s="359">
        <f>ROW(A294)</f>
        <v>294</v>
      </c>
      <c r="C294" s="363" t="s">
        <v>115</v>
      </c>
      <c r="D294" s="353">
        <f>SUM(B297:Y297)</f>
        <v>14273.976008499998</v>
      </c>
      <c r="E294" s="363" t="s">
        <v>114</v>
      </c>
      <c r="F294" s="354">
        <f>D294/g/J294</f>
        <v>169.50645688990159</v>
      </c>
      <c r="G294" s="363" t="s">
        <v>56</v>
      </c>
      <c r="H294" s="64">
        <v>13.247999999999999</v>
      </c>
      <c r="I294" s="363" t="s">
        <v>271</v>
      </c>
      <c r="J294" s="355">
        <f>H294-L294</f>
        <v>8.5839999999999996</v>
      </c>
      <c r="K294" s="363" t="s">
        <v>272</v>
      </c>
      <c r="L294" s="64">
        <v>4.6639999999999997</v>
      </c>
      <c r="M294" s="363" t="s">
        <v>57</v>
      </c>
      <c r="N294" s="65">
        <f>R294/2</f>
        <v>505</v>
      </c>
      <c r="O294" s="363" t="s">
        <v>59</v>
      </c>
      <c r="P294" s="65">
        <v>505</v>
      </c>
      <c r="Q294" s="363" t="s">
        <v>60</v>
      </c>
      <c r="R294" s="65">
        <v>1010</v>
      </c>
      <c r="S294" s="363" t="s">
        <v>61</v>
      </c>
      <c r="T294" s="65">
        <v>98</v>
      </c>
      <c r="U294" s="363" t="s">
        <v>54</v>
      </c>
      <c r="V294" s="66" t="s">
        <v>118</v>
      </c>
      <c r="W294" s="12"/>
      <c r="X294" s="12"/>
      <c r="Y294" s="12"/>
    </row>
    <row r="295" spans="1:25" x14ac:dyDescent="0.2">
      <c r="A295" s="362" t="s">
        <v>33</v>
      </c>
      <c r="B295" s="370">
        <v>0</v>
      </c>
      <c r="C295" s="371">
        <v>0.04</v>
      </c>
      <c r="D295" s="371">
        <v>0.08</v>
      </c>
      <c r="E295" s="371">
        <v>0.20100000000000001</v>
      </c>
      <c r="F295" s="371">
        <v>0.44700000000000001</v>
      </c>
      <c r="G295" s="371">
        <v>0.67800000000000005</v>
      </c>
      <c r="H295" s="371">
        <v>0.75800000000000001</v>
      </c>
      <c r="I295" s="371">
        <v>0.85299999999999998</v>
      </c>
      <c r="J295" s="371">
        <v>2.4249999999999998</v>
      </c>
      <c r="K295" s="371">
        <v>2.52</v>
      </c>
      <c r="L295" s="371">
        <v>2.7610000000000001</v>
      </c>
      <c r="M295" s="371">
        <v>3.4340000000000002</v>
      </c>
      <c r="N295" s="371">
        <v>3.7149999999999999</v>
      </c>
      <c r="O295" s="371">
        <v>4.077</v>
      </c>
      <c r="P295" s="371">
        <v>4.96</v>
      </c>
      <c r="Q295" s="371">
        <v>5.492</v>
      </c>
      <c r="R295" s="371">
        <v>6.1050000000000004</v>
      </c>
      <c r="S295" s="371">
        <v>6.4459999999999997</v>
      </c>
      <c r="T295" s="371">
        <v>6.6470000000000002</v>
      </c>
      <c r="U295" s="371">
        <v>7.0739999999999998</v>
      </c>
      <c r="V295" s="371">
        <v>7.2389999999999999</v>
      </c>
      <c r="W295" s="533">
        <v>7.2539999999999996</v>
      </c>
      <c r="X295" s="371">
        <v>8</v>
      </c>
      <c r="Y295" s="381">
        <v>1000</v>
      </c>
    </row>
    <row r="296" spans="1:25" x14ac:dyDescent="0.2">
      <c r="A296" s="378" t="s">
        <v>34</v>
      </c>
      <c r="B296" s="372">
        <v>0</v>
      </c>
      <c r="C296" s="373">
        <v>1382.46</v>
      </c>
      <c r="D296" s="373">
        <v>1699.1469999999999</v>
      </c>
      <c r="E296" s="373">
        <v>1781.364</v>
      </c>
      <c r="F296" s="373">
        <v>1793.5440000000001</v>
      </c>
      <c r="G296" s="373">
        <v>1820.95</v>
      </c>
      <c r="H296" s="373">
        <v>1927.527</v>
      </c>
      <c r="I296" s="373">
        <v>1842.2660000000001</v>
      </c>
      <c r="J296" s="373">
        <v>2088.9160000000002</v>
      </c>
      <c r="K296" s="373">
        <v>2180.268</v>
      </c>
      <c r="L296" s="373">
        <v>2198.538</v>
      </c>
      <c r="M296" s="373">
        <v>2213.7640000000001</v>
      </c>
      <c r="N296" s="373">
        <v>2268.5749999999998</v>
      </c>
      <c r="O296" s="373">
        <v>2299.0259999999998</v>
      </c>
      <c r="P296" s="373">
        <v>2238.1239999999998</v>
      </c>
      <c r="Q296" s="373">
        <v>2161.998</v>
      </c>
      <c r="R296" s="373">
        <v>2024.97</v>
      </c>
      <c r="S296" s="373">
        <v>1878.806</v>
      </c>
      <c r="T296" s="373">
        <v>1668.6969999999999</v>
      </c>
      <c r="U296" s="373">
        <v>602.923</v>
      </c>
      <c r="V296" s="373">
        <v>140.07300000000001</v>
      </c>
      <c r="W296" s="373">
        <v>0</v>
      </c>
      <c r="X296" s="373">
        <v>0</v>
      </c>
      <c r="Y296" s="382">
        <v>0</v>
      </c>
    </row>
    <row r="297" spans="1:25" ht="13.5" thickBot="1" x14ac:dyDescent="0.25">
      <c r="A297" s="379" t="s">
        <v>116</v>
      </c>
      <c r="B297" s="374">
        <f t="shared" ref="B297:X297" si="98">(C296+B296)*(C295-B295)/2</f>
        <v>27.6492</v>
      </c>
      <c r="C297" s="375">
        <f t="shared" si="98"/>
        <v>61.63214</v>
      </c>
      <c r="D297" s="375">
        <f t="shared" si="98"/>
        <v>210.57091550000001</v>
      </c>
      <c r="E297" s="375">
        <f t="shared" si="98"/>
        <v>439.71368400000006</v>
      </c>
      <c r="F297" s="375">
        <f t="shared" si="98"/>
        <v>417.47405700000007</v>
      </c>
      <c r="G297" s="375">
        <f t="shared" si="98"/>
        <v>149.93907999999993</v>
      </c>
      <c r="H297" s="375">
        <f t="shared" si="98"/>
        <v>179.06516749999994</v>
      </c>
      <c r="I297" s="375">
        <f t="shared" si="98"/>
        <v>3089.909052</v>
      </c>
      <c r="J297" s="375">
        <f t="shared" si="98"/>
        <v>202.78624000000042</v>
      </c>
      <c r="K297" s="375">
        <f t="shared" si="98"/>
        <v>527.64612300000033</v>
      </c>
      <c r="L297" s="375">
        <f t="shared" si="98"/>
        <v>1484.7396229999999</v>
      </c>
      <c r="M297" s="375">
        <f t="shared" si="98"/>
        <v>629.76862949999929</v>
      </c>
      <c r="N297" s="375">
        <f t="shared" si="98"/>
        <v>826.7357810000002</v>
      </c>
      <c r="O297" s="375">
        <f t="shared" si="98"/>
        <v>2003.1517249999999</v>
      </c>
      <c r="P297" s="375">
        <f t="shared" si="98"/>
        <v>1170.432452</v>
      </c>
      <c r="Q297" s="375">
        <f t="shared" si="98"/>
        <v>1283.3056920000008</v>
      </c>
      <c r="R297" s="375">
        <f t="shared" si="98"/>
        <v>665.5938079999986</v>
      </c>
      <c r="S297" s="375">
        <f t="shared" si="98"/>
        <v>356.52405150000089</v>
      </c>
      <c r="T297" s="375">
        <f t="shared" si="98"/>
        <v>484.99086999999952</v>
      </c>
      <c r="U297" s="375">
        <f t="shared" si="98"/>
        <v>61.297170000000008</v>
      </c>
      <c r="V297" s="375">
        <f t="shared" si="98"/>
        <v>1.0505474999999778</v>
      </c>
      <c r="W297" s="375">
        <f t="shared" si="98"/>
        <v>0</v>
      </c>
      <c r="X297" s="375">
        <f t="shared" si="98"/>
        <v>0</v>
      </c>
      <c r="Y297" s="369"/>
    </row>
    <row r="298" spans="1:25" ht="13.5" thickBot="1" x14ac:dyDescent="0.25">
      <c r="A298" s="12"/>
      <c r="L298" s="12"/>
      <c r="M298" s="12"/>
      <c r="N298" s="12"/>
      <c r="O298" s="12"/>
      <c r="P298" s="12"/>
      <c r="Q298" s="12"/>
      <c r="R298" s="12"/>
      <c r="S298" s="12"/>
      <c r="T298" s="12"/>
      <c r="U298" s="12"/>
      <c r="V298" s="12"/>
      <c r="W298" s="12"/>
      <c r="X298" s="12"/>
      <c r="Y298" s="12"/>
    </row>
    <row r="299" spans="1:25" ht="13.5" thickBot="1" x14ac:dyDescent="0.25">
      <c r="A299" s="361" t="s">
        <v>318</v>
      </c>
      <c r="B299" s="359">
        <f>ROW(A299)</f>
        <v>299</v>
      </c>
      <c r="C299" s="363" t="s">
        <v>115</v>
      </c>
      <c r="D299" s="353">
        <f>SUM(B302:Y302)</f>
        <v>7412.4371409999985</v>
      </c>
      <c r="E299" s="363" t="s">
        <v>114</v>
      </c>
      <c r="F299" s="354">
        <f>D299/g/J299</f>
        <v>223.28608637999045</v>
      </c>
      <c r="G299" s="363" t="s">
        <v>56</v>
      </c>
      <c r="H299" s="64">
        <v>6.25</v>
      </c>
      <c r="I299" s="363" t="s">
        <v>271</v>
      </c>
      <c r="J299" s="355">
        <f>H299-L299</f>
        <v>3.3839999999999999</v>
      </c>
      <c r="K299" s="363" t="s">
        <v>272</v>
      </c>
      <c r="L299" s="64">
        <v>2.8660000000000001</v>
      </c>
      <c r="M299" s="363" t="s">
        <v>57</v>
      </c>
      <c r="N299" s="65">
        <v>290</v>
      </c>
      <c r="O299" s="363" t="s">
        <v>59</v>
      </c>
      <c r="P299" s="65">
        <v>290</v>
      </c>
      <c r="Q299" s="363" t="s">
        <v>60</v>
      </c>
      <c r="R299" s="65">
        <v>579</v>
      </c>
      <c r="S299" s="363" t="s">
        <v>61</v>
      </c>
      <c r="T299" s="65">
        <v>98</v>
      </c>
      <c r="U299" s="363" t="s">
        <v>54</v>
      </c>
      <c r="V299" s="66" t="s">
        <v>118</v>
      </c>
      <c r="W299" s="12"/>
      <c r="X299" s="12"/>
      <c r="Y299" s="12"/>
    </row>
    <row r="300" spans="1:25" x14ac:dyDescent="0.2">
      <c r="A300" s="362" t="s">
        <v>33</v>
      </c>
      <c r="B300" s="370">
        <v>0</v>
      </c>
      <c r="C300" s="371">
        <v>1.7000000000000001E-2</v>
      </c>
      <c r="D300" s="371">
        <v>5.1999999999999998E-2</v>
      </c>
      <c r="E300" s="371">
        <v>8.7999999999999995E-2</v>
      </c>
      <c r="F300" s="371">
        <v>0.108</v>
      </c>
      <c r="G300" s="371">
        <v>0.127</v>
      </c>
      <c r="H300" s="371">
        <v>0.17399999999999999</v>
      </c>
      <c r="I300" s="371">
        <v>0.25700000000000001</v>
      </c>
      <c r="J300" s="371">
        <v>0.40300000000000002</v>
      </c>
      <c r="K300" s="371">
        <v>0.76200000000000001</v>
      </c>
      <c r="L300" s="371">
        <v>0.97699999999999998</v>
      </c>
      <c r="M300" s="371">
        <v>1.341</v>
      </c>
      <c r="N300" s="371">
        <v>1.5009999999999999</v>
      </c>
      <c r="O300" s="371">
        <v>1.661</v>
      </c>
      <c r="P300" s="371">
        <v>1.96</v>
      </c>
      <c r="Q300" s="371">
        <v>2.4039999999999999</v>
      </c>
      <c r="R300" s="371">
        <v>2.641</v>
      </c>
      <c r="S300" s="371">
        <v>2.7160000000000002</v>
      </c>
      <c r="T300" s="371">
        <v>2.8210000000000002</v>
      </c>
      <c r="U300" s="371">
        <v>2.8919999999999999</v>
      </c>
      <c r="V300" s="371">
        <v>2.92</v>
      </c>
      <c r="W300" s="371">
        <v>2.97</v>
      </c>
      <c r="X300" s="371">
        <v>3</v>
      </c>
      <c r="Y300" s="381">
        <v>1000</v>
      </c>
    </row>
    <row r="301" spans="1:25" x14ac:dyDescent="0.2">
      <c r="A301" s="378" t="s">
        <v>34</v>
      </c>
      <c r="B301" s="372">
        <v>0</v>
      </c>
      <c r="C301" s="373">
        <v>329.84699999999998</v>
      </c>
      <c r="D301" s="373">
        <v>1003.68</v>
      </c>
      <c r="E301" s="373">
        <v>2346.62</v>
      </c>
      <c r="F301" s="373">
        <v>2549.2399999999998</v>
      </c>
      <c r="G301" s="373">
        <v>2605.79</v>
      </c>
      <c r="H301" s="373">
        <v>2520.9699999999998</v>
      </c>
      <c r="I301" s="373">
        <v>2516.2600000000002</v>
      </c>
      <c r="J301" s="373">
        <v>2596.37</v>
      </c>
      <c r="K301" s="373">
        <v>2808.41</v>
      </c>
      <c r="L301" s="373">
        <v>2954.49</v>
      </c>
      <c r="M301" s="373">
        <v>2959.2</v>
      </c>
      <c r="N301" s="373">
        <v>2907.36</v>
      </c>
      <c r="O301" s="373">
        <v>2869.67</v>
      </c>
      <c r="P301" s="373">
        <v>2695.32</v>
      </c>
      <c r="Q301" s="373">
        <v>2351.34</v>
      </c>
      <c r="R301" s="373">
        <v>2228.8200000000002</v>
      </c>
      <c r="S301" s="373">
        <v>2007.35</v>
      </c>
      <c r="T301" s="373">
        <v>1427.77</v>
      </c>
      <c r="U301" s="373">
        <v>504.19400000000002</v>
      </c>
      <c r="V301" s="373">
        <v>334.55900000000003</v>
      </c>
      <c r="W301" s="373">
        <v>122.515</v>
      </c>
      <c r="X301" s="373">
        <v>0</v>
      </c>
      <c r="Y301" s="382">
        <v>0</v>
      </c>
    </row>
    <row r="302" spans="1:25" ht="13.5" thickBot="1" x14ac:dyDescent="0.25">
      <c r="A302" s="379" t="s">
        <v>116</v>
      </c>
      <c r="B302" s="374">
        <f t="shared" ref="B302:X302" si="99">(C301+B301)*(C300-B300)/2</f>
        <v>2.8036995</v>
      </c>
      <c r="C302" s="375">
        <f t="shared" si="99"/>
        <v>23.336722499999997</v>
      </c>
      <c r="D302" s="375">
        <f t="shared" si="99"/>
        <v>60.305399999999992</v>
      </c>
      <c r="E302" s="375">
        <f t="shared" si="99"/>
        <v>48.958600000000004</v>
      </c>
      <c r="F302" s="375">
        <f t="shared" si="99"/>
        <v>48.972785000000002</v>
      </c>
      <c r="G302" s="375">
        <f t="shared" si="99"/>
        <v>120.47885999999997</v>
      </c>
      <c r="H302" s="375">
        <f t="shared" si="99"/>
        <v>209.04504500000002</v>
      </c>
      <c r="I302" s="375">
        <f t="shared" si="99"/>
        <v>373.22199000000006</v>
      </c>
      <c r="J302" s="375">
        <f t="shared" si="99"/>
        <v>970.15800999999988</v>
      </c>
      <c r="K302" s="375">
        <f t="shared" si="99"/>
        <v>619.51174999999989</v>
      </c>
      <c r="L302" s="375">
        <f t="shared" si="99"/>
        <v>1076.2915799999998</v>
      </c>
      <c r="M302" s="375">
        <f t="shared" si="99"/>
        <v>469.3247999999997</v>
      </c>
      <c r="N302" s="375">
        <f t="shared" si="99"/>
        <v>462.16240000000045</v>
      </c>
      <c r="O302" s="375">
        <f t="shared" si="99"/>
        <v>831.96600499999977</v>
      </c>
      <c r="P302" s="375">
        <f t="shared" si="99"/>
        <v>1120.3585199999998</v>
      </c>
      <c r="Q302" s="375">
        <f t="shared" si="99"/>
        <v>542.74896000000024</v>
      </c>
      <c r="R302" s="375">
        <f t="shared" si="99"/>
        <v>158.85637500000038</v>
      </c>
      <c r="S302" s="375">
        <f t="shared" si="99"/>
        <v>180.34379999999996</v>
      </c>
      <c r="T302" s="375">
        <f t="shared" si="99"/>
        <v>68.584721999999744</v>
      </c>
      <c r="U302" s="375">
        <f t="shared" si="99"/>
        <v>11.742542000000011</v>
      </c>
      <c r="V302" s="375">
        <f t="shared" si="99"/>
        <v>11.42685000000006</v>
      </c>
      <c r="W302" s="375">
        <f t="shared" si="99"/>
        <v>1.8377249999999881</v>
      </c>
      <c r="X302" s="375">
        <f t="shared" si="99"/>
        <v>0</v>
      </c>
      <c r="Y302" s="369"/>
    </row>
    <row r="303" spans="1:25" ht="13.5" thickBot="1" x14ac:dyDescent="0.25">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row>
    <row r="304" spans="1:25" ht="13.5" thickBot="1" x14ac:dyDescent="0.25">
      <c r="A304" s="361" t="s">
        <v>551</v>
      </c>
      <c r="B304" s="359">
        <f>ROW(A304)</f>
        <v>304</v>
      </c>
      <c r="C304" s="363" t="s">
        <v>115</v>
      </c>
      <c r="D304" s="353">
        <f>SUM(B307:Y307)</f>
        <v>17734.977350500001</v>
      </c>
      <c r="E304" s="363" t="s">
        <v>114</v>
      </c>
      <c r="F304" s="354">
        <f>D304/g/J304</f>
        <v>192.73420306179892</v>
      </c>
      <c r="G304" s="363" t="s">
        <v>56</v>
      </c>
      <c r="H304" s="64">
        <v>14.747999999999999</v>
      </c>
      <c r="I304" s="363" t="s">
        <v>271</v>
      </c>
      <c r="J304" s="355">
        <f>H304-L304</f>
        <v>9.379999999999999</v>
      </c>
      <c r="K304" s="363" t="s">
        <v>272</v>
      </c>
      <c r="L304" s="64">
        <v>5.3680000000000003</v>
      </c>
      <c r="M304" s="363" t="s">
        <v>57</v>
      </c>
      <c r="N304" s="65">
        <v>500</v>
      </c>
      <c r="O304" s="363" t="s">
        <v>59</v>
      </c>
      <c r="P304" s="65">
        <v>500</v>
      </c>
      <c r="Q304" s="363" t="s">
        <v>60</v>
      </c>
      <c r="R304" s="65">
        <v>1046</v>
      </c>
      <c r="S304" s="363" t="s">
        <v>61</v>
      </c>
      <c r="T304" s="65">
        <v>98</v>
      </c>
      <c r="U304" s="363" t="s">
        <v>54</v>
      </c>
      <c r="V304" s="66" t="s">
        <v>118</v>
      </c>
      <c r="W304" s="12"/>
      <c r="X304" s="12"/>
      <c r="Y304" s="12"/>
    </row>
    <row r="305" spans="1:25" x14ac:dyDescent="0.2">
      <c r="A305" s="362" t="s">
        <v>33</v>
      </c>
      <c r="B305" s="370">
        <v>0</v>
      </c>
      <c r="C305" s="371">
        <v>3.0000000000000001E-3</v>
      </c>
      <c r="D305" s="371">
        <v>0.05</v>
      </c>
      <c r="E305" s="371">
        <v>7.8E-2</v>
      </c>
      <c r="F305" s="371">
        <v>0.121</v>
      </c>
      <c r="G305" s="371">
        <v>0.65200000000000002</v>
      </c>
      <c r="H305" s="371">
        <v>1.123</v>
      </c>
      <c r="I305" s="371">
        <v>1.655</v>
      </c>
      <c r="J305" s="371">
        <v>2.3530000000000002</v>
      </c>
      <c r="K305" s="371">
        <v>3.0350000000000001</v>
      </c>
      <c r="L305" s="371">
        <v>3.7</v>
      </c>
      <c r="M305" s="371">
        <v>3.7330000000000001</v>
      </c>
      <c r="N305" s="371">
        <v>3.887</v>
      </c>
      <c r="O305" s="371">
        <v>4.0359999999999996</v>
      </c>
      <c r="P305" s="371">
        <v>4.1970000000000001</v>
      </c>
      <c r="Q305" s="371">
        <v>4.2619999999999996</v>
      </c>
      <c r="R305" s="371">
        <v>4.3</v>
      </c>
      <c r="S305" s="371">
        <v>5</v>
      </c>
      <c r="T305" s="371">
        <v>5</v>
      </c>
      <c r="U305" s="371">
        <v>5</v>
      </c>
      <c r="V305" s="371">
        <v>5</v>
      </c>
      <c r="W305" s="371">
        <v>5</v>
      </c>
      <c r="X305" s="371">
        <v>5</v>
      </c>
      <c r="Y305" s="381">
        <v>1000</v>
      </c>
    </row>
    <row r="306" spans="1:25" x14ac:dyDescent="0.2">
      <c r="A306" s="378" t="s">
        <v>34</v>
      </c>
      <c r="B306" s="372">
        <v>0</v>
      </c>
      <c r="C306" s="373">
        <v>203.87700000000001</v>
      </c>
      <c r="D306" s="373">
        <v>2362.8789999999999</v>
      </c>
      <c r="E306" s="373">
        <v>3946.8449999999998</v>
      </c>
      <c r="F306" s="373">
        <v>4281.4120000000003</v>
      </c>
      <c r="G306" s="373">
        <v>4370.2809999999999</v>
      </c>
      <c r="H306" s="373">
        <v>4453.9229999999998</v>
      </c>
      <c r="I306" s="373">
        <v>4772.8069999999998</v>
      </c>
      <c r="J306" s="373">
        <v>4621.2060000000001</v>
      </c>
      <c r="K306" s="373">
        <v>4511.4269999999997</v>
      </c>
      <c r="L306" s="373">
        <v>4375.509</v>
      </c>
      <c r="M306" s="373">
        <v>4182.0870000000004</v>
      </c>
      <c r="N306" s="373">
        <v>2969.2820000000002</v>
      </c>
      <c r="O306" s="373">
        <v>1589.193</v>
      </c>
      <c r="P306" s="373">
        <v>533.21600000000001</v>
      </c>
      <c r="Q306" s="373">
        <v>240.47</v>
      </c>
      <c r="R306" s="373">
        <v>0</v>
      </c>
      <c r="S306" s="373">
        <v>0</v>
      </c>
      <c r="T306" s="373">
        <v>0</v>
      </c>
      <c r="U306" s="373">
        <v>0</v>
      </c>
      <c r="V306" s="373">
        <v>0</v>
      </c>
      <c r="W306" s="373">
        <v>0</v>
      </c>
      <c r="X306" s="373">
        <v>0</v>
      </c>
      <c r="Y306" s="382">
        <v>0</v>
      </c>
    </row>
    <row r="307" spans="1:25" ht="13.5" thickBot="1" x14ac:dyDescent="0.25">
      <c r="A307" s="379" t="s">
        <v>116</v>
      </c>
      <c r="B307" s="374">
        <f t="shared" ref="B307" si="100">(C306+B306)*(C305-B305)/2</f>
        <v>0.30581550000000002</v>
      </c>
      <c r="C307" s="375">
        <f t="shared" ref="C307" si="101">(D306+C306)*(D305-C305)/2</f>
        <v>60.318765999999997</v>
      </c>
      <c r="D307" s="375">
        <f t="shared" ref="D307" si="102">(E306+D306)*(E305-D305)/2</f>
        <v>88.336135999999996</v>
      </c>
      <c r="E307" s="375">
        <f t="shared" ref="E307" si="103">(F306+E306)*(F305-E305)/2</f>
        <v>176.90752549999999</v>
      </c>
      <c r="F307" s="375">
        <f t="shared" ref="F307" si="104">(G306+F306)*(G305-F305)/2</f>
        <v>2297.0244914999998</v>
      </c>
      <c r="G307" s="375">
        <f t="shared" ref="G307" si="105">(H306+G306)*(H305-G305)/2</f>
        <v>2078.100042</v>
      </c>
      <c r="H307" s="375">
        <f t="shared" ref="H307" si="106">(I306+H306)*(I305-H305)/2</f>
        <v>2454.3101799999999</v>
      </c>
      <c r="I307" s="375">
        <f t="shared" ref="I307" si="107">(J306+I306)*(J305-I305)/2</f>
        <v>3278.5105370000006</v>
      </c>
      <c r="J307" s="375">
        <f t="shared" ref="J307" si="108">(K306+J306)*(K305-J305)/2</f>
        <v>3114.2278529999999</v>
      </c>
      <c r="K307" s="375">
        <f t="shared" ref="K307" si="109">(L306+K306)*(L305-K305)/2</f>
        <v>2954.9062199999998</v>
      </c>
      <c r="L307" s="375">
        <f t="shared" ref="L307" si="110">(M306+L306)*(M305-L305)/2</f>
        <v>141.20033399999969</v>
      </c>
      <c r="M307" s="375">
        <f t="shared" ref="M307" si="111">(N306+M306)*(N305-M305)/2</f>
        <v>550.65541299999973</v>
      </c>
      <c r="N307" s="375">
        <f t="shared" ref="N307" si="112">(O306+N306)*(O305-N305)/2</f>
        <v>339.60638749999907</v>
      </c>
      <c r="O307" s="375">
        <f t="shared" ref="O307" si="113">(P306+O306)*(P305-O305)/2</f>
        <v>170.85392450000052</v>
      </c>
      <c r="P307" s="375">
        <f t="shared" ref="P307" si="114">(Q306+P306)*(Q305-P305)/2</f>
        <v>25.14479499999981</v>
      </c>
      <c r="Q307" s="375">
        <f t="shared" ref="Q307" si="115">(R306+Q306)*(R305-Q305)/2</f>
        <v>4.568930000000031</v>
      </c>
      <c r="R307" s="375">
        <f t="shared" ref="R307" si="116">(S306+R306)*(S305-R305)/2</f>
        <v>0</v>
      </c>
      <c r="S307" s="375">
        <f t="shared" ref="S307" si="117">(T306+S306)*(T305-S305)/2</f>
        <v>0</v>
      </c>
      <c r="T307" s="375">
        <f t="shared" ref="T307" si="118">(U306+T306)*(U305-T305)/2</f>
        <v>0</v>
      </c>
      <c r="U307" s="375">
        <f t="shared" ref="U307" si="119">(V306+U306)*(V305-U305)/2</f>
        <v>0</v>
      </c>
      <c r="V307" s="375">
        <f t="shared" ref="V307" si="120">(W306+V306)*(W305-V305)/2</f>
        <v>0</v>
      </c>
      <c r="W307" s="375">
        <f t="shared" ref="W307" si="121">(X306+W306)*(X305-W305)/2</f>
        <v>0</v>
      </c>
      <c r="X307" s="375">
        <f t="shared" ref="X307" si="122">(Y306+X306)*(Y305-X305)/2</f>
        <v>0</v>
      </c>
      <c r="Y307" s="369"/>
    </row>
    <row r="308" spans="1:25" ht="13.5" thickBot="1" x14ac:dyDescent="0.25">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row>
    <row r="309" spans="1:25" ht="13.5" thickBot="1" x14ac:dyDescent="0.25">
      <c r="A309" s="361" t="s">
        <v>44</v>
      </c>
      <c r="B309" s="359">
        <f>ROW(A309)</f>
        <v>309</v>
      </c>
      <c r="C309" s="363" t="s">
        <v>115</v>
      </c>
      <c r="D309" s="353">
        <f>SUM(B312:Y312)</f>
        <v>1E-3</v>
      </c>
      <c r="E309" s="363" t="s">
        <v>114</v>
      </c>
      <c r="F309" s="354">
        <f>D309/g/J309</f>
        <v>1.019367991845056</v>
      </c>
      <c r="G309" s="363" t="s">
        <v>56</v>
      </c>
      <c r="H309" s="64">
        <v>1E-4</v>
      </c>
      <c r="I309" s="363" t="s">
        <v>271</v>
      </c>
      <c r="J309" s="355">
        <f>H309-L309</f>
        <v>1E-4</v>
      </c>
      <c r="K309" s="363" t="s">
        <v>272</v>
      </c>
      <c r="L309" s="64">
        <v>0</v>
      </c>
      <c r="M309" s="363" t="s">
        <v>57</v>
      </c>
      <c r="N309" s="65">
        <v>0</v>
      </c>
      <c r="O309" s="363" t="s">
        <v>59</v>
      </c>
      <c r="P309" s="65">
        <v>0</v>
      </c>
      <c r="Q309" s="363" t="s">
        <v>60</v>
      </c>
      <c r="R309" s="65">
        <v>0</v>
      </c>
      <c r="S309" s="363" t="s">
        <v>61</v>
      </c>
      <c r="T309" s="65">
        <v>0</v>
      </c>
      <c r="U309" s="363" t="s">
        <v>54</v>
      </c>
      <c r="V309" s="66" t="s">
        <v>118</v>
      </c>
      <c r="W309" s="12"/>
      <c r="X309" s="12"/>
      <c r="Y309" s="12"/>
    </row>
    <row r="310" spans="1:25" x14ac:dyDescent="0.2">
      <c r="A310" s="362" t="s">
        <v>33</v>
      </c>
      <c r="B310" s="370">
        <v>0</v>
      </c>
      <c r="C310" s="371">
        <v>0.1</v>
      </c>
      <c r="D310" s="371">
        <v>0.2</v>
      </c>
      <c r="E310" s="371">
        <v>1</v>
      </c>
      <c r="F310" s="371">
        <v>1</v>
      </c>
      <c r="G310" s="371">
        <v>1</v>
      </c>
      <c r="H310" s="371">
        <v>1</v>
      </c>
      <c r="I310" s="371">
        <v>1</v>
      </c>
      <c r="J310" s="371">
        <v>1</v>
      </c>
      <c r="K310" s="371">
        <v>1</v>
      </c>
      <c r="L310" s="371">
        <v>1</v>
      </c>
      <c r="M310" s="371">
        <v>1</v>
      </c>
      <c r="N310" s="371">
        <v>1</v>
      </c>
      <c r="O310" s="371">
        <v>1</v>
      </c>
      <c r="P310" s="371">
        <v>1</v>
      </c>
      <c r="Q310" s="371">
        <v>1</v>
      </c>
      <c r="R310" s="371">
        <v>1</v>
      </c>
      <c r="S310" s="371">
        <v>1</v>
      </c>
      <c r="T310" s="371">
        <v>1</v>
      </c>
      <c r="U310" s="371">
        <v>1</v>
      </c>
      <c r="V310" s="371">
        <v>1</v>
      </c>
      <c r="W310" s="371">
        <v>1</v>
      </c>
      <c r="X310" s="371">
        <v>1</v>
      </c>
      <c r="Y310" s="381">
        <v>1000</v>
      </c>
    </row>
    <row r="311" spans="1:25" x14ac:dyDescent="0.2">
      <c r="A311" s="378" t="s">
        <v>34</v>
      </c>
      <c r="B311" s="372">
        <v>0</v>
      </c>
      <c r="C311" s="373">
        <v>0.01</v>
      </c>
      <c r="D311" s="373">
        <v>0</v>
      </c>
      <c r="E311" s="373">
        <v>0</v>
      </c>
      <c r="F311" s="373">
        <v>0</v>
      </c>
      <c r="G311" s="373">
        <v>0</v>
      </c>
      <c r="H311" s="373">
        <v>0</v>
      </c>
      <c r="I311" s="373">
        <v>0</v>
      </c>
      <c r="J311" s="373">
        <v>0</v>
      </c>
      <c r="K311" s="373">
        <v>0</v>
      </c>
      <c r="L311" s="373">
        <v>0</v>
      </c>
      <c r="M311" s="373">
        <v>0</v>
      </c>
      <c r="N311" s="373">
        <v>0</v>
      </c>
      <c r="O311" s="373">
        <v>0</v>
      </c>
      <c r="P311" s="373">
        <v>0</v>
      </c>
      <c r="Q311" s="373">
        <v>0</v>
      </c>
      <c r="R311" s="373">
        <v>0</v>
      </c>
      <c r="S311" s="373">
        <v>0</v>
      </c>
      <c r="T311" s="373">
        <v>0</v>
      </c>
      <c r="U311" s="373">
        <v>0</v>
      </c>
      <c r="V311" s="373">
        <v>0</v>
      </c>
      <c r="W311" s="373">
        <v>0</v>
      </c>
      <c r="X311" s="373">
        <v>0</v>
      </c>
      <c r="Y311" s="382">
        <v>0</v>
      </c>
    </row>
    <row r="312" spans="1:25" ht="13.5" thickBot="1" x14ac:dyDescent="0.25">
      <c r="A312" s="379" t="s">
        <v>116</v>
      </c>
      <c r="B312" s="374">
        <f t="shared" ref="B312:G312" si="123">(C311+B311)*(C310-B310)/2</f>
        <v>5.0000000000000001E-4</v>
      </c>
      <c r="C312" s="375">
        <f t="shared" si="123"/>
        <v>5.0000000000000001E-4</v>
      </c>
      <c r="D312" s="375">
        <f t="shared" si="123"/>
        <v>0</v>
      </c>
      <c r="E312" s="375">
        <f t="shared" si="123"/>
        <v>0</v>
      </c>
      <c r="F312" s="375">
        <f t="shared" si="123"/>
        <v>0</v>
      </c>
      <c r="G312" s="375">
        <f t="shared" si="123"/>
        <v>0</v>
      </c>
      <c r="H312" s="375">
        <f t="shared" ref="H312:V312" si="124">(I311+H311)*(I310-H310)/2</f>
        <v>0</v>
      </c>
      <c r="I312" s="375">
        <f t="shared" si="124"/>
        <v>0</v>
      </c>
      <c r="J312" s="375">
        <f>(K311+J311)*(K310-J310)/2</f>
        <v>0</v>
      </c>
      <c r="K312" s="375">
        <f t="shared" si="124"/>
        <v>0</v>
      </c>
      <c r="L312" s="375">
        <f t="shared" si="124"/>
        <v>0</v>
      </c>
      <c r="M312" s="375">
        <f t="shared" si="124"/>
        <v>0</v>
      </c>
      <c r="N312" s="375">
        <f t="shared" si="124"/>
        <v>0</v>
      </c>
      <c r="O312" s="375">
        <f t="shared" si="124"/>
        <v>0</v>
      </c>
      <c r="P312" s="375">
        <f t="shared" si="124"/>
        <v>0</v>
      </c>
      <c r="Q312" s="375">
        <f t="shared" si="124"/>
        <v>0</v>
      </c>
      <c r="R312" s="375">
        <f t="shared" si="124"/>
        <v>0</v>
      </c>
      <c r="S312" s="375">
        <f>(T311+S311)*(T310-S310)/2</f>
        <v>0</v>
      </c>
      <c r="T312" s="375">
        <f t="shared" si="124"/>
        <v>0</v>
      </c>
      <c r="U312" s="375">
        <f t="shared" si="124"/>
        <v>0</v>
      </c>
      <c r="V312" s="375">
        <f t="shared" si="124"/>
        <v>0</v>
      </c>
      <c r="W312" s="375">
        <f>(X311+W311)*(X310-W310)/2</f>
        <v>0</v>
      </c>
      <c r="X312" s="375">
        <f>(Y311+X311)*(Y310-X310)/2</f>
        <v>0</v>
      </c>
      <c r="Y312" s="369"/>
    </row>
    <row r="314" spans="1:25" x14ac:dyDescent="0.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row>
    <row r="316" spans="1:25" x14ac:dyDescent="0.2">
      <c r="A316" s="397" t="str">
        <f>IF(Lang="Français","Liste des propu affichés :","Motor list (shown):")</f>
        <v>Liste des propu affichés :</v>
      </c>
      <c r="C316" s="651" t="s">
        <v>276</v>
      </c>
      <c r="D316" s="652"/>
      <c r="F316" s="651" t="s">
        <v>181</v>
      </c>
      <c r="G316" s="652"/>
      <c r="H316" s="12"/>
      <c r="I316" s="651" t="s">
        <v>397</v>
      </c>
      <c r="J316" s="652"/>
      <c r="K316" s="12"/>
      <c r="L316" s="651" t="s">
        <v>182</v>
      </c>
      <c r="M316" s="652"/>
      <c r="O316" s="651" t="s">
        <v>396</v>
      </c>
      <c r="P316" s="652"/>
      <c r="R316" s="651" t="s">
        <v>118</v>
      </c>
      <c r="S316" s="652"/>
    </row>
    <row r="317" spans="1:25" x14ac:dyDescent="0.2">
      <c r="A317" s="398" t="str">
        <f t="array" ref="A317:A346">IF(RIGHT(Type_fusee,1)=".",Liste_fusex, IF(LEFT(Type_fusee,4)="Mini",Liste_minif, IF(LEFT(Type_fusee,5)="Micro",Liste_µfu, IF(RIGHT(Type_fusee,1)=" ",Liste_H2O, IF(LEFT(Type_fusee,1)="R",Liste_RC, IF(LEFT(Type_fusee,1)=",",Liste_minifT))))))</f>
        <v>Pro54-5G WT</v>
      </c>
      <c r="C317" s="643" t="str">
        <f>A26</f>
        <v>H2O 1.5L 300g 6bar</v>
      </c>
      <c r="D317" s="644"/>
      <c r="F317" s="643" t="str">
        <f>A67</f>
        <v>µ-propu A8-3</v>
      </c>
      <c r="G317" s="644"/>
      <c r="H317" s="472"/>
      <c r="I317" s="641" t="str">
        <f>A148</f>
        <v>p29-1G 56F31</v>
      </c>
      <c r="J317" s="642"/>
      <c r="K317" s="472"/>
      <c r="L317" s="641" t="str">
        <f>A158</f>
        <v>p29-1G 57F59</v>
      </c>
      <c r="M317" s="642"/>
      <c r="O317" s="643" t="str">
        <f>A108</f>
        <v>p24-1G 24E22</v>
      </c>
      <c r="P317" s="644"/>
      <c r="R317" s="643" t="str">
        <f>A284</f>
        <v>Pro54-5G WT</v>
      </c>
      <c r="S317" s="644"/>
    </row>
    <row r="318" spans="1:25" x14ac:dyDescent="0.2">
      <c r="A318" s="398" t="str">
        <v>Barasinga (Pro54-5G C)</v>
      </c>
      <c r="C318" s="643" t="str">
        <f>A31</f>
        <v>H2O 1.5L 450g 6bar</v>
      </c>
      <c r="D318" s="644"/>
      <c r="F318" s="643" t="str">
        <f>A72</f>
        <v>µ-propu B4-4</v>
      </c>
      <c r="G318" s="644"/>
      <c r="H318" s="472"/>
      <c r="I318" s="641" t="str">
        <f>A153</f>
        <v>p29-1G 56F120</v>
      </c>
      <c r="J318" s="642"/>
      <c r="K318" s="472"/>
      <c r="L318" s="641" t="str">
        <f>A183</f>
        <v>p24-3G 74F85</v>
      </c>
      <c r="M318" s="642"/>
      <c r="O318" s="643" t="str">
        <f>A113</f>
        <v>p24-1G 25E75 (Rufina)</v>
      </c>
      <c r="P318" s="644"/>
      <c r="R318" s="643" t="str">
        <f>A279</f>
        <v>Barasinga (Pro54-5G C)</v>
      </c>
      <c r="S318" s="644"/>
    </row>
    <row r="319" spans="1:25" x14ac:dyDescent="0.2">
      <c r="A319" s="398" t="str">
        <v>Orignal (Pro75-3G C)</v>
      </c>
      <c r="C319" s="643" t="str">
        <f>A36</f>
        <v>H2O 1.5L 600g 6bar</v>
      </c>
      <c r="D319" s="644"/>
      <c r="F319" s="643" t="str">
        <f>A77</f>
        <v>µ-propu C6-3</v>
      </c>
      <c r="G319" s="644"/>
      <c r="H319" s="472"/>
      <c r="I319" s="641" t="str">
        <f>A158</f>
        <v>p29-1G 57F59</v>
      </c>
      <c r="J319" s="642"/>
      <c r="K319" s="472"/>
      <c r="L319" s="641" t="str">
        <f>A188</f>
        <v>p24-3G 75F51</v>
      </c>
      <c r="M319" s="642"/>
      <c r="O319" s="643" t="str">
        <f>A118</f>
        <v>p24-1G 26E31</v>
      </c>
      <c r="P319" s="644"/>
      <c r="R319" s="643" t="str">
        <f>A289</f>
        <v>Orignal (Pro75-3G C)</v>
      </c>
      <c r="S319" s="644"/>
    </row>
    <row r="320" spans="1:25" x14ac:dyDescent="0.2">
      <c r="A320" s="398" t="str">
        <v>Pro98-6G Green</v>
      </c>
      <c r="C320" s="643" t="str">
        <f>A41</f>
        <v>H2O 1.5L 750g 6bar</v>
      </c>
      <c r="D320" s="644"/>
      <c r="F320" s="643" t="str">
        <f>A82</f>
        <v>µ-propu C6-3 x2</v>
      </c>
      <c r="G320" s="644"/>
      <c r="H320" s="472"/>
      <c r="I320" s="641" t="str">
        <f>A183</f>
        <v>p24-3G 74F85</v>
      </c>
      <c r="J320" s="642"/>
      <c r="K320" s="472"/>
      <c r="L320" s="641" t="str">
        <f>A228</f>
        <v>p29-2G 116G126</v>
      </c>
      <c r="M320" s="642"/>
      <c r="O320" s="643" t="str">
        <f>A123</f>
        <v>p24-2G 50E51</v>
      </c>
      <c r="P320" s="644"/>
      <c r="R320" s="643" t="str">
        <f>A294</f>
        <v>Pro98-6G Green</v>
      </c>
      <c r="S320" s="644"/>
    </row>
    <row r="321" spans="1:19" x14ac:dyDescent="0.2">
      <c r="A321" s="398" t="str">
        <v xml:space="preserve"> </v>
      </c>
      <c r="C321" s="643" t="str">
        <f>A46</f>
        <v>H2O 2.0L 400g 6bar</v>
      </c>
      <c r="D321" s="644"/>
      <c r="F321" s="643" t="str">
        <f>A87</f>
        <v>µ-propu C6-3 x3</v>
      </c>
      <c r="G321" s="644"/>
      <c r="H321" s="472"/>
      <c r="I321" s="641" t="str">
        <f>A188</f>
        <v>p24-3G 75F51</v>
      </c>
      <c r="J321" s="642"/>
      <c r="K321" s="472"/>
      <c r="L321" s="641" t="str">
        <f>A198</f>
        <v>Pandora (Pro24-6G BS)</v>
      </c>
      <c r="M321" s="642"/>
      <c r="O321" s="643" t="str">
        <f>A128</f>
        <v>p24-1G 53E70</v>
      </c>
      <c r="P321" s="644"/>
      <c r="R321" s="643" t="s">
        <v>183</v>
      </c>
      <c r="S321" s="644"/>
    </row>
    <row r="322" spans="1:19" x14ac:dyDescent="0.2">
      <c r="A322" s="398" t="str">
        <v xml:space="preserve"> </v>
      </c>
      <c r="C322" s="643" t="str">
        <f>A51</f>
        <v>H2O 2.0L 600g 6bar</v>
      </c>
      <c r="D322" s="644"/>
      <c r="F322" s="643" t="s">
        <v>183</v>
      </c>
      <c r="G322" s="644"/>
      <c r="H322" s="472"/>
      <c r="I322" s="641" t="s">
        <v>183</v>
      </c>
      <c r="J322" s="642"/>
      <c r="K322" s="472"/>
      <c r="L322" s="643" t="str">
        <f>A92</f>
        <v>Klima D9-7</v>
      </c>
      <c r="M322" s="644"/>
      <c r="O322" s="643" t="str">
        <f>A133</f>
        <v>p29-1G 41F36</v>
      </c>
      <c r="P322" s="644"/>
      <c r="R322" s="643" t="s">
        <v>183</v>
      </c>
      <c r="S322" s="644"/>
    </row>
    <row r="323" spans="1:19" x14ac:dyDescent="0.2">
      <c r="A323" s="398" t="str">
        <v xml:space="preserve"> </v>
      </c>
      <c r="C323" s="643" t="str">
        <f>A56</f>
        <v>H2O 2.0L 800g 6bar</v>
      </c>
      <c r="D323" s="644"/>
      <c r="F323" s="643" t="s">
        <v>183</v>
      </c>
      <c r="G323" s="644"/>
      <c r="H323" s="472"/>
      <c r="I323" s="641" t="s">
        <v>183</v>
      </c>
      <c r="J323" s="642"/>
      <c r="K323" s="472"/>
      <c r="L323" s="643" t="str">
        <f>A97</f>
        <v>Klima D9-7 x2</v>
      </c>
      <c r="M323" s="644"/>
      <c r="O323" s="643" t="str">
        <f>A138</f>
        <v>p29-1G 51F36</v>
      </c>
      <c r="P323" s="644"/>
      <c r="R323" s="643" t="s">
        <v>183</v>
      </c>
      <c r="S323" s="644"/>
    </row>
    <row r="324" spans="1:19" x14ac:dyDescent="0.2">
      <c r="A324" s="398" t="str">
        <v xml:space="preserve"> </v>
      </c>
      <c r="C324" s="643" t="str">
        <f>A61</f>
        <v>H2O 2.0L 1000g 6bar</v>
      </c>
      <c r="D324" s="644"/>
      <c r="F324" s="643" t="s">
        <v>183</v>
      </c>
      <c r="G324" s="644"/>
      <c r="H324" s="472"/>
      <c r="I324" s="641" t="s">
        <v>183</v>
      </c>
      <c r="J324" s="642"/>
      <c r="K324" s="472"/>
      <c r="L324" s="643" t="str">
        <f>A102</f>
        <v>Klima D9-7 x3</v>
      </c>
      <c r="M324" s="644"/>
      <c r="O324" s="643" t="str">
        <f>A143</f>
        <v>p29-1G 55F29</v>
      </c>
      <c r="P324" s="644"/>
      <c r="R324" s="643" t="s">
        <v>183</v>
      </c>
      <c r="S324" s="644"/>
    </row>
    <row r="325" spans="1:19" x14ac:dyDescent="0.2">
      <c r="A325" s="398" t="str">
        <v xml:space="preserve"> </v>
      </c>
      <c r="C325" s="643" t="s">
        <v>183</v>
      </c>
      <c r="D325" s="644"/>
      <c r="F325" s="643" t="s">
        <v>183</v>
      </c>
      <c r="G325" s="644"/>
      <c r="H325" s="472"/>
      <c r="I325" s="641" t="s">
        <v>183</v>
      </c>
      <c r="J325" s="642"/>
      <c r="K325" s="472"/>
      <c r="L325" s="643" t="s">
        <v>183</v>
      </c>
      <c r="M325" s="644"/>
      <c r="O325" s="643" t="str">
        <f>A153</f>
        <v>p29-1G 56F120</v>
      </c>
      <c r="P325" s="644"/>
      <c r="R325" s="643" t="s">
        <v>183</v>
      </c>
      <c r="S325" s="644"/>
    </row>
    <row r="326" spans="1:19" x14ac:dyDescent="0.2">
      <c r="A326" s="398" t="str">
        <v xml:space="preserve"> </v>
      </c>
      <c r="C326" s="643" t="s">
        <v>183</v>
      </c>
      <c r="D326" s="644"/>
      <c r="F326" s="643" t="s">
        <v>183</v>
      </c>
      <c r="G326" s="644"/>
      <c r="H326" s="472"/>
      <c r="I326" s="641" t="s">
        <v>183</v>
      </c>
      <c r="J326" s="642"/>
      <c r="K326" s="472"/>
      <c r="L326" s="643" t="s">
        <v>183</v>
      </c>
      <c r="M326" s="644"/>
      <c r="O326" s="643" t="str">
        <f>A158</f>
        <v>p29-1G 57F59</v>
      </c>
      <c r="P326" s="644"/>
      <c r="R326" s="643" t="s">
        <v>183</v>
      </c>
      <c r="S326" s="644"/>
    </row>
    <row r="327" spans="1:19" x14ac:dyDescent="0.2">
      <c r="A327" s="398" t="str">
        <v xml:space="preserve"> </v>
      </c>
      <c r="C327" s="643" t="s">
        <v>183</v>
      </c>
      <c r="D327" s="644"/>
      <c r="F327" s="643" t="s">
        <v>183</v>
      </c>
      <c r="G327" s="644"/>
      <c r="H327" s="472"/>
      <c r="I327" s="641" t="s">
        <v>183</v>
      </c>
      <c r="J327" s="642"/>
      <c r="K327" s="472"/>
      <c r="L327" s="643" t="s">
        <v>183</v>
      </c>
      <c r="M327" s="644"/>
      <c r="O327" s="643" t="str">
        <f>A163</f>
        <v>p24-3G 60F50</v>
      </c>
      <c r="P327" s="644"/>
      <c r="R327" s="643" t="s">
        <v>183</v>
      </c>
      <c r="S327" s="644"/>
    </row>
    <row r="328" spans="1:19" x14ac:dyDescent="0.2">
      <c r="A328" s="398" t="str">
        <v xml:space="preserve"> </v>
      </c>
      <c r="C328" s="643" t="s">
        <v>183</v>
      </c>
      <c r="D328" s="644"/>
      <c r="F328" s="643" t="s">
        <v>183</v>
      </c>
      <c r="G328" s="644"/>
      <c r="H328" s="472"/>
      <c r="I328" s="641" t="s">
        <v>183</v>
      </c>
      <c r="J328" s="642"/>
      <c r="K328" s="472"/>
      <c r="L328" s="643" t="s">
        <v>183</v>
      </c>
      <c r="M328" s="644"/>
      <c r="O328" s="643" t="str">
        <f>A168</f>
        <v>p24-3G 68F79</v>
      </c>
      <c r="P328" s="644"/>
      <c r="R328" s="643" t="s">
        <v>183</v>
      </c>
      <c r="S328" s="644"/>
    </row>
    <row r="329" spans="1:19" x14ac:dyDescent="0.2">
      <c r="A329" s="398" t="str">
        <v xml:space="preserve"> </v>
      </c>
      <c r="C329" s="643" t="s">
        <v>183</v>
      </c>
      <c r="D329" s="644"/>
      <c r="F329" s="643" t="s">
        <v>183</v>
      </c>
      <c r="G329" s="644"/>
      <c r="H329" s="472"/>
      <c r="I329" s="641" t="s">
        <v>183</v>
      </c>
      <c r="J329" s="642"/>
      <c r="K329" s="472"/>
      <c r="L329" s="643" t="s">
        <v>183</v>
      </c>
      <c r="M329" s="644"/>
      <c r="O329" s="643" t="str">
        <f>A173</f>
        <v>p24-3G 68F240</v>
      </c>
      <c r="P329" s="644"/>
      <c r="R329" s="643" t="s">
        <v>183</v>
      </c>
      <c r="S329" s="644"/>
    </row>
    <row r="330" spans="1:19" x14ac:dyDescent="0.2">
      <c r="A330" s="398" t="str">
        <v xml:space="preserve"> </v>
      </c>
      <c r="C330" s="643" t="s">
        <v>183</v>
      </c>
      <c r="D330" s="644"/>
      <c r="F330" s="643" t="s">
        <v>183</v>
      </c>
      <c r="G330" s="644"/>
      <c r="H330" s="472"/>
      <c r="I330" s="641" t="s">
        <v>183</v>
      </c>
      <c r="J330" s="642"/>
      <c r="K330" s="472"/>
      <c r="L330" s="643" t="s">
        <v>183</v>
      </c>
      <c r="M330" s="644"/>
      <c r="O330" s="643" t="str">
        <f>A178</f>
        <v>p24-3G 73F30</v>
      </c>
      <c r="P330" s="644"/>
      <c r="R330" s="643" t="s">
        <v>183</v>
      </c>
      <c r="S330" s="644"/>
    </row>
    <row r="331" spans="1:19" x14ac:dyDescent="0.2">
      <c r="A331" s="398" t="str">
        <v xml:space="preserve"> </v>
      </c>
      <c r="C331" s="643" t="s">
        <v>183</v>
      </c>
      <c r="D331" s="644"/>
      <c r="F331" s="643" t="s">
        <v>183</v>
      </c>
      <c r="G331" s="644"/>
      <c r="H331" s="472"/>
      <c r="I331" s="649" t="s">
        <v>183</v>
      </c>
      <c r="J331" s="650"/>
      <c r="K331" s="472"/>
      <c r="L331" s="643" t="s">
        <v>183</v>
      </c>
      <c r="M331" s="644"/>
      <c r="O331" s="643" t="str">
        <f>A183</f>
        <v>p24-3G 74F85</v>
      </c>
      <c r="P331" s="644"/>
      <c r="R331" s="643" t="s">
        <v>183</v>
      </c>
      <c r="S331" s="644"/>
    </row>
    <row r="332" spans="1:19" x14ac:dyDescent="0.2">
      <c r="A332" s="462" t="str">
        <v xml:space="preserve"> </v>
      </c>
      <c r="C332" s="646" t="s">
        <v>183</v>
      </c>
      <c r="D332" s="647"/>
      <c r="F332" s="646" t="s">
        <v>183</v>
      </c>
      <c r="G332" s="647"/>
      <c r="H332" s="472"/>
      <c r="I332" s="646" t="s">
        <v>183</v>
      </c>
      <c r="J332" s="647"/>
      <c r="K332" s="472"/>
      <c r="L332" s="646" t="s">
        <v>183</v>
      </c>
      <c r="M332" s="647"/>
      <c r="O332" s="643" t="str">
        <f>A188</f>
        <v>p24-3G 75F51</v>
      </c>
      <c r="P332" s="644"/>
      <c r="R332" s="646" t="s">
        <v>183</v>
      </c>
      <c r="S332" s="647"/>
    </row>
    <row r="333" spans="1:19" x14ac:dyDescent="0.2">
      <c r="A333" s="398" t="str">
        <v xml:space="preserve"> </v>
      </c>
      <c r="C333" s="653" t="s">
        <v>183</v>
      </c>
      <c r="D333" s="653"/>
      <c r="F333" s="653" t="s">
        <v>183</v>
      </c>
      <c r="G333" s="653"/>
      <c r="I333" s="640" t="s">
        <v>183</v>
      </c>
      <c r="J333" s="640"/>
      <c r="L333" s="640" t="s">
        <v>183</v>
      </c>
      <c r="M333" s="640"/>
      <c r="O333" s="643" t="str">
        <f>A213</f>
        <v>p29-2G 84G88</v>
      </c>
      <c r="P333" s="644"/>
      <c r="R333" s="648" t="s">
        <v>183</v>
      </c>
      <c r="S333" s="648"/>
    </row>
    <row r="334" spans="1:19" x14ac:dyDescent="0.2">
      <c r="A334" s="398" t="str">
        <v>Isard</v>
      </c>
      <c r="C334" s="637" t="s">
        <v>183</v>
      </c>
      <c r="D334" s="637"/>
      <c r="F334" s="637" t="s">
        <v>183</v>
      </c>
      <c r="G334" s="637"/>
      <c r="I334" s="640" t="s">
        <v>183</v>
      </c>
      <c r="J334" s="640"/>
      <c r="L334" s="640" t="s">
        <v>183</v>
      </c>
      <c r="M334" s="640"/>
      <c r="O334" s="643" t="str">
        <f>A218</f>
        <v>p29-2G 93G80</v>
      </c>
      <c r="P334" s="644"/>
      <c r="R334" s="645" t="str">
        <f>A269</f>
        <v>Isard</v>
      </c>
      <c r="S334" s="645"/>
    </row>
    <row r="335" spans="1:19" x14ac:dyDescent="0.2">
      <c r="A335" s="398" t="str">
        <v>Chamois</v>
      </c>
      <c r="C335" s="637" t="s">
        <v>183</v>
      </c>
      <c r="D335" s="637"/>
      <c r="F335" s="637" t="s">
        <v>183</v>
      </c>
      <c r="G335" s="637"/>
      <c r="I335" s="640" t="s">
        <v>183</v>
      </c>
      <c r="J335" s="640"/>
      <c r="L335" s="640" t="s">
        <v>183</v>
      </c>
      <c r="M335" s="640"/>
      <c r="O335" s="643" t="str">
        <f>A223</f>
        <v>p29-2G 110G250</v>
      </c>
      <c r="P335" s="644"/>
      <c r="R335" s="645" t="str">
        <f>A274</f>
        <v>Chamois</v>
      </c>
      <c r="S335" s="645"/>
    </row>
    <row r="336" spans="1:19" x14ac:dyDescent="0.2">
      <c r="A336" s="398" t="str">
        <v>Pro54-5G WT</v>
      </c>
      <c r="C336" s="637" t="s">
        <v>183</v>
      </c>
      <c r="D336" s="637"/>
      <c r="F336" s="637" t="s">
        <v>183</v>
      </c>
      <c r="G336" s="637"/>
      <c r="I336" s="640" t="s">
        <v>183</v>
      </c>
      <c r="J336" s="640"/>
      <c r="L336" s="640" t="s">
        <v>183</v>
      </c>
      <c r="M336" s="640"/>
      <c r="O336" s="643" t="str">
        <f>A228</f>
        <v>p29-2G 116G126</v>
      </c>
      <c r="P336" s="644"/>
      <c r="R336" s="645" t="str">
        <f>A284</f>
        <v>Pro54-5G WT</v>
      </c>
      <c r="S336" s="645"/>
    </row>
    <row r="337" spans="1:19" x14ac:dyDescent="0.2">
      <c r="A337" s="398" t="str">
        <v>Pro98-6G Green</v>
      </c>
      <c r="C337" s="637" t="s">
        <v>183</v>
      </c>
      <c r="D337" s="637"/>
      <c r="F337" s="637" t="s">
        <v>183</v>
      </c>
      <c r="G337" s="637"/>
      <c r="I337" s="640" t="s">
        <v>183</v>
      </c>
      <c r="J337" s="640"/>
      <c r="L337" s="640" t="s">
        <v>183</v>
      </c>
      <c r="M337" s="640"/>
      <c r="O337" s="643" t="str">
        <f>A233</f>
        <v>p29-3G 125G131</v>
      </c>
      <c r="P337" s="644"/>
      <c r="R337" s="645" t="str">
        <f>A294</f>
        <v>Pro98-6G Green</v>
      </c>
      <c r="S337" s="645"/>
    </row>
    <row r="338" spans="1:19" x14ac:dyDescent="0.2">
      <c r="A338" s="398" t="str">
        <v>Pro98-3G WT</v>
      </c>
      <c r="C338" s="637" t="s">
        <v>183</v>
      </c>
      <c r="D338" s="637"/>
      <c r="F338" s="637" t="s">
        <v>183</v>
      </c>
      <c r="G338" s="637"/>
      <c r="I338" s="640" t="s">
        <v>183</v>
      </c>
      <c r="J338" s="640"/>
      <c r="L338" s="640" t="s">
        <v>183</v>
      </c>
      <c r="M338" s="640"/>
      <c r="O338" s="643" t="str">
        <f>A248</f>
        <v>p38-1G 128G185</v>
      </c>
      <c r="P338" s="644"/>
      <c r="R338" s="645" t="str">
        <f>A299</f>
        <v>Pro98-3G WT</v>
      </c>
      <c r="S338" s="645"/>
    </row>
    <row r="339" spans="1:19" x14ac:dyDescent="0.2">
      <c r="A339" s="398" t="str">
        <v>Aucun (2e ét. inerte)</v>
      </c>
      <c r="C339" s="637" t="s">
        <v>183</v>
      </c>
      <c r="D339" s="637"/>
      <c r="F339" s="637" t="s">
        <v>183</v>
      </c>
      <c r="G339" s="637"/>
      <c r="I339" s="640" t="s">
        <v>183</v>
      </c>
      <c r="J339" s="640"/>
      <c r="L339" s="640" t="s">
        <v>183</v>
      </c>
      <c r="M339" s="640"/>
      <c r="O339" s="643" t="str">
        <f>A243</f>
        <v>p38-1G 137G58</v>
      </c>
      <c r="P339" s="644"/>
      <c r="R339" s="645" t="str">
        <f>A309</f>
        <v>Aucun (2e ét. inerte)</v>
      </c>
      <c r="S339" s="645"/>
    </row>
    <row r="340" spans="1:19" x14ac:dyDescent="0.2">
      <c r="A340" s="398" t="str">
        <v xml:space="preserve"> </v>
      </c>
      <c r="C340" s="637" t="s">
        <v>183</v>
      </c>
      <c r="D340" s="637"/>
      <c r="F340" s="637" t="s">
        <v>183</v>
      </c>
      <c r="G340" s="637"/>
      <c r="I340" s="640" t="s">
        <v>183</v>
      </c>
      <c r="J340" s="640"/>
      <c r="L340" s="640" t="s">
        <v>183</v>
      </c>
      <c r="M340" s="640"/>
      <c r="O340" s="643" t="str">
        <f>A253</f>
        <v>p38-1G 141G78</v>
      </c>
      <c r="P340" s="644"/>
      <c r="R340" s="640" t="s">
        <v>183</v>
      </c>
      <c r="S340" s="640"/>
    </row>
    <row r="341" spans="1:19" x14ac:dyDescent="0.2">
      <c r="A341" s="398" t="str">
        <v xml:space="preserve"> </v>
      </c>
      <c r="C341" s="637" t="s">
        <v>183</v>
      </c>
      <c r="D341" s="637"/>
      <c r="F341" s="637" t="s">
        <v>183</v>
      </c>
      <c r="G341" s="637"/>
      <c r="I341" s="637" t="s">
        <v>183</v>
      </c>
      <c r="J341" s="637"/>
      <c r="L341" s="640" t="s">
        <v>183</v>
      </c>
      <c r="M341" s="640"/>
      <c r="O341" s="643" t="str">
        <f>A193</f>
        <v>p24-6G 140G145 PK</v>
      </c>
      <c r="P341" s="644"/>
      <c r="R341" s="637" t="s">
        <v>183</v>
      </c>
      <c r="S341" s="637"/>
    </row>
    <row r="342" spans="1:19" x14ac:dyDescent="0.2">
      <c r="A342" s="398" t="str">
        <v xml:space="preserve"> </v>
      </c>
      <c r="C342" s="637" t="s">
        <v>183</v>
      </c>
      <c r="D342" s="637"/>
      <c r="F342" s="637" t="s">
        <v>183</v>
      </c>
      <c r="G342" s="637"/>
      <c r="I342" s="637" t="s">
        <v>183</v>
      </c>
      <c r="J342" s="637"/>
      <c r="L342" s="640" t="s">
        <v>183</v>
      </c>
      <c r="M342" s="640"/>
      <c r="O342" s="643" t="str">
        <f>A198</f>
        <v>Pandora (Pro24-6G BS)</v>
      </c>
      <c r="P342" s="644"/>
      <c r="R342" s="637" t="s">
        <v>183</v>
      </c>
      <c r="S342" s="637"/>
    </row>
    <row r="343" spans="1:19" x14ac:dyDescent="0.2">
      <c r="A343" s="398" t="str">
        <v xml:space="preserve"> </v>
      </c>
      <c r="C343" s="637" t="s">
        <v>183</v>
      </c>
      <c r="D343" s="637"/>
      <c r="F343" s="637" t="s">
        <v>183</v>
      </c>
      <c r="G343" s="637"/>
      <c r="I343" s="637" t="s">
        <v>183</v>
      </c>
      <c r="J343" s="637"/>
      <c r="L343" s="637" t="s">
        <v>183</v>
      </c>
      <c r="M343" s="637"/>
      <c r="O343" s="641" t="str">
        <f>A203</f>
        <v>p24-6G 142G117 WT</v>
      </c>
      <c r="P343" s="642"/>
      <c r="R343" s="637" t="s">
        <v>183</v>
      </c>
      <c r="S343" s="637"/>
    </row>
    <row r="344" spans="1:19" x14ac:dyDescent="0.2">
      <c r="A344" s="398" t="str">
        <v xml:space="preserve"> </v>
      </c>
      <c r="C344" s="637" t="s">
        <v>183</v>
      </c>
      <c r="D344" s="637"/>
      <c r="F344" s="637" t="s">
        <v>183</v>
      </c>
      <c r="G344" s="637"/>
      <c r="I344" s="637" t="s">
        <v>183</v>
      </c>
      <c r="J344" s="637"/>
      <c r="L344" s="637" t="s">
        <v>183</v>
      </c>
      <c r="M344" s="637"/>
      <c r="O344" s="641" t="str">
        <f>A208</f>
        <v>p24-6G 139G107 DT</v>
      </c>
      <c r="P344" s="642"/>
      <c r="R344" s="637" t="s">
        <v>183</v>
      </c>
      <c r="S344" s="637"/>
    </row>
    <row r="345" spans="1:19" x14ac:dyDescent="0.2">
      <c r="A345" s="398" t="str">
        <v xml:space="preserve"> </v>
      </c>
      <c r="C345" s="637" t="s">
        <v>183</v>
      </c>
      <c r="D345" s="637"/>
      <c r="F345" s="637" t="s">
        <v>183</v>
      </c>
      <c r="G345" s="637"/>
      <c r="I345" s="637" t="s">
        <v>183</v>
      </c>
      <c r="J345" s="637"/>
      <c r="L345" s="637" t="s">
        <v>183</v>
      </c>
      <c r="M345" s="637"/>
      <c r="O345" s="641" t="str">
        <f>A263</f>
        <v>Cariacou</v>
      </c>
      <c r="P345" s="642"/>
      <c r="R345" s="637" t="s">
        <v>183</v>
      </c>
      <c r="S345" s="637"/>
    </row>
    <row r="346" spans="1:19" x14ac:dyDescent="0.2">
      <c r="A346" s="473" t="str">
        <v xml:space="preserve"> </v>
      </c>
      <c r="C346" s="637" t="s">
        <v>183</v>
      </c>
      <c r="D346" s="637"/>
      <c r="F346" s="637" t="s">
        <v>183</v>
      </c>
      <c r="G346" s="637"/>
      <c r="I346" s="637" t="s">
        <v>183</v>
      </c>
      <c r="J346" s="637"/>
      <c r="L346" s="637" t="s">
        <v>183</v>
      </c>
      <c r="M346" s="637"/>
      <c r="O346" s="638" t="str">
        <f>A258</f>
        <v>Wapiti</v>
      </c>
      <c r="P346" s="639"/>
      <c r="R346" s="637" t="s">
        <v>183</v>
      </c>
      <c r="S346" s="637"/>
    </row>
  </sheetData>
  <sheetProtection algorithmName="SHA-512" hashValue="TT52kldpbNfsZI03mY8g5TIIsjEeL9Q9TBJMBYh4cROlVUm3NqAv8usVb5XJtvE8tyHIClwYMgtE2emaKO5x7A==" saltValue="IfNq7E35bfDyzUo3UGtZTg==" spinCount="100000" sheet="1" objects="1" scenarios="1"/>
  <dataConsolidate/>
  <mergeCells count="186">
    <mergeCell ref="C333:D333"/>
    <mergeCell ref="L343:M343"/>
    <mergeCell ref="L344:M344"/>
    <mergeCell ref="F338:G338"/>
    <mergeCell ref="C341:D341"/>
    <mergeCell ref="C342:D342"/>
    <mergeCell ref="C343:D343"/>
    <mergeCell ref="I342:J342"/>
    <mergeCell ref="I343:J343"/>
    <mergeCell ref="L341:M341"/>
    <mergeCell ref="L342:M342"/>
    <mergeCell ref="C344:D344"/>
    <mergeCell ref="L338:M338"/>
    <mergeCell ref="F333:G333"/>
    <mergeCell ref="L335:M335"/>
    <mergeCell ref="L336:M336"/>
    <mergeCell ref="I333:J333"/>
    <mergeCell ref="I334:J334"/>
    <mergeCell ref="L339:M339"/>
    <mergeCell ref="L340:M340"/>
    <mergeCell ref="I340:J340"/>
    <mergeCell ref="I339:J339"/>
    <mergeCell ref="F334:G334"/>
    <mergeCell ref="F335:G335"/>
    <mergeCell ref="C345:D345"/>
    <mergeCell ref="C346:D346"/>
    <mergeCell ref="C335:D335"/>
    <mergeCell ref="C336:D336"/>
    <mergeCell ref="C337:D337"/>
    <mergeCell ref="C338:D338"/>
    <mergeCell ref="C339:D339"/>
    <mergeCell ref="C340:D340"/>
    <mergeCell ref="C334:D334"/>
    <mergeCell ref="R316:S316"/>
    <mergeCell ref="R317:S317"/>
    <mergeCell ref="R318:S318"/>
    <mergeCell ref="R319:S319"/>
    <mergeCell ref="R320:S320"/>
    <mergeCell ref="C328:D328"/>
    <mergeCell ref="O328:P328"/>
    <mergeCell ref="R327:S327"/>
    <mergeCell ref="R326:S326"/>
    <mergeCell ref="C321:D321"/>
    <mergeCell ref="O321:P321"/>
    <mergeCell ref="R321:S321"/>
    <mergeCell ref="R325:S325"/>
    <mergeCell ref="R324:S324"/>
    <mergeCell ref="R323:S323"/>
    <mergeCell ref="I321:J321"/>
    <mergeCell ref="I322:J322"/>
    <mergeCell ref="I323:J323"/>
    <mergeCell ref="I324:J324"/>
    <mergeCell ref="I325:J325"/>
    <mergeCell ref="I326:J326"/>
    <mergeCell ref="I327:J327"/>
    <mergeCell ref="L323:M323"/>
    <mergeCell ref="L324:M324"/>
    <mergeCell ref="L317:M317"/>
    <mergeCell ref="C332:D332"/>
    <mergeCell ref="R322:S322"/>
    <mergeCell ref="R328:S328"/>
    <mergeCell ref="R332:S332"/>
    <mergeCell ref="F328:G328"/>
    <mergeCell ref="F322:G322"/>
    <mergeCell ref="O326:P326"/>
    <mergeCell ref="F323:G323"/>
    <mergeCell ref="O331:P331"/>
    <mergeCell ref="R330:S330"/>
    <mergeCell ref="R329:S329"/>
    <mergeCell ref="O329:P329"/>
    <mergeCell ref="R331:S331"/>
    <mergeCell ref="L331:M331"/>
    <mergeCell ref="L332:M332"/>
    <mergeCell ref="L329:M329"/>
    <mergeCell ref="L330:M330"/>
    <mergeCell ref="L325:M325"/>
    <mergeCell ref="C329:D329"/>
    <mergeCell ref="C330:D330"/>
    <mergeCell ref="I332:J332"/>
    <mergeCell ref="C331:D331"/>
    <mergeCell ref="F325:G325"/>
    <mergeCell ref="L316:M316"/>
    <mergeCell ref="C327:D327"/>
    <mergeCell ref="C326:D326"/>
    <mergeCell ref="C325:D325"/>
    <mergeCell ref="C324:D324"/>
    <mergeCell ref="C323:D323"/>
    <mergeCell ref="C322:D322"/>
    <mergeCell ref="O316:P316"/>
    <mergeCell ref="F318:G318"/>
    <mergeCell ref="F317:G317"/>
    <mergeCell ref="O318:P318"/>
    <mergeCell ref="O317:P317"/>
    <mergeCell ref="L318:M318"/>
    <mergeCell ref="C316:D316"/>
    <mergeCell ref="C317:D317"/>
    <mergeCell ref="C318:D318"/>
    <mergeCell ref="C319:D319"/>
    <mergeCell ref="C320:D320"/>
    <mergeCell ref="F316:G316"/>
    <mergeCell ref="L320:M320"/>
    <mergeCell ref="I316:J316"/>
    <mergeCell ref="I317:J317"/>
    <mergeCell ref="I318:J318"/>
    <mergeCell ref="I319:J319"/>
    <mergeCell ref="F331:G331"/>
    <mergeCell ref="F324:G324"/>
    <mergeCell ref="F321:G321"/>
    <mergeCell ref="F320:G320"/>
    <mergeCell ref="O323:P323"/>
    <mergeCell ref="O320:P320"/>
    <mergeCell ref="O319:P319"/>
    <mergeCell ref="O324:P324"/>
    <mergeCell ref="F319:G319"/>
    <mergeCell ref="O322:P322"/>
    <mergeCell ref="I320:J320"/>
    <mergeCell ref="L319:M319"/>
    <mergeCell ref="L326:M326"/>
    <mergeCell ref="L327:M327"/>
    <mergeCell ref="L321:M321"/>
    <mergeCell ref="L322:M322"/>
    <mergeCell ref="O325:P325"/>
    <mergeCell ref="O330:P330"/>
    <mergeCell ref="F327:G327"/>
    <mergeCell ref="F326:G326"/>
    <mergeCell ref="F336:G336"/>
    <mergeCell ref="F337:G337"/>
    <mergeCell ref="O327:P327"/>
    <mergeCell ref="O333:P333"/>
    <mergeCell ref="L328:M328"/>
    <mergeCell ref="I336:J336"/>
    <mergeCell ref="O332:P332"/>
    <mergeCell ref="L333:M333"/>
    <mergeCell ref="I341:J341"/>
    <mergeCell ref="O337:P337"/>
    <mergeCell ref="F339:G339"/>
    <mergeCell ref="F340:G340"/>
    <mergeCell ref="O338:P338"/>
    <mergeCell ref="O336:P336"/>
    <mergeCell ref="I328:J328"/>
    <mergeCell ref="I329:J329"/>
    <mergeCell ref="I330:J330"/>
    <mergeCell ref="I331:J331"/>
    <mergeCell ref="I335:J335"/>
    <mergeCell ref="L337:M337"/>
    <mergeCell ref="O341:P341"/>
    <mergeCell ref="L334:M334"/>
    <mergeCell ref="F329:G329"/>
    <mergeCell ref="F330:G330"/>
    <mergeCell ref="R340:S340"/>
    <mergeCell ref="R341:S341"/>
    <mergeCell ref="R343:S343"/>
    <mergeCell ref="R344:S344"/>
    <mergeCell ref="R345:S345"/>
    <mergeCell ref="O345:P345"/>
    <mergeCell ref="O340:P340"/>
    <mergeCell ref="R339:S339"/>
    <mergeCell ref="F332:G332"/>
    <mergeCell ref="O343:P343"/>
    <mergeCell ref="R338:S338"/>
    <mergeCell ref="R336:S336"/>
    <mergeCell ref="R337:S337"/>
    <mergeCell ref="R334:S334"/>
    <mergeCell ref="F341:G341"/>
    <mergeCell ref="O342:P342"/>
    <mergeCell ref="O335:P335"/>
    <mergeCell ref="O334:P334"/>
    <mergeCell ref="O339:P339"/>
    <mergeCell ref="O344:P344"/>
    <mergeCell ref="R335:S335"/>
    <mergeCell ref="R333:S333"/>
    <mergeCell ref="I337:J337"/>
    <mergeCell ref="I338:J338"/>
    <mergeCell ref="R346:S346"/>
    <mergeCell ref="R342:S342"/>
    <mergeCell ref="F342:G342"/>
    <mergeCell ref="F343:G343"/>
    <mergeCell ref="F344:G344"/>
    <mergeCell ref="F345:G345"/>
    <mergeCell ref="F346:G346"/>
    <mergeCell ref="O346:P346"/>
    <mergeCell ref="L345:M345"/>
    <mergeCell ref="L346:M346"/>
    <mergeCell ref="I344:J344"/>
    <mergeCell ref="I346:J346"/>
    <mergeCell ref="I345:J345"/>
  </mergeCells>
  <phoneticPr fontId="8" type="noConversion"/>
  <pageMargins left="0.39370078740157483" right="0.39370078740157483" top="0.39370078740157483" bottom="0.39370078740157483" header="0" footer="0"/>
  <pageSetup scale="44" firstPageNumber="0" fitToHeight="3" orientation="landscape" horizontalDpi="300" verticalDpi="300" r:id="rId1"/>
  <headerFooter alignWithMargins="0"/>
  <ignoredErrors>
    <ignoredError sqref="S318 C317:D324 F317:G321 O322:P339 O342:P342 R334:S339 O340:O341 O317:P319 O320:P321 P341 M324 S317" unlockedFormula="1"/>
  </ignoredError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4">
    <pageSetUpPr fitToPage="1"/>
  </sheetPr>
  <dimension ref="A1:IN1075"/>
  <sheetViews>
    <sheetView showGridLines="0" workbookViewId="0">
      <pane xSplit="3" ySplit="7" topLeftCell="D8" activePane="bottomRight" state="frozen"/>
      <selection pane="topRight" activeCell="D1" sqref="D1"/>
      <selection pane="bottomLeft" activeCell="A8" sqref="A8"/>
      <selection pane="bottomRight" activeCell="K2" sqref="K1:K1048576"/>
    </sheetView>
  </sheetViews>
  <sheetFormatPr baseColWidth="10" defaultColWidth="11.5703125" defaultRowHeight="12.75" x14ac:dyDescent="0.2"/>
  <cols>
    <col min="1" max="1" width="4.5703125" style="7" bestFit="1" customWidth="1"/>
    <col min="2" max="2" width="6" style="7" bestFit="1" customWidth="1"/>
    <col min="3" max="3" width="1.42578125" style="8" customWidth="1"/>
    <col min="4" max="4" width="7.140625" style="7" customWidth="1"/>
    <col min="5" max="6" width="7.42578125" style="7" customWidth="1"/>
    <col min="7" max="7" width="7.140625" style="7" customWidth="1"/>
    <col min="8" max="8" width="7.42578125" style="7" customWidth="1"/>
    <col min="9" max="9" width="7.140625" style="7" customWidth="1"/>
    <col min="10" max="12" width="7.5703125" style="7" bestFit="1" customWidth="1"/>
    <col min="13" max="13" width="5.85546875" style="7" customWidth="1"/>
    <col min="14" max="14" width="6.42578125" style="7" customWidth="1"/>
    <col min="15" max="15" width="1.42578125" style="8" customWidth="1"/>
    <col min="16" max="16" width="4" style="7" customWidth="1"/>
    <col min="17" max="17" width="8.5703125" style="7" customWidth="1"/>
    <col min="18" max="18" width="5.85546875" style="7" customWidth="1"/>
    <col min="19" max="19" width="5.140625" style="7" customWidth="1"/>
    <col min="20" max="20" width="6" style="7" customWidth="1"/>
    <col min="21" max="21" width="8.85546875" style="7" customWidth="1"/>
    <col min="22" max="22" width="6.85546875" style="7" customWidth="1"/>
    <col min="23" max="23" width="7.140625" style="7" customWidth="1"/>
    <col min="24" max="24" width="1.42578125" style="8" customWidth="1"/>
    <col min="25" max="25" width="15.85546875" style="7" customWidth="1"/>
    <col min="26" max="26" width="5.85546875" style="7" customWidth="1"/>
    <col min="27" max="27" width="7.85546875" style="7" customWidth="1"/>
    <col min="28" max="28" width="1.5703125" style="7" customWidth="1"/>
    <col min="29" max="29" width="7.140625" style="7" bestFit="1" customWidth="1"/>
    <col min="30" max="31" width="6.85546875" style="7" bestFit="1" customWidth="1"/>
    <col min="32" max="32" width="1.85546875" style="7" customWidth="1"/>
    <col min="33" max="238" width="11.42578125" style="7" customWidth="1"/>
    <col min="239" max="239" width="11" style="7" customWidth="1"/>
  </cols>
  <sheetData>
    <row r="1" spans="1:248" ht="13.5" thickBot="1" x14ac:dyDescent="0.25">
      <c r="D1" s="654" t="s">
        <v>265</v>
      </c>
      <c r="E1" s="655"/>
      <c r="F1" s="655"/>
      <c r="G1" s="655"/>
      <c r="H1" s="655"/>
      <c r="I1" s="655"/>
      <c r="J1" s="655"/>
      <c r="K1" s="655"/>
      <c r="L1" s="655"/>
      <c r="M1" s="655"/>
      <c r="N1" s="656"/>
      <c r="P1" s="654" t="s">
        <v>17</v>
      </c>
      <c r="Q1" s="655"/>
      <c r="R1" s="655"/>
      <c r="S1" s="655"/>
      <c r="T1" s="655"/>
      <c r="U1" s="655"/>
      <c r="V1" s="655"/>
      <c r="W1" s="656"/>
      <c r="Y1" s="9"/>
      <c r="Z1" s="9"/>
      <c r="AA1" s="9"/>
      <c r="AC1" s="661" t="s">
        <v>185</v>
      </c>
      <c r="AD1" s="661"/>
      <c r="AE1" s="661"/>
      <c r="AG1" s="657" t="s">
        <v>18</v>
      </c>
      <c r="AH1" s="657"/>
    </row>
    <row r="2" spans="1:248" s="12" customFormat="1" x14ac:dyDescent="0.2">
      <c r="A2" s="330" t="s">
        <v>19</v>
      </c>
      <c r="B2" s="331" t="s">
        <v>2</v>
      </c>
      <c r="C2" s="10"/>
      <c r="D2" s="334" t="s">
        <v>192</v>
      </c>
      <c r="E2" s="335" t="s">
        <v>193</v>
      </c>
      <c r="F2" s="331" t="s">
        <v>194</v>
      </c>
      <c r="G2" s="334" t="s">
        <v>189</v>
      </c>
      <c r="H2" s="335" t="s">
        <v>190</v>
      </c>
      <c r="I2" s="331" t="s">
        <v>191</v>
      </c>
      <c r="J2" s="334" t="s">
        <v>186</v>
      </c>
      <c r="K2" s="335" t="s">
        <v>187</v>
      </c>
      <c r="L2" s="331" t="s">
        <v>188</v>
      </c>
      <c r="M2" s="330" t="s">
        <v>20</v>
      </c>
      <c r="N2" s="331" t="s">
        <v>21</v>
      </c>
      <c r="O2" s="10"/>
      <c r="P2" s="330" t="s">
        <v>26</v>
      </c>
      <c r="Q2" s="331" t="s">
        <v>25</v>
      </c>
      <c r="R2" s="330" t="s">
        <v>22</v>
      </c>
      <c r="S2" s="335" t="s">
        <v>38</v>
      </c>
      <c r="T2" s="331" t="s">
        <v>27</v>
      </c>
      <c r="U2" s="338" t="s">
        <v>28</v>
      </c>
      <c r="V2" s="330" t="s">
        <v>24</v>
      </c>
      <c r="W2" s="331" t="s">
        <v>23</v>
      </c>
      <c r="X2" s="11"/>
      <c r="Y2" s="658" t="s">
        <v>184</v>
      </c>
      <c r="Z2" s="659"/>
      <c r="AA2" s="660"/>
      <c r="AC2" s="330" t="s">
        <v>11</v>
      </c>
      <c r="AD2" s="335" t="s">
        <v>3</v>
      </c>
      <c r="AE2" s="331" t="s">
        <v>29</v>
      </c>
      <c r="AG2" s="345" t="s">
        <v>31</v>
      </c>
      <c r="AH2" s="346" t="s">
        <v>30</v>
      </c>
      <c r="IF2"/>
      <c r="IG2"/>
      <c r="IH2"/>
      <c r="II2"/>
      <c r="IJ2"/>
      <c r="IK2"/>
      <c r="IL2"/>
      <c r="IM2"/>
      <c r="IN2"/>
    </row>
    <row r="3" spans="1:248" s="12" customFormat="1" x14ac:dyDescent="0.2">
      <c r="A3" s="332" t="s">
        <v>153</v>
      </c>
      <c r="B3" s="333" t="s">
        <v>153</v>
      </c>
      <c r="C3" s="10"/>
      <c r="D3" s="336" t="s">
        <v>7</v>
      </c>
      <c r="E3" s="337" t="s">
        <v>7</v>
      </c>
      <c r="F3" s="333" t="s">
        <v>7</v>
      </c>
      <c r="G3" s="336" t="s">
        <v>154</v>
      </c>
      <c r="H3" s="337" t="s">
        <v>154</v>
      </c>
      <c r="I3" s="333" t="s">
        <v>154</v>
      </c>
      <c r="J3" s="336" t="s">
        <v>38</v>
      </c>
      <c r="K3" s="337" t="s">
        <v>38</v>
      </c>
      <c r="L3" s="333" t="s">
        <v>38</v>
      </c>
      <c r="M3" s="332" t="s">
        <v>243</v>
      </c>
      <c r="N3" s="333" t="s">
        <v>155</v>
      </c>
      <c r="O3" s="10"/>
      <c r="P3" s="336" t="s">
        <v>14</v>
      </c>
      <c r="Q3" s="339" t="s">
        <v>226</v>
      </c>
      <c r="R3" s="336" t="s">
        <v>244</v>
      </c>
      <c r="S3" s="340" t="s">
        <v>227</v>
      </c>
      <c r="T3" s="339" t="s">
        <v>226</v>
      </c>
      <c r="U3" s="341" t="s">
        <v>226</v>
      </c>
      <c r="V3" s="336" t="s">
        <v>8</v>
      </c>
      <c r="W3" s="339" t="s">
        <v>226</v>
      </c>
      <c r="X3" s="11"/>
      <c r="Y3" s="342"/>
      <c r="Z3" s="343"/>
      <c r="AA3" s="344"/>
      <c r="AC3" s="336" t="s">
        <v>153</v>
      </c>
      <c r="AD3" s="340" t="s">
        <v>38</v>
      </c>
      <c r="AE3" s="339" t="s">
        <v>38</v>
      </c>
      <c r="AG3" s="342" t="s">
        <v>7</v>
      </c>
      <c r="AH3" s="339" t="s">
        <v>7</v>
      </c>
      <c r="IF3"/>
      <c r="IG3"/>
      <c r="IH3"/>
      <c r="II3"/>
      <c r="IJ3"/>
      <c r="IK3"/>
      <c r="IL3"/>
      <c r="IM3"/>
      <c r="IN3"/>
    </row>
    <row r="4" spans="1:248" x14ac:dyDescent="0.2">
      <c r="A4" s="292" t="s">
        <v>14</v>
      </c>
      <c r="B4" s="349">
        <f>T_ini</f>
        <v>0</v>
      </c>
      <c r="D4" s="292" t="s">
        <v>14</v>
      </c>
      <c r="E4" s="293" t="s">
        <v>14</v>
      </c>
      <c r="F4" s="294" t="s">
        <v>14</v>
      </c>
      <c r="G4" s="292">
        <f>vit_xz*COS(Beta)</f>
        <v>0</v>
      </c>
      <c r="H4" s="293">
        <f>vit_xz*SIN(Beta)</f>
        <v>0</v>
      </c>
      <c r="I4" s="349">
        <f>V_ini</f>
        <v>0</v>
      </c>
      <c r="J4" s="350">
        <f>X_ini</f>
        <v>0</v>
      </c>
      <c r="K4" s="351">
        <f>Z_ini</f>
        <v>0</v>
      </c>
      <c r="L4" s="327">
        <f t="shared" ref="L4:L67" si="0">SQRT(pos_x^2+pos_z^2)</f>
        <v>0</v>
      </c>
      <c r="M4" s="292">
        <f>RADIANS(N4)</f>
        <v>1.3962634015954636</v>
      </c>
      <c r="N4" s="349">
        <f>Beta_rampe</f>
        <v>80</v>
      </c>
      <c r="P4" s="292" t="s">
        <v>14</v>
      </c>
      <c r="Q4" s="294" t="s">
        <v>14</v>
      </c>
      <c r="R4" s="292" t="s">
        <v>14</v>
      </c>
      <c r="S4" s="351">
        <f ca="1">m_tot</f>
        <v>8.1319999999999997</v>
      </c>
      <c r="T4" s="327">
        <f t="shared" ref="T4:T67" ca="1" si="1">m*g</f>
        <v>79.774919999999995</v>
      </c>
      <c r="U4" s="328">
        <f t="shared" ref="U4:U67" ca="1" si="2">IF(pos_xz&lt;L_rampe,Poids*COS(Beta),0)</f>
        <v>13.85276948152516</v>
      </c>
      <c r="V4" s="329">
        <f t="shared" ref="V4:V67" si="3">Rho_moyen*(20000-Alt_rampe-pos_z)/(20000+Alt_rampe+pos_z)</f>
        <v>1.2250000000000001</v>
      </c>
      <c r="W4" s="327">
        <f t="shared" ref="W4:W67" si="4">1/2*Rho*Sref*Cx*vit_xz^2</f>
        <v>0</v>
      </c>
      <c r="Y4" s="295" t="s">
        <v>14</v>
      </c>
      <c r="Z4" s="296" t="s">
        <v>14</v>
      </c>
      <c r="AA4" s="297" t="s">
        <v>14</v>
      </c>
      <c r="AC4" s="320">
        <f>IF(ABS(t-ROUND(t,0))&lt;0.001,t,-1)</f>
        <v>0</v>
      </c>
      <c r="AD4" s="321">
        <f>IF(ABS(t-ROUND(t,0))&lt;0.001,pos_x,-1)</f>
        <v>0</v>
      </c>
      <c r="AE4" s="322">
        <f t="shared" ref="AE4:AE67" si="5">IF(t&lt;T_para, pos_z, NA())</f>
        <v>0</v>
      </c>
      <c r="AG4" s="292" t="s">
        <v>14</v>
      </c>
      <c r="AH4" s="294" t="s">
        <v>14</v>
      </c>
    </row>
    <row r="5" spans="1:248" x14ac:dyDescent="0.2">
      <c r="A5" s="347">
        <f t="shared" ref="A5:A68" ca="1" si="6">IF(B4+0.01&lt;=T_ini+ROUNDUP(Temps_fin_propu,0), 0.01, IF(K4&gt;0, 0.1, 0.0001))</f>
        <v>0.01</v>
      </c>
      <c r="B5" s="304">
        <f t="shared" ref="B5:B68" ca="1" si="7">B4+pas</f>
        <v>0.01</v>
      </c>
      <c r="D5" s="306">
        <f t="shared" ref="D5:D68" ca="1" si="8">IF(AND(L4&lt;L_rampe,Poussee&lt;Poids*SIN(M4)),0,(-W4+Poussee)/m*COS(M4)-U4/m*SIN(M4))</f>
        <v>3.5785995312995871</v>
      </c>
      <c r="E5" s="307">
        <f t="shared" ref="E5:E68" ca="1" si="9">IF(AND(L4&lt;L_rampe,Poussee&lt;Poids*SIN(M4)),0,(-W4+Poussee)/m*SIN(M4)+U4/m*COS(M4)-Poids/m)</f>
        <v>20.296705797150381</v>
      </c>
      <c r="F5" s="304">
        <f t="shared" ref="F5:F68" ca="1" si="10">SQRT(acc_x^2+acc_z^2)</f>
        <v>20.609770518409356</v>
      </c>
      <c r="G5" s="306">
        <f t="shared" ref="G5:G68" ca="1" si="11">G4+acc_x*pas</f>
        <v>3.5785995312995873E-2</v>
      </c>
      <c r="H5" s="307">
        <f t="shared" ref="H5:H68" ca="1" si="12">H4+acc_z*pas</f>
        <v>0.2029670579715038</v>
      </c>
      <c r="I5" s="304">
        <f t="shared" ref="I5:I68" ca="1" si="13">SQRT(vit_x^2+vit_z^2)</f>
        <v>0.20609770518409357</v>
      </c>
      <c r="J5" s="306">
        <f t="shared" ref="J5:J68" ca="1" si="14">J4+0.5*(vit_x+G4)*pas*(K4&gt;=0)</f>
        <v>1.7892997656497936E-4</v>
      </c>
      <c r="K5" s="307">
        <f t="shared" ref="K5:K68" ca="1" si="15">K4+0.5*(vit_z+H4)*pas</f>
        <v>1.014835289857519E-3</v>
      </c>
      <c r="L5" s="304">
        <f t="shared" ca="1" si="0"/>
        <v>1.0304885259204677E-3</v>
      </c>
      <c r="M5" s="306">
        <f t="shared" ref="M5:M68" ca="1" si="16">IF(AND(L4&gt;L_rampe,G5&gt;0),ATAN2(G5,H5),$M$4)</f>
        <v>1.3962634015954636</v>
      </c>
      <c r="N5" s="304">
        <f t="shared" ref="N5:N68" ca="1" si="17">DEGREES(Beta)</f>
        <v>80</v>
      </c>
      <c r="P5" s="310">
        <f t="shared" ref="P5:P68" ca="1" si="18">MATCH(t-pas/2-T_ini,CdP_t)</f>
        <v>1</v>
      </c>
      <c r="Q5" s="304">
        <f t="shared" ref="Q5:Q68" ca="1" si="19">(INDEX(CdP,2,i_P+1)-INDEX(CdP,2,i_P+0))/(INDEX(CdP,1,i_P+1)-INDEX(CdP,1,i_P+0))*(t-pas/2-T_ini-INDEX(CdP,1,i_P+0))+INDEX(CdP,2,i_P+0)</f>
        <v>246.125</v>
      </c>
      <c r="R5" s="306">
        <f t="shared" ref="R5:R68" ca="1" si="20">Poussee/(g*ISP)</f>
        <v>0.12095363881938478</v>
      </c>
      <c r="S5" s="307">
        <f t="shared" ref="S5:S68" ca="1" si="21">S4-Débit*pas</f>
        <v>8.130790463611806</v>
      </c>
      <c r="T5" s="304">
        <f t="shared" ca="1" si="1"/>
        <v>79.763054448031824</v>
      </c>
      <c r="U5" s="311">
        <f t="shared" ca="1" si="2"/>
        <v>13.850709050048874</v>
      </c>
      <c r="V5" s="306">
        <f t="shared" ca="1" si="3"/>
        <v>1.2249998756826834</v>
      </c>
      <c r="W5" s="304">
        <f t="shared" ca="1" si="4"/>
        <v>1.3580375881029031E-4</v>
      </c>
      <c r="Y5" s="314" t="str">
        <f t="shared" ref="Y5:Y68" ca="1" si="22">IF(AND(pos_z&lt;=0,K4&gt;0),"Impact balistique","") &amp; IF(AND(H6&lt;0,vit_z&gt;=0),"Apogée","") &amp; IF(AND(Poussee=0,Q4&gt;0),"Fin de propulsion","") &amp; IF(AND(L6&gt;L_rampe,pos_xz&lt;=L_rampe),"Sortie de rampe","")</f>
        <v/>
      </c>
      <c r="Z5" s="315" t="str">
        <f t="shared" ref="Z5:Z68" ca="1" si="23">IF(ABS(t-T_para)&lt;pas/2,"Para","")</f>
        <v/>
      </c>
      <c r="AA5" s="316" t="str">
        <f t="shared" ref="AA5:AA68" ca="1" si="24">IF(ABS(t-T_satellite)&lt;pas/2,"Satellite","")</f>
        <v/>
      </c>
      <c r="AC5" s="310" t="e">
        <f t="shared" ref="AC5:AC68" ca="1" si="25">IF(ABS(t-ROUND(t,0))&lt;0.001,t,NA())</f>
        <v>#N/A</v>
      </c>
      <c r="AD5" s="323" t="e">
        <f t="shared" ref="AD5:AD68" ca="1" si="26">IF(ABS(t-ROUND(t,0))&lt;0.001,pos_x,NA())</f>
        <v>#N/A</v>
      </c>
      <c r="AE5" s="324">
        <f t="shared" ca="1" si="5"/>
        <v>1.014835289857519E-3</v>
      </c>
      <c r="AG5" s="306">
        <f t="shared" ref="AG5:AG68" ca="1" si="27">IF(AND(L4&lt;L_rampe,Poussee&lt;Poids*SIN(M4)),0,(-W4+Poussee)/m-Poids*SIN(M4)/m)</f>
        <v>20.60977051685143</v>
      </c>
      <c r="AH5" s="304">
        <f t="shared" ref="AH5:AH68" ca="1" si="28">IF(AND(L4&lt;L_rampe,Poussee&lt;Poids*SIN(M4)), g*SIN(M4), (-W4+Poussee)/m)</f>
        <v>30.270734573901191</v>
      </c>
    </row>
    <row r="6" spans="1:248" x14ac:dyDescent="0.2">
      <c r="A6" s="347">
        <f t="shared" ca="1" si="6"/>
        <v>0.01</v>
      </c>
      <c r="B6" s="304">
        <f t="shared" ca="1" si="7"/>
        <v>0.02</v>
      </c>
      <c r="D6" s="306">
        <f t="shared" ca="1" si="8"/>
        <v>18.212777774436546</v>
      </c>
      <c r="E6" s="307">
        <f t="shared" ca="1" si="9"/>
        <v>103.29531785188742</v>
      </c>
      <c r="F6" s="304">
        <f t="shared" ca="1" si="10"/>
        <v>104.88864554556638</v>
      </c>
      <c r="G6" s="306">
        <f t="shared" ca="1" si="11"/>
        <v>0.21791377305736134</v>
      </c>
      <c r="H6" s="307">
        <f t="shared" ca="1" si="12"/>
        <v>1.2359202364903779</v>
      </c>
      <c r="I6" s="304">
        <f t="shared" ca="1" si="13"/>
        <v>1.2549841606389009</v>
      </c>
      <c r="J6" s="306">
        <f t="shared" ca="1" si="14"/>
        <v>1.4474288184167655E-3</v>
      </c>
      <c r="K6" s="307">
        <f t="shared" ca="1" si="15"/>
        <v>8.2092717621669274E-3</v>
      </c>
      <c r="L6" s="304">
        <f t="shared" ca="1" si="0"/>
        <v>8.3358978550300538E-3</v>
      </c>
      <c r="M6" s="306">
        <f t="shared" ca="1" si="16"/>
        <v>1.3962634015954636</v>
      </c>
      <c r="N6" s="304">
        <f t="shared" ca="1" si="17"/>
        <v>80</v>
      </c>
      <c r="P6" s="310">
        <f t="shared" ca="1" si="18"/>
        <v>2</v>
      </c>
      <c r="Q6" s="304">
        <f t="shared" ca="1" si="19"/>
        <v>930.85500000000002</v>
      </c>
      <c r="R6" s="306">
        <f t="shared" ca="1" si="20"/>
        <v>0.45745169919032375</v>
      </c>
      <c r="S6" s="307">
        <f t="shared" ca="1" si="21"/>
        <v>8.1262159466199027</v>
      </c>
      <c r="T6" s="304">
        <f t="shared" ca="1" si="1"/>
        <v>79.718178436341248</v>
      </c>
      <c r="U6" s="311">
        <f t="shared" ca="1" si="2"/>
        <v>13.842916412397846</v>
      </c>
      <c r="V6" s="306">
        <f t="shared" ca="1" si="3"/>
        <v>1.2249989943646218</v>
      </c>
      <c r="W6" s="304">
        <f t="shared" ca="1" si="4"/>
        <v>5.0354890401197979E-3</v>
      </c>
      <c r="Y6" s="314" t="str">
        <f t="shared" ca="1" si="22"/>
        <v/>
      </c>
      <c r="Z6" s="315" t="str">
        <f t="shared" ca="1" si="23"/>
        <v/>
      </c>
      <c r="AA6" s="316" t="str">
        <f t="shared" ca="1" si="24"/>
        <v/>
      </c>
      <c r="AC6" s="310" t="e">
        <f t="shared" ca="1" si="25"/>
        <v>#N/A</v>
      </c>
      <c r="AD6" s="323" t="e">
        <f t="shared" ca="1" si="26"/>
        <v>#N/A</v>
      </c>
      <c r="AE6" s="324">
        <f t="shared" ca="1" si="5"/>
        <v>8.2092717621669274E-3</v>
      </c>
      <c r="AG6" s="306">
        <f t="shared" ca="1" si="27"/>
        <v>104.88864554118274</v>
      </c>
      <c r="AH6" s="304">
        <f t="shared" ca="1" si="28"/>
        <v>114.54960959823251</v>
      </c>
    </row>
    <row r="7" spans="1:248" x14ac:dyDescent="0.2">
      <c r="A7" s="347">
        <f t="shared" ca="1" si="6"/>
        <v>0.01</v>
      </c>
      <c r="B7" s="304">
        <f t="shared" ca="1" si="7"/>
        <v>0.03</v>
      </c>
      <c r="D7" s="306">
        <f t="shared" ca="1" si="8"/>
        <v>27.132943807808008</v>
      </c>
      <c r="E7" s="307">
        <f t="shared" ca="1" si="9"/>
        <v>153.8865699321621</v>
      </c>
      <c r="F7" s="304">
        <f t="shared" ca="1" si="10"/>
        <v>156.26027340678721</v>
      </c>
      <c r="G7" s="306">
        <f t="shared" ca="1" si="11"/>
        <v>0.48924321113544145</v>
      </c>
      <c r="H7" s="307">
        <f t="shared" ca="1" si="12"/>
        <v>2.7747859358119991</v>
      </c>
      <c r="I7" s="304">
        <f t="shared" ca="1" si="13"/>
        <v>2.8175868947065661</v>
      </c>
      <c r="J7" s="306">
        <f t="shared" ca="1" si="14"/>
        <v>4.9832137393807791E-3</v>
      </c>
      <c r="K7" s="307">
        <f t="shared" ca="1" si="15"/>
        <v>2.826280262367881E-2</v>
      </c>
      <c r="L7" s="304">
        <f t="shared" ca="1" si="0"/>
        <v>2.8698753131754334E-2</v>
      </c>
      <c r="M7" s="306">
        <f t="shared" ca="1" si="16"/>
        <v>1.3962634015954636</v>
      </c>
      <c r="N7" s="304">
        <f t="shared" ca="1" si="17"/>
        <v>80</v>
      </c>
      <c r="P7" s="310">
        <f t="shared" ca="1" si="18"/>
        <v>3</v>
      </c>
      <c r="Q7" s="304">
        <f t="shared" ca="1" si="19"/>
        <v>1347.2183333333335</v>
      </c>
      <c r="R7" s="306">
        <f t="shared" ca="1" si="20"/>
        <v>0.66206585962764264</v>
      </c>
      <c r="S7" s="307">
        <f t="shared" ca="1" si="21"/>
        <v>8.1195952880236266</v>
      </c>
      <c r="T7" s="304">
        <f t="shared" ca="1" si="1"/>
        <v>79.653229775511775</v>
      </c>
      <c r="U7" s="311">
        <f t="shared" ca="1" si="2"/>
        <v>13.831638195802901</v>
      </c>
      <c r="V7" s="306">
        <f t="shared" ca="1" si="3"/>
        <v>1.224996537811571</v>
      </c>
      <c r="W7" s="304">
        <f t="shared" ca="1" si="4"/>
        <v>2.538159629965938E-2</v>
      </c>
      <c r="Y7" s="314" t="str">
        <f t="shared" ca="1" si="22"/>
        <v/>
      </c>
      <c r="Z7" s="315" t="str">
        <f t="shared" ca="1" si="23"/>
        <v/>
      </c>
      <c r="AA7" s="316" t="str">
        <f t="shared" ca="1" si="24"/>
        <v/>
      </c>
      <c r="AC7" s="310" t="e">
        <f t="shared" ca="1" si="25"/>
        <v>#N/A</v>
      </c>
      <c r="AD7" s="323" t="e">
        <f t="shared" ca="1" si="26"/>
        <v>#N/A</v>
      </c>
      <c r="AE7" s="324">
        <f t="shared" ca="1" si="5"/>
        <v>2.826280262367881E-2</v>
      </c>
      <c r="AG7" s="306">
        <f t="shared" ca="1" si="27"/>
        <v>156.26027340061367</v>
      </c>
      <c r="AH7" s="304">
        <f t="shared" ca="1" si="28"/>
        <v>165.92123745766344</v>
      </c>
    </row>
    <row r="8" spans="1:248" x14ac:dyDescent="0.2">
      <c r="A8" s="347">
        <f t="shared" ca="1" si="6"/>
        <v>0.01</v>
      </c>
      <c r="B8" s="304">
        <f t="shared" ca="1" si="7"/>
        <v>0.04</v>
      </c>
      <c r="D8" s="306">
        <f t="shared" ca="1" si="8"/>
        <v>26.203202682880391</v>
      </c>
      <c r="E8" s="307">
        <f t="shared" ca="1" si="9"/>
        <v>148.61348798067229</v>
      </c>
      <c r="F8" s="304">
        <f t="shared" ca="1" si="10"/>
        <v>150.90585356645892</v>
      </c>
      <c r="G8" s="306">
        <f t="shared" ca="1" si="11"/>
        <v>0.75127523796424533</v>
      </c>
      <c r="H8" s="307">
        <f t="shared" ca="1" si="12"/>
        <v>4.2609208156187215</v>
      </c>
      <c r="I8" s="304">
        <f t="shared" ca="1" si="13"/>
        <v>4.3266454303711024</v>
      </c>
      <c r="J8" s="306">
        <f t="shared" ca="1" si="14"/>
        <v>1.1185805984879213E-2</v>
      </c>
      <c r="K8" s="307">
        <f t="shared" ca="1" si="15"/>
        <v>6.3441336380832408E-2</v>
      </c>
      <c r="L8" s="304">
        <f t="shared" ca="1" si="0"/>
        <v>6.4419914757140817E-2</v>
      </c>
      <c r="M8" s="306">
        <f t="shared" ca="1" si="16"/>
        <v>1.3962634015954636</v>
      </c>
      <c r="N8" s="304">
        <f t="shared" ca="1" si="17"/>
        <v>80</v>
      </c>
      <c r="P8" s="310">
        <f t="shared" ca="1" si="18"/>
        <v>3</v>
      </c>
      <c r="Q8" s="304">
        <f t="shared" ca="1" si="19"/>
        <v>1302.7349999999999</v>
      </c>
      <c r="R8" s="306">
        <f t="shared" ca="1" si="20"/>
        <v>0.64020533739917207</v>
      </c>
      <c r="S8" s="307">
        <f t="shared" ca="1" si="21"/>
        <v>8.1131932346496356</v>
      </c>
      <c r="T8" s="304">
        <f t="shared" ca="1" si="1"/>
        <v>79.590425631912936</v>
      </c>
      <c r="U8" s="311">
        <f t="shared" ca="1" si="2"/>
        <v>13.82073237071703</v>
      </c>
      <c r="V8" s="306">
        <f t="shared" ca="1" si="3"/>
        <v>1.2249922284609454</v>
      </c>
      <c r="W8" s="304">
        <f t="shared" ca="1" si="4"/>
        <v>5.9850168782874101E-2</v>
      </c>
      <c r="Y8" s="314" t="str">
        <f t="shared" ca="1" si="22"/>
        <v/>
      </c>
      <c r="Z8" s="315" t="str">
        <f t="shared" ca="1" si="23"/>
        <v/>
      </c>
      <c r="AA8" s="316" t="str">
        <f t="shared" ca="1" si="24"/>
        <v/>
      </c>
      <c r="AC8" s="310" t="e">
        <f t="shared" ca="1" si="25"/>
        <v>#N/A</v>
      </c>
      <c r="AD8" s="323" t="e">
        <f t="shared" ca="1" si="26"/>
        <v>#N/A</v>
      </c>
      <c r="AE8" s="324">
        <f t="shared" ca="1" si="5"/>
        <v>6.3441336380832408E-2</v>
      </c>
      <c r="AG8" s="306">
        <f t="shared" ca="1" si="27"/>
        <v>150.90585356047208</v>
      </c>
      <c r="AH8" s="304">
        <f t="shared" ca="1" si="28"/>
        <v>160.56681761752185</v>
      </c>
    </row>
    <row r="9" spans="1:248" x14ac:dyDescent="0.2">
      <c r="A9" s="347">
        <f t="shared" ca="1" si="6"/>
        <v>0.01</v>
      </c>
      <c r="B9" s="304">
        <f t="shared" ca="1" si="7"/>
        <v>0.05</v>
      </c>
      <c r="D9" s="306">
        <f t="shared" ca="1" si="8"/>
        <v>25.270963905893371</v>
      </c>
      <c r="E9" s="307">
        <f t="shared" ca="1" si="9"/>
        <v>143.32624053118613</v>
      </c>
      <c r="F9" s="304">
        <f t="shared" ca="1" si="10"/>
        <v>145.53704972114966</v>
      </c>
      <c r="G9" s="306">
        <f t="shared" ca="1" si="11"/>
        <v>1.003984877023179</v>
      </c>
      <c r="H9" s="307">
        <f t="shared" ca="1" si="12"/>
        <v>5.6941832209305829</v>
      </c>
      <c r="I9" s="304">
        <f t="shared" ca="1" si="13"/>
        <v>5.78201592758258</v>
      </c>
      <c r="J9" s="306">
        <f t="shared" ca="1" si="14"/>
        <v>1.9962106559816332E-2</v>
      </c>
      <c r="K9" s="307">
        <f t="shared" ca="1" si="15"/>
        <v>0.11321685656357894</v>
      </c>
      <c r="L9" s="304">
        <f t="shared" ca="1" si="0"/>
        <v>0.11496322154690808</v>
      </c>
      <c r="M9" s="306">
        <f t="shared" ca="1" si="16"/>
        <v>1.3962634015954636</v>
      </c>
      <c r="N9" s="304">
        <f t="shared" ca="1" si="17"/>
        <v>80</v>
      </c>
      <c r="P9" s="310">
        <f t="shared" ca="1" si="18"/>
        <v>3</v>
      </c>
      <c r="Q9" s="304">
        <f t="shared" ca="1" si="19"/>
        <v>1258.2516666666666</v>
      </c>
      <c r="R9" s="306">
        <f t="shared" ca="1" si="20"/>
        <v>0.61834481517070161</v>
      </c>
      <c r="S9" s="307">
        <f t="shared" ca="1" si="21"/>
        <v>8.1070097864979278</v>
      </c>
      <c r="T9" s="304">
        <f t="shared" ca="1" si="1"/>
        <v>79.529766005544673</v>
      </c>
      <c r="U9" s="311">
        <f t="shared" ca="1" si="2"/>
        <v>13.810198937140225</v>
      </c>
      <c r="V9" s="306">
        <f t="shared" ca="1" si="3"/>
        <v>1.2249861310135812</v>
      </c>
      <c r="W9" s="304">
        <f t="shared" ca="1" si="4"/>
        <v>0.1068855934529664</v>
      </c>
      <c r="Y9" s="314" t="str">
        <f t="shared" ca="1" si="22"/>
        <v/>
      </c>
      <c r="Z9" s="315" t="str">
        <f t="shared" ca="1" si="23"/>
        <v/>
      </c>
      <c r="AA9" s="316" t="str">
        <f t="shared" ca="1" si="24"/>
        <v/>
      </c>
      <c r="AC9" s="310" t="e">
        <f t="shared" ca="1" si="25"/>
        <v>#N/A</v>
      </c>
      <c r="AD9" s="323" t="e">
        <f t="shared" ca="1" si="26"/>
        <v>#N/A</v>
      </c>
      <c r="AE9" s="324">
        <f t="shared" ca="1" si="5"/>
        <v>0.11321685656357894</v>
      </c>
      <c r="AG9" s="306">
        <f t="shared" ca="1" si="27"/>
        <v>145.53704971534981</v>
      </c>
      <c r="AH9" s="304">
        <f t="shared" ca="1" si="28"/>
        <v>155.19801377239958</v>
      </c>
    </row>
    <row r="10" spans="1:248" x14ac:dyDescent="0.2">
      <c r="A10" s="347">
        <f t="shared" ca="1" si="6"/>
        <v>0.01</v>
      </c>
      <c r="B10" s="304">
        <f t="shared" ca="1" si="7"/>
        <v>6.0000000000000005E-2</v>
      </c>
      <c r="D10" s="306">
        <f t="shared" ca="1" si="8"/>
        <v>24.906646401738644</v>
      </c>
      <c r="E10" s="307">
        <f t="shared" ca="1" si="9"/>
        <v>141.25999242425442</v>
      </c>
      <c r="F10" s="304">
        <f t="shared" ca="1" si="10"/>
        <v>143.43892949503513</v>
      </c>
      <c r="G10" s="306">
        <f t="shared" ca="1" si="11"/>
        <v>1.2530513410405655</v>
      </c>
      <c r="H10" s="307">
        <f t="shared" ca="1" si="12"/>
        <v>7.1067831451731269</v>
      </c>
      <c r="I10" s="304">
        <f t="shared" ca="1" si="13"/>
        <v>7.21640522253292</v>
      </c>
      <c r="J10" s="306">
        <f t="shared" ca="1" si="14"/>
        <v>3.1247287650135055E-2</v>
      </c>
      <c r="K10" s="307">
        <f t="shared" ca="1" si="15"/>
        <v>0.17722168839409749</v>
      </c>
      <c r="L10" s="304">
        <f t="shared" ca="1" si="0"/>
        <v>0.17995532729748479</v>
      </c>
      <c r="M10" s="306">
        <f t="shared" ca="1" si="16"/>
        <v>1.3962634015954636</v>
      </c>
      <c r="N10" s="304">
        <f t="shared" ca="1" si="17"/>
        <v>80</v>
      </c>
      <c r="P10" s="310">
        <f t="shared" ca="1" si="18"/>
        <v>4</v>
      </c>
      <c r="Q10" s="304">
        <f t="shared" ca="1" si="19"/>
        <v>1240.356</v>
      </c>
      <c r="R10" s="306">
        <f t="shared" ca="1" si="20"/>
        <v>0.60955031643050006</v>
      </c>
      <c r="S10" s="307">
        <f t="shared" ca="1" si="21"/>
        <v>8.1009142833336227</v>
      </c>
      <c r="T10" s="304">
        <f t="shared" ca="1" si="1"/>
        <v>79.469969119502849</v>
      </c>
      <c r="U10" s="311">
        <f t="shared" ca="1" si="2"/>
        <v>13.799815316848905</v>
      </c>
      <c r="V10" s="306">
        <f t="shared" ca="1" si="3"/>
        <v>1.2249782905355411</v>
      </c>
      <c r="W10" s="304">
        <f t="shared" ca="1" si="4"/>
        <v>0.16649440744542857</v>
      </c>
      <c r="Y10" s="314" t="str">
        <f t="shared" ca="1" si="22"/>
        <v/>
      </c>
      <c r="Z10" s="315" t="str">
        <f t="shared" ca="1" si="23"/>
        <v/>
      </c>
      <c r="AA10" s="316" t="str">
        <f t="shared" ca="1" si="24"/>
        <v/>
      </c>
      <c r="AC10" s="310" t="e">
        <f t="shared" ca="1" si="25"/>
        <v>#N/A</v>
      </c>
      <c r="AD10" s="323" t="e">
        <f t="shared" ca="1" si="26"/>
        <v>#N/A</v>
      </c>
      <c r="AE10" s="324">
        <f t="shared" ca="1" si="5"/>
        <v>0.17722168839409749</v>
      </c>
      <c r="AG10" s="306">
        <f t="shared" ca="1" si="27"/>
        <v>143.43892948930804</v>
      </c>
      <c r="AH10" s="304">
        <f t="shared" ca="1" si="28"/>
        <v>153.09989354635781</v>
      </c>
    </row>
    <row r="11" spans="1:248" x14ac:dyDescent="0.2">
      <c r="A11" s="347">
        <f t="shared" ca="1" si="6"/>
        <v>0.01</v>
      </c>
      <c r="B11" s="304">
        <f t="shared" ca="1" si="7"/>
        <v>7.0000000000000007E-2</v>
      </c>
      <c r="D11" s="306">
        <f t="shared" ca="1" si="8"/>
        <v>25.111977258369393</v>
      </c>
      <c r="E11" s="307">
        <f t="shared" ca="1" si="9"/>
        <v>142.42453894211184</v>
      </c>
      <c r="F11" s="304">
        <f t="shared" ca="1" si="10"/>
        <v>144.62143926367901</v>
      </c>
      <c r="G11" s="306">
        <f t="shared" ca="1" si="11"/>
        <v>1.5041711136242595</v>
      </c>
      <c r="H11" s="307">
        <f t="shared" ca="1" si="12"/>
        <v>8.5310285345942454</v>
      </c>
      <c r="I11" s="304">
        <f t="shared" ca="1" si="13"/>
        <v>8.662619615169703</v>
      </c>
      <c r="J11" s="306">
        <f t="shared" ca="1" si="14"/>
        <v>4.5033399923459179E-2</v>
      </c>
      <c r="K11" s="307">
        <f t="shared" ca="1" si="15"/>
        <v>0.25541074679293435</v>
      </c>
      <c r="L11" s="304">
        <f t="shared" ca="1" si="0"/>
        <v>0.25935045148599734</v>
      </c>
      <c r="M11" s="306">
        <f t="shared" ca="1" si="16"/>
        <v>1.3962634015954636</v>
      </c>
      <c r="N11" s="304">
        <f t="shared" ca="1" si="17"/>
        <v>80</v>
      </c>
      <c r="P11" s="310">
        <f t="shared" ca="1" si="18"/>
        <v>4</v>
      </c>
      <c r="Q11" s="304">
        <f t="shared" ca="1" si="19"/>
        <v>1249.048</v>
      </c>
      <c r="R11" s="306">
        <f t="shared" ca="1" si="20"/>
        <v>0.61382184117856753</v>
      </c>
      <c r="S11" s="307">
        <f t="shared" ca="1" si="21"/>
        <v>8.0947760649218363</v>
      </c>
      <c r="T11" s="304">
        <f t="shared" ca="1" si="1"/>
        <v>79.409753196883216</v>
      </c>
      <c r="U11" s="311">
        <f t="shared" ca="1" si="2"/>
        <v>13.789358931619471</v>
      </c>
      <c r="V11" s="306">
        <f t="shared" ca="1" si="3"/>
        <v>1.2249687125830753</v>
      </c>
      <c r="W11" s="304">
        <f t="shared" ca="1" si="4"/>
        <v>0.23991252363674478</v>
      </c>
      <c r="Y11" s="314" t="str">
        <f t="shared" ca="1" si="22"/>
        <v/>
      </c>
      <c r="Z11" s="315" t="str">
        <f t="shared" ca="1" si="23"/>
        <v/>
      </c>
      <c r="AA11" s="316" t="str">
        <f t="shared" ca="1" si="24"/>
        <v/>
      </c>
      <c r="AC11" s="310" t="e">
        <f t="shared" ca="1" si="25"/>
        <v>#N/A</v>
      </c>
      <c r="AD11" s="323" t="e">
        <f t="shared" ca="1" si="26"/>
        <v>#N/A</v>
      </c>
      <c r="AE11" s="324">
        <f t="shared" ca="1" si="5"/>
        <v>0.25541074679293435</v>
      </c>
      <c r="AG11" s="306">
        <f t="shared" ca="1" si="27"/>
        <v>144.62143925791011</v>
      </c>
      <c r="AH11" s="304">
        <f t="shared" ca="1" si="28"/>
        <v>154.28240331495988</v>
      </c>
    </row>
    <row r="12" spans="1:248" x14ac:dyDescent="0.2">
      <c r="A12" s="347">
        <f t="shared" ca="1" si="6"/>
        <v>0.01</v>
      </c>
      <c r="B12" s="304">
        <f t="shared" ca="1" si="7"/>
        <v>0.08</v>
      </c>
      <c r="D12" s="306">
        <f t="shared" ca="1" si="8"/>
        <v>25.317465851376344</v>
      </c>
      <c r="E12" s="307">
        <f t="shared" ca="1" si="9"/>
        <v>143.58998015406229</v>
      </c>
      <c r="F12" s="304">
        <f t="shared" ca="1" si="10"/>
        <v>145.8048575246367</v>
      </c>
      <c r="G12" s="306">
        <f t="shared" ca="1" si="11"/>
        <v>1.7573457721380228</v>
      </c>
      <c r="H12" s="307">
        <f t="shared" ca="1" si="12"/>
        <v>9.9669283361348686</v>
      </c>
      <c r="I12" s="304">
        <f t="shared" ca="1" si="13"/>
        <v>10.120668190416064</v>
      </c>
      <c r="J12" s="306">
        <f t="shared" ca="1" si="14"/>
        <v>6.1340984352270589E-2</v>
      </c>
      <c r="K12" s="307">
        <f t="shared" ca="1" si="15"/>
        <v>0.34790053114657993</v>
      </c>
      <c r="L12" s="304">
        <f t="shared" ca="1" si="0"/>
        <v>0.35326689051392562</v>
      </c>
      <c r="M12" s="306">
        <f t="shared" ca="1" si="16"/>
        <v>1.3962634015954636</v>
      </c>
      <c r="N12" s="304">
        <f t="shared" ca="1" si="17"/>
        <v>80</v>
      </c>
      <c r="P12" s="310">
        <f t="shared" ca="1" si="18"/>
        <v>4</v>
      </c>
      <c r="Q12" s="304">
        <f t="shared" ca="1" si="19"/>
        <v>1257.74</v>
      </c>
      <c r="R12" s="306">
        <f t="shared" ca="1" si="20"/>
        <v>0.61809336592663489</v>
      </c>
      <c r="S12" s="307">
        <f t="shared" ca="1" si="21"/>
        <v>8.0885951312625703</v>
      </c>
      <c r="T12" s="304">
        <f t="shared" ca="1" si="1"/>
        <v>79.349118237685815</v>
      </c>
      <c r="U12" s="311">
        <f t="shared" ca="1" si="2"/>
        <v>13.778829781451934</v>
      </c>
      <c r="V12" s="306">
        <f t="shared" ca="1" si="3"/>
        <v>1.2249573829262599</v>
      </c>
      <c r="W12" s="304">
        <f t="shared" ca="1" si="4"/>
        <v>0.32746793905167298</v>
      </c>
      <c r="Y12" s="314" t="str">
        <f t="shared" ca="1" si="22"/>
        <v/>
      </c>
      <c r="Z12" s="315" t="str">
        <f t="shared" ca="1" si="23"/>
        <v/>
      </c>
      <c r="AA12" s="316" t="str">
        <f t="shared" ca="1" si="24"/>
        <v/>
      </c>
      <c r="AC12" s="310" t="e">
        <f t="shared" ca="1" si="25"/>
        <v>#N/A</v>
      </c>
      <c r="AD12" s="323" t="e">
        <f t="shared" ca="1" si="26"/>
        <v>#N/A</v>
      </c>
      <c r="AE12" s="324">
        <f t="shared" ca="1" si="5"/>
        <v>0.34790053114657993</v>
      </c>
      <c r="AG12" s="306">
        <f t="shared" ca="1" si="27"/>
        <v>145.80485751882588</v>
      </c>
      <c r="AH12" s="304">
        <f t="shared" ca="1" si="28"/>
        <v>155.46582157587565</v>
      </c>
    </row>
    <row r="13" spans="1:248" x14ac:dyDescent="0.2">
      <c r="A13" s="347">
        <f t="shared" ca="1" si="6"/>
        <v>0.01</v>
      </c>
      <c r="B13" s="304">
        <f t="shared" ca="1" si="7"/>
        <v>0.09</v>
      </c>
      <c r="D13" s="306">
        <f t="shared" ca="1" si="8"/>
        <v>25.523108753705543</v>
      </c>
      <c r="E13" s="307">
        <f t="shared" ca="1" si="9"/>
        <v>144.75629662551921</v>
      </c>
      <c r="F13" s="304">
        <f t="shared" ca="1" si="10"/>
        <v>146.98916454347506</v>
      </c>
      <c r="G13" s="306">
        <f t="shared" ca="1" si="11"/>
        <v>2.0125768596750784</v>
      </c>
      <c r="H13" s="307">
        <f t="shared" ca="1" si="12"/>
        <v>11.414491302390061</v>
      </c>
      <c r="I13" s="304">
        <f t="shared" ca="1" si="13"/>
        <v>11.59055983585081</v>
      </c>
      <c r="J13" s="306">
        <f t="shared" ca="1" si="14"/>
        <v>8.0190597511336087E-2</v>
      </c>
      <c r="K13" s="307">
        <f t="shared" ca="1" si="15"/>
        <v>0.4548076293392046</v>
      </c>
      <c r="L13" s="304">
        <f t="shared" ca="1" si="0"/>
        <v>0.46182303064525965</v>
      </c>
      <c r="M13" s="306">
        <f t="shared" ca="1" si="16"/>
        <v>1.3962634015954636</v>
      </c>
      <c r="N13" s="304">
        <f t="shared" ca="1" si="17"/>
        <v>80</v>
      </c>
      <c r="P13" s="310">
        <f t="shared" ca="1" si="18"/>
        <v>4</v>
      </c>
      <c r="Q13" s="304">
        <f t="shared" ca="1" si="19"/>
        <v>1266.432</v>
      </c>
      <c r="R13" s="306">
        <f t="shared" ca="1" si="20"/>
        <v>0.62236489067470235</v>
      </c>
      <c r="S13" s="307">
        <f t="shared" ca="1" si="21"/>
        <v>8.082371482355823</v>
      </c>
      <c r="T13" s="304">
        <f t="shared" ca="1" si="1"/>
        <v>79.288064241910632</v>
      </c>
      <c r="U13" s="311">
        <f t="shared" ca="1" si="2"/>
        <v>13.76822786634629</v>
      </c>
      <c r="V13" s="306">
        <f t="shared" ca="1" si="3"/>
        <v>1.2249442873323333</v>
      </c>
      <c r="W13" s="304">
        <f t="shared" ca="1" si="4"/>
        <v>0.42949152364206128</v>
      </c>
      <c r="Y13" s="314" t="str">
        <f t="shared" ca="1" si="22"/>
        <v/>
      </c>
      <c r="Z13" s="315" t="str">
        <f t="shared" ca="1" si="23"/>
        <v/>
      </c>
      <c r="AA13" s="316" t="str">
        <f t="shared" ca="1" si="24"/>
        <v/>
      </c>
      <c r="AC13" s="310" t="e">
        <f t="shared" ca="1" si="25"/>
        <v>#N/A</v>
      </c>
      <c r="AD13" s="323" t="e">
        <f t="shared" ca="1" si="26"/>
        <v>#N/A</v>
      </c>
      <c r="AE13" s="324">
        <f t="shared" ca="1" si="5"/>
        <v>0.4548076293392046</v>
      </c>
      <c r="AG13" s="306">
        <f t="shared" ca="1" si="27"/>
        <v>146.98916453762209</v>
      </c>
      <c r="AH13" s="304">
        <f t="shared" ca="1" si="28"/>
        <v>156.65012859467186</v>
      </c>
    </row>
    <row r="14" spans="1:248" x14ac:dyDescent="0.2">
      <c r="A14" s="347">
        <f t="shared" ca="1" si="6"/>
        <v>0.01</v>
      </c>
      <c r="B14" s="304">
        <f t="shared" ca="1" si="7"/>
        <v>9.9999999999999992E-2</v>
      </c>
      <c r="D14" s="306">
        <f t="shared" ca="1" si="8"/>
        <v>25.72890247090017</v>
      </c>
      <c r="E14" s="307">
        <f t="shared" ca="1" si="9"/>
        <v>145.92346853964287</v>
      </c>
      <c r="F14" s="304">
        <f t="shared" ca="1" si="10"/>
        <v>148.17434019761058</v>
      </c>
      <c r="G14" s="306">
        <f t="shared" ca="1" si="11"/>
        <v>2.26986588438408</v>
      </c>
      <c r="H14" s="307">
        <f t="shared" ca="1" si="12"/>
        <v>12.873725987786489</v>
      </c>
      <c r="I14" s="304">
        <f t="shared" ca="1" si="13"/>
        <v>13.072303237826912</v>
      </c>
      <c r="J14" s="306">
        <f t="shared" ca="1" si="14"/>
        <v>0.10160281123163188</v>
      </c>
      <c r="K14" s="307">
        <f t="shared" ca="1" si="15"/>
        <v>0.5762487157900873</v>
      </c>
      <c r="L14" s="304">
        <f t="shared" ca="1" si="0"/>
        <v>0.58513734601364786</v>
      </c>
      <c r="M14" s="306">
        <f t="shared" ca="1" si="16"/>
        <v>1.3962634015954636</v>
      </c>
      <c r="N14" s="304">
        <f t="shared" ca="1" si="17"/>
        <v>80</v>
      </c>
      <c r="P14" s="310">
        <f t="shared" ca="1" si="18"/>
        <v>4</v>
      </c>
      <c r="Q14" s="304">
        <f t="shared" ca="1" si="19"/>
        <v>1275.124</v>
      </c>
      <c r="R14" s="306">
        <f t="shared" ca="1" si="20"/>
        <v>0.62663641542276971</v>
      </c>
      <c r="S14" s="307">
        <f t="shared" ca="1" si="21"/>
        <v>8.0761051182015962</v>
      </c>
      <c r="T14" s="304">
        <f t="shared" ca="1" si="1"/>
        <v>79.226591209557668</v>
      </c>
      <c r="U14" s="311">
        <f t="shared" ca="1" si="2"/>
        <v>13.757553186302538</v>
      </c>
      <c r="V14" s="306">
        <f t="shared" ca="1" si="3"/>
        <v>1.2249294115661402</v>
      </c>
      <c r="W14" s="304">
        <f t="shared" ca="1" si="4"/>
        <v>0.54631701092688556</v>
      </c>
      <c r="Y14" s="314" t="str">
        <f t="shared" ca="1" si="22"/>
        <v/>
      </c>
      <c r="Z14" s="315" t="str">
        <f t="shared" ca="1" si="23"/>
        <v/>
      </c>
      <c r="AA14" s="316" t="str">
        <f t="shared" ca="1" si="24"/>
        <v/>
      </c>
      <c r="AC14" s="310" t="e">
        <f t="shared" ca="1" si="25"/>
        <v>#N/A</v>
      </c>
      <c r="AD14" s="323" t="e">
        <f t="shared" ca="1" si="26"/>
        <v>#N/A</v>
      </c>
      <c r="AE14" s="324">
        <f t="shared" ca="1" si="5"/>
        <v>0.5762487157900873</v>
      </c>
      <c r="AG14" s="306">
        <f t="shared" ca="1" si="27"/>
        <v>148.17434019171532</v>
      </c>
      <c r="AH14" s="304">
        <f t="shared" ca="1" si="28"/>
        <v>157.83530424876508</v>
      </c>
    </row>
    <row r="15" spans="1:248" x14ac:dyDescent="0.2">
      <c r="A15" s="347">
        <f t="shared" ca="1" si="6"/>
        <v>0.01</v>
      </c>
      <c r="B15" s="304">
        <f t="shared" ca="1" si="7"/>
        <v>0.10999999999999999</v>
      </c>
      <c r="D15" s="306">
        <f t="shared" ca="1" si="8"/>
        <v>25.875624821311629</v>
      </c>
      <c r="E15" s="307">
        <f t="shared" ca="1" si="9"/>
        <v>146.75561377406459</v>
      </c>
      <c r="F15" s="304">
        <f t="shared" ca="1" si="10"/>
        <v>149.01932134490377</v>
      </c>
      <c r="G15" s="306">
        <f t="shared" ca="1" si="11"/>
        <v>2.5286221325971963</v>
      </c>
      <c r="H15" s="307">
        <f t="shared" ca="1" si="12"/>
        <v>14.341282125527135</v>
      </c>
      <c r="I15" s="304">
        <f t="shared" ca="1" si="13"/>
        <v>14.562496451275946</v>
      </c>
      <c r="J15" s="306">
        <f t="shared" ca="1" si="14"/>
        <v>0.12559525131653826</v>
      </c>
      <c r="K15" s="307">
        <f t="shared" ca="1" si="15"/>
        <v>0.71232375635665535</v>
      </c>
      <c r="L15" s="304">
        <f t="shared" ca="1" si="0"/>
        <v>0.72331134445916168</v>
      </c>
      <c r="M15" s="306">
        <f t="shared" ca="1" si="16"/>
        <v>1.3962634015954636</v>
      </c>
      <c r="N15" s="304">
        <f t="shared" ca="1" si="17"/>
        <v>80</v>
      </c>
      <c r="P15" s="310">
        <f t="shared" ca="1" si="18"/>
        <v>5</v>
      </c>
      <c r="Q15" s="304">
        <f t="shared" ca="1" si="19"/>
        <v>1281.066</v>
      </c>
      <c r="R15" s="306">
        <f t="shared" ca="1" si="20"/>
        <v>0.62955650286559262</v>
      </c>
      <c r="S15" s="307">
        <f t="shared" ca="1" si="21"/>
        <v>8.0698095531729397</v>
      </c>
      <c r="T15" s="304">
        <f t="shared" ca="1" si="1"/>
        <v>79.164831716626537</v>
      </c>
      <c r="U15" s="311">
        <f t="shared" ca="1" si="2"/>
        <v>13.746828762901412</v>
      </c>
      <c r="V15" s="306">
        <f t="shared" ca="1" si="3"/>
        <v>1.2249127434475919</v>
      </c>
      <c r="W15" s="304">
        <f t="shared" ca="1" si="4"/>
        <v>0.67796340422028545</v>
      </c>
      <c r="Y15" s="314" t="str">
        <f t="shared" ca="1" si="22"/>
        <v/>
      </c>
      <c r="Z15" s="315" t="str">
        <f t="shared" ca="1" si="23"/>
        <v/>
      </c>
      <c r="AA15" s="316" t="str">
        <f t="shared" ca="1" si="24"/>
        <v/>
      </c>
      <c r="AC15" s="310" t="e">
        <f t="shared" ca="1" si="25"/>
        <v>#N/A</v>
      </c>
      <c r="AD15" s="323" t="e">
        <f t="shared" ca="1" si="26"/>
        <v>#N/A</v>
      </c>
      <c r="AE15" s="324">
        <f t="shared" ca="1" si="5"/>
        <v>0.71232375635665535</v>
      </c>
      <c r="AG15" s="306">
        <f t="shared" ca="1" si="27"/>
        <v>149.01932133897796</v>
      </c>
      <c r="AH15" s="304">
        <f t="shared" ca="1" si="28"/>
        <v>158.68028539602773</v>
      </c>
    </row>
    <row r="16" spans="1:248" x14ac:dyDescent="0.2">
      <c r="A16" s="347">
        <f t="shared" ca="1" si="6"/>
        <v>0.01</v>
      </c>
      <c r="B16" s="304">
        <f t="shared" ca="1" si="7"/>
        <v>0.11999999999999998</v>
      </c>
      <c r="D16" s="306">
        <f t="shared" ca="1" si="8"/>
        <v>25.96309230409555</v>
      </c>
      <c r="E16" s="307">
        <f t="shared" ca="1" si="9"/>
        <v>147.25169159315843</v>
      </c>
      <c r="F16" s="304">
        <f t="shared" ca="1" si="10"/>
        <v>149.5230511962541</v>
      </c>
      <c r="G16" s="306">
        <f t="shared" ca="1" si="11"/>
        <v>2.788253055638152</v>
      </c>
      <c r="H16" s="307">
        <f t="shared" ca="1" si="12"/>
        <v>15.813799041458719</v>
      </c>
      <c r="I16" s="304">
        <f t="shared" ca="1" si="13"/>
        <v>16.057726963238483</v>
      </c>
      <c r="J16" s="306">
        <f t="shared" ca="1" si="14"/>
        <v>0.152179627257715</v>
      </c>
      <c r="K16" s="307">
        <f t="shared" ca="1" si="15"/>
        <v>0.86309916219158467</v>
      </c>
      <c r="L16" s="304">
        <f t="shared" ca="1" si="0"/>
        <v>0.87641246153173358</v>
      </c>
      <c r="M16" s="306">
        <f t="shared" ca="1" si="16"/>
        <v>1.3962634015954636</v>
      </c>
      <c r="N16" s="304">
        <f t="shared" ca="1" si="17"/>
        <v>80</v>
      </c>
      <c r="P16" s="310">
        <f t="shared" ca="1" si="18"/>
        <v>5</v>
      </c>
      <c r="Q16" s="304">
        <f t="shared" ca="1" si="19"/>
        <v>1284.258</v>
      </c>
      <c r="R16" s="306">
        <f t="shared" ca="1" si="20"/>
        <v>0.63112515300317107</v>
      </c>
      <c r="S16" s="307">
        <f t="shared" ca="1" si="21"/>
        <v>8.0634983016429072</v>
      </c>
      <c r="T16" s="304">
        <f t="shared" ca="1" si="1"/>
        <v>79.102918339116925</v>
      </c>
      <c r="U16" s="311">
        <f t="shared" ca="1" si="2"/>
        <v>13.736077617723664</v>
      </c>
      <c r="V16" s="306">
        <f t="shared" ca="1" si="3"/>
        <v>1.2248942749151934</v>
      </c>
      <c r="W16" s="304">
        <f t="shared" ca="1" si="4"/>
        <v>0.82432064500683577</v>
      </c>
      <c r="Y16" s="314" t="str">
        <f t="shared" ca="1" si="22"/>
        <v/>
      </c>
      <c r="Z16" s="315" t="str">
        <f t="shared" ca="1" si="23"/>
        <v/>
      </c>
      <c r="AA16" s="316" t="str">
        <f t="shared" ca="1" si="24"/>
        <v/>
      </c>
      <c r="AC16" s="310" t="e">
        <f t="shared" ca="1" si="25"/>
        <v>#N/A</v>
      </c>
      <c r="AD16" s="323" t="e">
        <f t="shared" ca="1" si="26"/>
        <v>#N/A</v>
      </c>
      <c r="AE16" s="324">
        <f t="shared" ca="1" si="5"/>
        <v>0.86309916219158467</v>
      </c>
      <c r="AG16" s="306">
        <f t="shared" ca="1" si="27"/>
        <v>149.52305119030947</v>
      </c>
      <c r="AH16" s="304">
        <f t="shared" ca="1" si="28"/>
        <v>159.18401524735924</v>
      </c>
    </row>
    <row r="17" spans="1:34" x14ac:dyDescent="0.2">
      <c r="A17" s="347">
        <f t="shared" ca="1" si="6"/>
        <v>0.01</v>
      </c>
      <c r="B17" s="304">
        <f t="shared" ca="1" si="7"/>
        <v>0.12999999999999998</v>
      </c>
      <c r="D17" s="306">
        <f t="shared" ca="1" si="8"/>
        <v>26.05043375067029</v>
      </c>
      <c r="E17" s="307">
        <f t="shared" ca="1" si="9"/>
        <v>147.74705467966965</v>
      </c>
      <c r="F17" s="304">
        <f t="shared" ca="1" si="10"/>
        <v>150.02605528745784</v>
      </c>
      <c r="G17" s="306">
        <f t="shared" ca="1" si="11"/>
        <v>3.0487573931448551</v>
      </c>
      <c r="H17" s="307">
        <f t="shared" ca="1" si="12"/>
        <v>17.291269588255414</v>
      </c>
      <c r="I17" s="304">
        <f t="shared" ca="1" si="13"/>
        <v>17.557987516113059</v>
      </c>
      <c r="J17" s="306">
        <f t="shared" ca="1" si="14"/>
        <v>0.18136467950163004</v>
      </c>
      <c r="K17" s="307">
        <f t="shared" ca="1" si="15"/>
        <v>1.0286245053401553</v>
      </c>
      <c r="L17" s="304">
        <f t="shared" ca="1" si="0"/>
        <v>1.044491033928491</v>
      </c>
      <c r="M17" s="306">
        <f t="shared" ca="1" si="16"/>
        <v>1.3962634015954636</v>
      </c>
      <c r="N17" s="304">
        <f t="shared" ca="1" si="17"/>
        <v>80</v>
      </c>
      <c r="P17" s="310">
        <f t="shared" ca="1" si="18"/>
        <v>5</v>
      </c>
      <c r="Q17" s="304">
        <f t="shared" ca="1" si="19"/>
        <v>1287.45</v>
      </c>
      <c r="R17" s="306">
        <f t="shared" ca="1" si="20"/>
        <v>0.63269380314074941</v>
      </c>
      <c r="S17" s="307">
        <f t="shared" ca="1" si="21"/>
        <v>8.0571713636115003</v>
      </c>
      <c r="T17" s="304">
        <f t="shared" ca="1" si="1"/>
        <v>79.040851077028819</v>
      </c>
      <c r="U17" s="311">
        <f t="shared" ca="1" si="2"/>
        <v>13.725299750769288</v>
      </c>
      <c r="V17" s="306">
        <f t="shared" ca="1" si="3"/>
        <v>1.2248739999784315</v>
      </c>
      <c r="W17" s="304">
        <f t="shared" ca="1" si="4"/>
        <v>0.98553107276954799</v>
      </c>
      <c r="Y17" s="314" t="str">
        <f t="shared" ca="1" si="22"/>
        <v/>
      </c>
      <c r="Z17" s="315" t="str">
        <f t="shared" ca="1" si="23"/>
        <v/>
      </c>
      <c r="AA17" s="316" t="str">
        <f t="shared" ca="1" si="24"/>
        <v/>
      </c>
      <c r="AC17" s="310" t="e">
        <f t="shared" ca="1" si="25"/>
        <v>#N/A</v>
      </c>
      <c r="AD17" s="323" t="e">
        <f t="shared" ca="1" si="26"/>
        <v>#N/A</v>
      </c>
      <c r="AE17" s="324">
        <f t="shared" ca="1" si="5"/>
        <v>1.0286245053401553</v>
      </c>
      <c r="AG17" s="306">
        <f t="shared" ca="1" si="27"/>
        <v>150.02605528149431</v>
      </c>
      <c r="AH17" s="304">
        <f t="shared" ca="1" si="28"/>
        <v>159.68701933854408</v>
      </c>
    </row>
    <row r="18" spans="1:34" x14ac:dyDescent="0.2">
      <c r="A18" s="347">
        <f t="shared" ca="1" si="6"/>
        <v>0.01</v>
      </c>
      <c r="B18" s="304">
        <f t="shared" ca="1" si="7"/>
        <v>0.13999999999999999</v>
      </c>
      <c r="D18" s="306">
        <f t="shared" ca="1" si="8"/>
        <v>26.137646304309271</v>
      </c>
      <c r="E18" s="307">
        <f t="shared" ca="1" si="9"/>
        <v>148.24168683257173</v>
      </c>
      <c r="F18" s="304">
        <f t="shared" ca="1" si="10"/>
        <v>150.52831716755304</v>
      </c>
      <c r="G18" s="306">
        <f t="shared" ca="1" si="11"/>
        <v>3.3101338561879476</v>
      </c>
      <c r="H18" s="307">
        <f t="shared" ca="1" si="12"/>
        <v>18.773686456581132</v>
      </c>
      <c r="I18" s="304">
        <f t="shared" ca="1" si="13"/>
        <v>19.063270687788584</v>
      </c>
      <c r="J18" s="306">
        <f t="shared" ca="1" si="14"/>
        <v>0.21315913574829407</v>
      </c>
      <c r="K18" s="307">
        <f t="shared" ca="1" si="15"/>
        <v>1.208949285564338</v>
      </c>
      <c r="L18" s="304">
        <f t="shared" ca="1" si="0"/>
        <v>1.227597324947999</v>
      </c>
      <c r="M18" s="306">
        <f t="shared" ca="1" si="16"/>
        <v>1.3962634015954636</v>
      </c>
      <c r="N18" s="304">
        <f t="shared" ca="1" si="17"/>
        <v>80</v>
      </c>
      <c r="P18" s="310">
        <f t="shared" ca="1" si="18"/>
        <v>5</v>
      </c>
      <c r="Q18" s="304">
        <f t="shared" ca="1" si="19"/>
        <v>1290.6420000000001</v>
      </c>
      <c r="R18" s="306">
        <f t="shared" ca="1" si="20"/>
        <v>0.63426245327832775</v>
      </c>
      <c r="S18" s="307">
        <f t="shared" ca="1" si="21"/>
        <v>8.0508287390787174</v>
      </c>
      <c r="T18" s="304">
        <f t="shared" ca="1" si="1"/>
        <v>78.978629930362217</v>
      </c>
      <c r="U18" s="311">
        <f t="shared" ca="1" si="2"/>
        <v>13.714495162038286</v>
      </c>
      <c r="V18" s="306">
        <f t="shared" ca="1" si="3"/>
        <v>1.2248519126640227</v>
      </c>
      <c r="W18" s="304">
        <f t="shared" ca="1" si="4"/>
        <v>1.1617370706812056</v>
      </c>
      <c r="Y18" s="314" t="str">
        <f t="shared" ca="1" si="22"/>
        <v/>
      </c>
      <c r="Z18" s="315" t="str">
        <f t="shared" ca="1" si="23"/>
        <v/>
      </c>
      <c r="AA18" s="316" t="str">
        <f t="shared" ca="1" si="24"/>
        <v/>
      </c>
      <c r="AC18" s="310" t="e">
        <f t="shared" ca="1" si="25"/>
        <v>#N/A</v>
      </c>
      <c r="AD18" s="323" t="e">
        <f t="shared" ca="1" si="26"/>
        <v>#N/A</v>
      </c>
      <c r="AE18" s="324">
        <f t="shared" ca="1" si="5"/>
        <v>1.208949285564338</v>
      </c>
      <c r="AG18" s="306">
        <f t="shared" ca="1" si="27"/>
        <v>150.52831716157047</v>
      </c>
      <c r="AH18" s="304">
        <f t="shared" ca="1" si="28"/>
        <v>160.18928121862024</v>
      </c>
    </row>
    <row r="19" spans="1:34" x14ac:dyDescent="0.2">
      <c r="A19" s="347">
        <f t="shared" ca="1" si="6"/>
        <v>0.01</v>
      </c>
      <c r="B19" s="304">
        <f t="shared" ca="1" si="7"/>
        <v>0.15</v>
      </c>
      <c r="D19" s="306">
        <f t="shared" ca="1" si="8"/>
        <v>26.224727096836446</v>
      </c>
      <c r="E19" s="307">
        <f t="shared" ca="1" si="9"/>
        <v>148.73557178590625</v>
      </c>
      <c r="F19" s="304">
        <f t="shared" ca="1" si="10"/>
        <v>151.02982031964422</v>
      </c>
      <c r="G19" s="306">
        <f t="shared" ca="1" si="11"/>
        <v>3.5723811271563122</v>
      </c>
      <c r="H19" s="307">
        <f t="shared" ca="1" si="12"/>
        <v>20.261042174440195</v>
      </c>
      <c r="I19" s="304">
        <f t="shared" ca="1" si="13"/>
        <v>20.573568890985026</v>
      </c>
      <c r="J19" s="306">
        <f t="shared" ca="1" si="14"/>
        <v>0.24757171066501538</v>
      </c>
      <c r="K19" s="307">
        <f t="shared" ca="1" si="15"/>
        <v>1.4041229287194446</v>
      </c>
      <c r="L19" s="304">
        <f t="shared" ca="1" si="0"/>
        <v>1.4257815228418667</v>
      </c>
      <c r="M19" s="306">
        <f t="shared" ca="1" si="16"/>
        <v>1.3962634015954636</v>
      </c>
      <c r="N19" s="304">
        <f t="shared" ca="1" si="17"/>
        <v>80</v>
      </c>
      <c r="P19" s="310">
        <f t="shared" ca="1" si="18"/>
        <v>5</v>
      </c>
      <c r="Q19" s="304">
        <f t="shared" ca="1" si="19"/>
        <v>1293.8340000000001</v>
      </c>
      <c r="R19" s="306">
        <f t="shared" ca="1" si="20"/>
        <v>0.6358311034159061</v>
      </c>
      <c r="S19" s="307">
        <f t="shared" ca="1" si="21"/>
        <v>8.0444704280445585</v>
      </c>
      <c r="T19" s="304">
        <f t="shared" ca="1" si="1"/>
        <v>78.916254899117121</v>
      </c>
      <c r="U19" s="311">
        <f t="shared" ca="1" si="2"/>
        <v>13.703663851530658</v>
      </c>
      <c r="V19" s="306">
        <f t="shared" ca="1" si="3"/>
        <v>1.2248280070161968</v>
      </c>
      <c r="W19" s="304">
        <f t="shared" ca="1" si="4"/>
        <v>1.3530810523859862</v>
      </c>
      <c r="Y19" s="314" t="str">
        <f t="shared" ca="1" si="22"/>
        <v/>
      </c>
      <c r="Z19" s="315" t="str">
        <f t="shared" ca="1" si="23"/>
        <v/>
      </c>
      <c r="AA19" s="316" t="str">
        <f t="shared" ca="1" si="24"/>
        <v/>
      </c>
      <c r="AC19" s="310" t="e">
        <f t="shared" ca="1" si="25"/>
        <v>#N/A</v>
      </c>
      <c r="AD19" s="323" t="e">
        <f t="shared" ca="1" si="26"/>
        <v>#N/A</v>
      </c>
      <c r="AE19" s="324">
        <f t="shared" ca="1" si="5"/>
        <v>1.4041229287194446</v>
      </c>
      <c r="AG19" s="306">
        <f t="shared" ca="1" si="27"/>
        <v>151.02982031364252</v>
      </c>
      <c r="AH19" s="304">
        <f t="shared" ca="1" si="28"/>
        <v>160.69078437069228</v>
      </c>
    </row>
    <row r="20" spans="1:34" x14ac:dyDescent="0.2">
      <c r="A20" s="347">
        <f t="shared" ca="1" si="6"/>
        <v>0.01</v>
      </c>
      <c r="B20" s="304">
        <f t="shared" ca="1" si="7"/>
        <v>0.16</v>
      </c>
      <c r="D20" s="306">
        <f t="shared" ca="1" si="8"/>
        <v>26.311673248810706</v>
      </c>
      <c r="E20" s="307">
        <f t="shared" ca="1" si="9"/>
        <v>149.22869320982912</v>
      </c>
      <c r="F20" s="304">
        <f t="shared" ca="1" si="10"/>
        <v>151.53054816196462</v>
      </c>
      <c r="G20" s="306">
        <f t="shared" ca="1" si="11"/>
        <v>3.8354978596444194</v>
      </c>
      <c r="H20" s="307">
        <f t="shared" ca="1" si="12"/>
        <v>21.753329106538487</v>
      </c>
      <c r="I20" s="304">
        <f t="shared" ca="1" si="13"/>
        <v>22.088874372604671</v>
      </c>
      <c r="J20" s="306">
        <f t="shared" ca="1" si="14"/>
        <v>0.28461110559901903</v>
      </c>
      <c r="K20" s="307">
        <f t="shared" ca="1" si="15"/>
        <v>1.6141947851243379</v>
      </c>
      <c r="L20" s="304">
        <f t="shared" ca="1" si="0"/>
        <v>1.6390937391598148</v>
      </c>
      <c r="M20" s="306">
        <f t="shared" ca="1" si="16"/>
        <v>1.3962634015954636</v>
      </c>
      <c r="N20" s="304">
        <f t="shared" ca="1" si="17"/>
        <v>80</v>
      </c>
      <c r="P20" s="310">
        <f t="shared" ca="1" si="18"/>
        <v>5</v>
      </c>
      <c r="Q20" s="304">
        <f t="shared" ca="1" si="19"/>
        <v>1297.0260000000001</v>
      </c>
      <c r="R20" s="306">
        <f t="shared" ca="1" si="20"/>
        <v>0.63739975355348455</v>
      </c>
      <c r="S20" s="307">
        <f t="shared" ca="1" si="21"/>
        <v>8.0380964305090234</v>
      </c>
      <c r="T20" s="304">
        <f t="shared" ca="1" si="1"/>
        <v>78.853725983293529</v>
      </c>
      <c r="U20" s="311">
        <f t="shared" ca="1" si="2"/>
        <v>13.692805819246402</v>
      </c>
      <c r="V20" s="306">
        <f t="shared" ca="1" si="3"/>
        <v>1.2248022770969862</v>
      </c>
      <c r="W20" s="304">
        <f t="shared" ca="1" si="4"/>
        <v>1.5597054486552053</v>
      </c>
      <c r="Y20" s="314" t="str">
        <f t="shared" ca="1" si="22"/>
        <v/>
      </c>
      <c r="Z20" s="315" t="str">
        <f t="shared" ca="1" si="23"/>
        <v/>
      </c>
      <c r="AA20" s="316" t="str">
        <f t="shared" ca="1" si="24"/>
        <v/>
      </c>
      <c r="AC20" s="310" t="e">
        <f t="shared" ca="1" si="25"/>
        <v>#N/A</v>
      </c>
      <c r="AD20" s="323" t="e">
        <f t="shared" ca="1" si="26"/>
        <v>#N/A</v>
      </c>
      <c r="AE20" s="324">
        <f t="shared" ca="1" si="5"/>
        <v>1.6141947851243379</v>
      </c>
      <c r="AG20" s="306">
        <f t="shared" ca="1" si="27"/>
        <v>151.53054815594365</v>
      </c>
      <c r="AH20" s="304">
        <f t="shared" ca="1" si="28"/>
        <v>161.19151221299342</v>
      </c>
    </row>
    <row r="21" spans="1:34" x14ac:dyDescent="0.2">
      <c r="A21" s="347">
        <f t="shared" ca="1" si="6"/>
        <v>0.01</v>
      </c>
      <c r="B21" s="304">
        <f t="shared" ca="1" si="7"/>
        <v>0.17</v>
      </c>
      <c r="D21" s="306">
        <f t="shared" ca="1" si="8"/>
        <v>26.398481869713574</v>
      </c>
      <c r="E21" s="307">
        <f t="shared" ca="1" si="9"/>
        <v>149.72103471167483</v>
      </c>
      <c r="F21" s="304">
        <f t="shared" ca="1" si="10"/>
        <v>152.03048404895688</v>
      </c>
      <c r="G21" s="306">
        <f t="shared" ca="1" si="11"/>
        <v>4.0994826783415554</v>
      </c>
      <c r="H21" s="307">
        <f t="shared" ca="1" si="12"/>
        <v>23.250539453655236</v>
      </c>
      <c r="I21" s="304">
        <f t="shared" ca="1" si="13"/>
        <v>23.60917921309424</v>
      </c>
      <c r="J21" s="306">
        <f t="shared" ca="1" si="14"/>
        <v>0.32428600828894893</v>
      </c>
      <c r="K21" s="307">
        <f t="shared" ca="1" si="15"/>
        <v>1.8392141279253065</v>
      </c>
      <c r="L21" s="304">
        <f t="shared" ca="1" si="0"/>
        <v>1.8675840070883092</v>
      </c>
      <c r="M21" s="306">
        <f t="shared" ca="1" si="16"/>
        <v>1.3962634015954636</v>
      </c>
      <c r="N21" s="304">
        <f t="shared" ca="1" si="17"/>
        <v>80</v>
      </c>
      <c r="P21" s="310">
        <f t="shared" ca="1" si="18"/>
        <v>5</v>
      </c>
      <c r="Q21" s="304">
        <f t="shared" ca="1" si="19"/>
        <v>1300.2180000000001</v>
      </c>
      <c r="R21" s="306">
        <f t="shared" ca="1" si="20"/>
        <v>0.63896840369106289</v>
      </c>
      <c r="S21" s="307">
        <f t="shared" ca="1" si="21"/>
        <v>8.0317067464721124</v>
      </c>
      <c r="T21" s="304">
        <f t="shared" ca="1" si="1"/>
        <v>78.791043182891428</v>
      </c>
      <c r="U21" s="311">
        <f t="shared" ca="1" si="2"/>
        <v>13.681921065185517</v>
      </c>
      <c r="V21" s="306">
        <f t="shared" ca="1" si="3"/>
        <v>1.2247747169865144</v>
      </c>
      <c r="W21" s="304">
        <f t="shared" ca="1" si="4"/>
        <v>1.78175269391824</v>
      </c>
      <c r="Y21" s="314" t="str">
        <f t="shared" ca="1" si="22"/>
        <v/>
      </c>
      <c r="Z21" s="315" t="str">
        <f t="shared" ca="1" si="23"/>
        <v/>
      </c>
      <c r="AA21" s="316" t="str">
        <f t="shared" ca="1" si="24"/>
        <v/>
      </c>
      <c r="AC21" s="310" t="e">
        <f t="shared" ca="1" si="25"/>
        <v>#N/A</v>
      </c>
      <c r="AD21" s="323" t="e">
        <f t="shared" ca="1" si="26"/>
        <v>#N/A</v>
      </c>
      <c r="AE21" s="324">
        <f t="shared" ca="1" si="5"/>
        <v>1.8392141279253065</v>
      </c>
      <c r="AG21" s="306">
        <f t="shared" ca="1" si="27"/>
        <v>152.03048404291656</v>
      </c>
      <c r="AH21" s="304">
        <f t="shared" ca="1" si="28"/>
        <v>161.69144809996632</v>
      </c>
    </row>
    <row r="22" spans="1:34" x14ac:dyDescent="0.2">
      <c r="A22" s="347">
        <f t="shared" ca="1" si="6"/>
        <v>0.01</v>
      </c>
      <c r="B22" s="304">
        <f t="shared" ca="1" si="7"/>
        <v>0.18000000000000002</v>
      </c>
      <c r="D22" s="306">
        <f t="shared" ca="1" si="8"/>
        <v>26.485150058140153</v>
      </c>
      <c r="E22" s="307">
        <f t="shared" ca="1" si="9"/>
        <v>150.2125798370395</v>
      </c>
      <c r="F22" s="304">
        <f t="shared" ca="1" si="10"/>
        <v>152.52961127237285</v>
      </c>
      <c r="G22" s="306">
        <f t="shared" ca="1" si="11"/>
        <v>4.3643341789229568</v>
      </c>
      <c r="H22" s="307">
        <f t="shared" ca="1" si="12"/>
        <v>24.752665252025629</v>
      </c>
      <c r="I22" s="304">
        <f t="shared" ca="1" si="13"/>
        <v>25.134475325817967</v>
      </c>
      <c r="J22" s="306">
        <f t="shared" ca="1" si="14"/>
        <v>0.36660509257527152</v>
      </c>
      <c r="K22" s="307">
        <f t="shared" ca="1" si="15"/>
        <v>2.0792301514537108</v>
      </c>
      <c r="L22" s="304">
        <f t="shared" ca="1" si="0"/>
        <v>2.11130227978287</v>
      </c>
      <c r="M22" s="306">
        <f t="shared" ca="1" si="16"/>
        <v>1.3962634015954636</v>
      </c>
      <c r="N22" s="304">
        <f t="shared" ca="1" si="17"/>
        <v>80</v>
      </c>
      <c r="P22" s="310">
        <f t="shared" ca="1" si="18"/>
        <v>5</v>
      </c>
      <c r="Q22" s="304">
        <f t="shared" ca="1" si="19"/>
        <v>1303.4100000000001</v>
      </c>
      <c r="R22" s="306">
        <f t="shared" ca="1" si="20"/>
        <v>0.64053705382864123</v>
      </c>
      <c r="S22" s="307">
        <f t="shared" ca="1" si="21"/>
        <v>8.0253013759338252</v>
      </c>
      <c r="T22" s="304">
        <f t="shared" ca="1" si="1"/>
        <v>78.728206497910833</v>
      </c>
      <c r="U22" s="311">
        <f t="shared" ca="1" si="2"/>
        <v>13.671009589348007</v>
      </c>
      <c r="V22" s="306">
        <f t="shared" ca="1" si="3"/>
        <v>1.2247453207832826</v>
      </c>
      <c r="W22" s="304">
        <f t="shared" ca="1" si="4"/>
        <v>2.0193652126697041</v>
      </c>
      <c r="Y22" s="314" t="str">
        <f t="shared" ca="1" si="22"/>
        <v/>
      </c>
      <c r="Z22" s="315" t="str">
        <f t="shared" ca="1" si="23"/>
        <v/>
      </c>
      <c r="AA22" s="316" t="str">
        <f t="shared" ca="1" si="24"/>
        <v/>
      </c>
      <c r="AC22" s="310" t="e">
        <f t="shared" ca="1" si="25"/>
        <v>#N/A</v>
      </c>
      <c r="AD22" s="323" t="e">
        <f t="shared" ca="1" si="26"/>
        <v>#N/A</v>
      </c>
      <c r="AE22" s="324">
        <f t="shared" ca="1" si="5"/>
        <v>2.0792301514537108</v>
      </c>
      <c r="AG22" s="306">
        <f t="shared" ca="1" si="27"/>
        <v>152.529611266313</v>
      </c>
      <c r="AH22" s="304">
        <f t="shared" ca="1" si="28"/>
        <v>162.19057532336276</v>
      </c>
    </row>
    <row r="23" spans="1:34" x14ac:dyDescent="0.2">
      <c r="A23" s="347">
        <f t="shared" ca="1" si="6"/>
        <v>0.01</v>
      </c>
      <c r="B23" s="304">
        <f t="shared" ca="1" si="7"/>
        <v>0.19000000000000003</v>
      </c>
      <c r="D23" s="306">
        <f t="shared" ca="1" si="8"/>
        <v>26.571674901993337</v>
      </c>
      <c r="E23" s="307">
        <f t="shared" ca="1" si="9"/>
        <v>150.70331207088219</v>
      </c>
      <c r="F23" s="304">
        <f t="shared" ca="1" si="10"/>
        <v>153.02791306239175</v>
      </c>
      <c r="G23" s="306">
        <f t="shared" ca="1" si="11"/>
        <v>4.6300509279428903</v>
      </c>
      <c r="H23" s="307">
        <f t="shared" ca="1" si="12"/>
        <v>26.259698372734452</v>
      </c>
      <c r="I23" s="304">
        <f t="shared" ca="1" si="13"/>
        <v>26.664754456441884</v>
      </c>
      <c r="J23" s="306">
        <f t="shared" ca="1" si="14"/>
        <v>0.41157701810960073</v>
      </c>
      <c r="K23" s="307">
        <f t="shared" ca="1" si="15"/>
        <v>2.3342919695775111</v>
      </c>
      <c r="L23" s="304">
        <f t="shared" ca="1" si="0"/>
        <v>2.3702984286941686</v>
      </c>
      <c r="M23" s="306">
        <f t="shared" ca="1" si="16"/>
        <v>1.3962634015954636</v>
      </c>
      <c r="N23" s="304">
        <f t="shared" ca="1" si="17"/>
        <v>80</v>
      </c>
      <c r="P23" s="310">
        <f t="shared" ca="1" si="18"/>
        <v>5</v>
      </c>
      <c r="Q23" s="304">
        <f t="shared" ca="1" si="19"/>
        <v>1306.6020000000001</v>
      </c>
      <c r="R23" s="306">
        <f t="shared" ca="1" si="20"/>
        <v>0.64210570396621969</v>
      </c>
      <c r="S23" s="307">
        <f t="shared" ca="1" si="21"/>
        <v>8.0188803188941638</v>
      </c>
      <c r="T23" s="304">
        <f t="shared" ca="1" si="1"/>
        <v>78.665215928351756</v>
      </c>
      <c r="U23" s="311">
        <f t="shared" ca="1" si="2"/>
        <v>13.660071391733871</v>
      </c>
      <c r="V23" s="306">
        <f t="shared" ca="1" si="3"/>
        <v>1.2247140826044607</v>
      </c>
      <c r="W23" s="304">
        <f t="shared" ca="1" si="4"/>
        <v>2.2726854057540185</v>
      </c>
      <c r="Y23" s="314" t="str">
        <f t="shared" ca="1" si="22"/>
        <v/>
      </c>
      <c r="Z23" s="315" t="str">
        <f t="shared" ca="1" si="23"/>
        <v/>
      </c>
      <c r="AA23" s="316" t="str">
        <f t="shared" ca="1" si="24"/>
        <v/>
      </c>
      <c r="AC23" s="310" t="e">
        <f t="shared" ca="1" si="25"/>
        <v>#N/A</v>
      </c>
      <c r="AD23" s="323" t="e">
        <f t="shared" ca="1" si="26"/>
        <v>#N/A</v>
      </c>
      <c r="AE23" s="324">
        <f t="shared" ca="1" si="5"/>
        <v>2.3342919695775111</v>
      </c>
      <c r="AG23" s="306">
        <f t="shared" ca="1" si="27"/>
        <v>153.02791305631231</v>
      </c>
      <c r="AH23" s="304">
        <f t="shared" ca="1" si="28"/>
        <v>162.68887711336208</v>
      </c>
    </row>
    <row r="24" spans="1:34" x14ac:dyDescent="0.2">
      <c r="A24" s="347">
        <f t="shared" ca="1" si="6"/>
        <v>0.01</v>
      </c>
      <c r="B24" s="304">
        <f t="shared" ca="1" si="7"/>
        <v>0.20000000000000004</v>
      </c>
      <c r="D24" s="306">
        <f t="shared" ca="1" si="8"/>
        <v>26.658053478681332</v>
      </c>
      <c r="E24" s="307">
        <f t="shared" ca="1" si="9"/>
        <v>151.1932148386453</v>
      </c>
      <c r="F24" s="304">
        <f t="shared" ca="1" si="10"/>
        <v>153.52537258875807</v>
      </c>
      <c r="G24" s="306">
        <f t="shared" ca="1" si="11"/>
        <v>4.8966314627297036</v>
      </c>
      <c r="H24" s="307">
        <f t="shared" ca="1" si="12"/>
        <v>27.771630521120905</v>
      </c>
      <c r="I24" s="304">
        <f t="shared" ca="1" si="13"/>
        <v>28.200008182329462</v>
      </c>
      <c r="J24" s="306">
        <f t="shared" ca="1" si="14"/>
        <v>0.45921043006296369</v>
      </c>
      <c r="K24" s="307">
        <f t="shared" ca="1" si="15"/>
        <v>2.6044486140467877</v>
      </c>
      <c r="L24" s="304">
        <f t="shared" ca="1" si="0"/>
        <v>2.6446222418880252</v>
      </c>
      <c r="M24" s="306">
        <f t="shared" ca="1" si="16"/>
        <v>1.3962634015954636</v>
      </c>
      <c r="N24" s="304">
        <f t="shared" ca="1" si="17"/>
        <v>80</v>
      </c>
      <c r="P24" s="310">
        <f t="shared" ca="1" si="18"/>
        <v>5</v>
      </c>
      <c r="Q24" s="304">
        <f t="shared" ca="1" si="19"/>
        <v>1309.7940000000001</v>
      </c>
      <c r="R24" s="306">
        <f t="shared" ca="1" si="20"/>
        <v>0.64367435410379803</v>
      </c>
      <c r="S24" s="307">
        <f t="shared" ca="1" si="21"/>
        <v>8.0124435753531262</v>
      </c>
      <c r="T24" s="304">
        <f t="shared" ca="1" si="1"/>
        <v>78.602071474214171</v>
      </c>
      <c r="U24" s="311">
        <f t="shared" ca="1" si="2"/>
        <v>13.649106472343105</v>
      </c>
      <c r="V24" s="306">
        <f t="shared" ca="1" si="3"/>
        <v>1.2246809965861796</v>
      </c>
      <c r="W24" s="304">
        <f t="shared" ca="1" si="4"/>
        <v>2.5418556365285512</v>
      </c>
      <c r="Y24" s="314" t="str">
        <f t="shared" ca="1" si="22"/>
        <v/>
      </c>
      <c r="Z24" s="315" t="str">
        <f t="shared" ca="1" si="23"/>
        <v/>
      </c>
      <c r="AA24" s="316" t="str">
        <f t="shared" ca="1" si="24"/>
        <v/>
      </c>
      <c r="AC24" s="310" t="e">
        <f t="shared" ca="1" si="25"/>
        <v>#N/A</v>
      </c>
      <c r="AD24" s="323" t="e">
        <f t="shared" ca="1" si="26"/>
        <v>#N/A</v>
      </c>
      <c r="AE24" s="324">
        <f t="shared" ca="1" si="5"/>
        <v>2.6044486140467877</v>
      </c>
      <c r="AG24" s="306">
        <f t="shared" ca="1" si="27"/>
        <v>153.52537258265889</v>
      </c>
      <c r="AH24" s="304">
        <f t="shared" ca="1" si="28"/>
        <v>163.18633663970866</v>
      </c>
    </row>
    <row r="25" spans="1:34" x14ac:dyDescent="0.2">
      <c r="A25" s="347">
        <f t="shared" ca="1" si="6"/>
        <v>0.01</v>
      </c>
      <c r="B25" s="304">
        <f t="shared" ca="1" si="7"/>
        <v>0.21000000000000005</v>
      </c>
      <c r="D25" s="306">
        <f t="shared" ca="1" si="8"/>
        <v>26.720492881248017</v>
      </c>
      <c r="E25" s="307">
        <f t="shared" ca="1" si="9"/>
        <v>151.54734525489096</v>
      </c>
      <c r="F25" s="304">
        <f t="shared" ca="1" si="10"/>
        <v>153.88496545673962</v>
      </c>
      <c r="G25" s="306">
        <f t="shared" ca="1" si="11"/>
        <v>5.1638363915421834</v>
      </c>
      <c r="H25" s="307">
        <f t="shared" ca="1" si="12"/>
        <v>29.287103973669815</v>
      </c>
      <c r="I25" s="304">
        <f t="shared" ca="1" si="13"/>
        <v>29.738857836896859</v>
      </c>
      <c r="J25" s="306">
        <f t="shared" ca="1" si="14"/>
        <v>0.5095127693343231</v>
      </c>
      <c r="K25" s="307">
        <f t="shared" ca="1" si="15"/>
        <v>2.8897422865207414</v>
      </c>
      <c r="L25" s="304">
        <f t="shared" ca="1" si="0"/>
        <v>2.9343165719841569</v>
      </c>
      <c r="M25" s="306">
        <f t="shared" ca="1" si="16"/>
        <v>1.3962634015954636</v>
      </c>
      <c r="N25" s="304">
        <f t="shared" ca="1" si="17"/>
        <v>80</v>
      </c>
      <c r="P25" s="310">
        <f t="shared" ca="1" si="18"/>
        <v>6</v>
      </c>
      <c r="Q25" s="304">
        <f t="shared" ca="1" si="19"/>
        <v>1311.89</v>
      </c>
      <c r="R25" s="306">
        <f t="shared" ca="1" si="20"/>
        <v>0.64470439504626798</v>
      </c>
      <c r="S25" s="307">
        <f t="shared" ca="1" si="21"/>
        <v>8.0059965314026638</v>
      </c>
      <c r="T25" s="304">
        <f t="shared" ca="1" si="1"/>
        <v>78.538825973060142</v>
      </c>
      <c r="U25" s="311">
        <f t="shared" ca="1" si="2"/>
        <v>13.638124006322077</v>
      </c>
      <c r="V25" s="306">
        <f t="shared" ca="1" si="3"/>
        <v>1.2246460577100016</v>
      </c>
      <c r="W25" s="304">
        <f t="shared" ca="1" si="4"/>
        <v>2.8267577542383582</v>
      </c>
      <c r="Y25" s="314" t="str">
        <f t="shared" ca="1" si="22"/>
        <v/>
      </c>
      <c r="Z25" s="315" t="str">
        <f t="shared" ca="1" si="23"/>
        <v/>
      </c>
      <c r="AA25" s="316" t="str">
        <f t="shared" ca="1" si="24"/>
        <v/>
      </c>
      <c r="AC25" s="310" t="e">
        <f t="shared" ca="1" si="25"/>
        <v>#N/A</v>
      </c>
      <c r="AD25" s="323" t="e">
        <f t="shared" ca="1" si="26"/>
        <v>#N/A</v>
      </c>
      <c r="AE25" s="324">
        <f t="shared" ca="1" si="5"/>
        <v>2.8897422865207414</v>
      </c>
      <c r="AG25" s="306">
        <f t="shared" ca="1" si="27"/>
        <v>153.88496545062537</v>
      </c>
      <c r="AH25" s="304">
        <f t="shared" ca="1" si="28"/>
        <v>163.54592950767514</v>
      </c>
    </row>
    <row r="26" spans="1:34" x14ac:dyDescent="0.2">
      <c r="A26" s="347">
        <f t="shared" ca="1" si="6"/>
        <v>0.01</v>
      </c>
      <c r="B26" s="304">
        <f t="shared" ca="1" si="7"/>
        <v>0.22000000000000006</v>
      </c>
      <c r="D26" s="306">
        <f t="shared" ca="1" si="8"/>
        <v>26.758918889623381</v>
      </c>
      <c r="E26" s="307">
        <f t="shared" ca="1" si="9"/>
        <v>151.76528237559847</v>
      </c>
      <c r="F26" s="304">
        <f t="shared" ca="1" si="10"/>
        <v>154.10626422922132</v>
      </c>
      <c r="G26" s="306">
        <f t="shared" ca="1" si="11"/>
        <v>5.4314255804384173</v>
      </c>
      <c r="H26" s="307">
        <f t="shared" ca="1" si="12"/>
        <v>30.804756797425799</v>
      </c>
      <c r="I26" s="304">
        <f t="shared" ca="1" si="13"/>
        <v>31.279920479189069</v>
      </c>
      <c r="J26" s="306">
        <f t="shared" ca="1" si="14"/>
        <v>0.56248907919422608</v>
      </c>
      <c r="K26" s="307">
        <f t="shared" ca="1" si="15"/>
        <v>3.1902015903762195</v>
      </c>
      <c r="L26" s="304">
        <f t="shared" ca="1" si="0"/>
        <v>3.2394104635645866</v>
      </c>
      <c r="M26" s="306">
        <f t="shared" ca="1" si="16"/>
        <v>1.3962634015954636</v>
      </c>
      <c r="N26" s="304">
        <f t="shared" ca="1" si="17"/>
        <v>80</v>
      </c>
      <c r="P26" s="310">
        <f t="shared" ca="1" si="18"/>
        <v>6</v>
      </c>
      <c r="Q26" s="304">
        <f t="shared" ca="1" si="19"/>
        <v>1312.89</v>
      </c>
      <c r="R26" s="306">
        <f t="shared" ca="1" si="20"/>
        <v>0.64519582679362963</v>
      </c>
      <c r="S26" s="307">
        <f t="shared" ca="1" si="21"/>
        <v>7.9995445731347274</v>
      </c>
      <c r="T26" s="304">
        <f t="shared" ca="1" si="1"/>
        <v>78.475532262451679</v>
      </c>
      <c r="U26" s="311">
        <f t="shared" ca="1" si="2"/>
        <v>13.627133168817139</v>
      </c>
      <c r="V26" s="306">
        <f t="shared" ca="1" si="3"/>
        <v>1.2246092626317278</v>
      </c>
      <c r="W26" s="304">
        <f t="shared" ca="1" si="4"/>
        <v>3.1272186999804585</v>
      </c>
      <c r="Y26" s="314" t="str">
        <f t="shared" ca="1" si="22"/>
        <v/>
      </c>
      <c r="Z26" s="315" t="str">
        <f t="shared" ca="1" si="23"/>
        <v/>
      </c>
      <c r="AA26" s="316" t="str">
        <f t="shared" ca="1" si="24"/>
        <v/>
      </c>
      <c r="AC26" s="310" t="e">
        <f t="shared" ca="1" si="25"/>
        <v>#N/A</v>
      </c>
      <c r="AD26" s="323" t="e">
        <f t="shared" ca="1" si="26"/>
        <v>#N/A</v>
      </c>
      <c r="AE26" s="324">
        <f t="shared" ca="1" si="5"/>
        <v>3.1902015903762195</v>
      </c>
      <c r="AG26" s="306">
        <f t="shared" ca="1" si="27"/>
        <v>154.1062642230967</v>
      </c>
      <c r="AH26" s="304">
        <f t="shared" ca="1" si="28"/>
        <v>163.76722828014647</v>
      </c>
    </row>
    <row r="27" spans="1:34" x14ac:dyDescent="0.2">
      <c r="A27" s="347">
        <f t="shared" ca="1" si="6"/>
        <v>0.01</v>
      </c>
      <c r="B27" s="304">
        <f t="shared" ca="1" si="7"/>
        <v>0.23000000000000007</v>
      </c>
      <c r="D27" s="306">
        <f t="shared" ca="1" si="8"/>
        <v>26.797086427024272</v>
      </c>
      <c r="E27" s="307">
        <f t="shared" ca="1" si="9"/>
        <v>151.98175365945497</v>
      </c>
      <c r="F27" s="304">
        <f t="shared" ca="1" si="10"/>
        <v>154.32607455119393</v>
      </c>
      <c r="G27" s="306">
        <f t="shared" ca="1" si="11"/>
        <v>5.6993964447086602</v>
      </c>
      <c r="H27" s="307">
        <f t="shared" ca="1" si="12"/>
        <v>32.324574334020348</v>
      </c>
      <c r="I27" s="304">
        <f t="shared" ca="1" si="13"/>
        <v>32.82318122470101</v>
      </c>
      <c r="J27" s="306">
        <f t="shared" ca="1" si="14"/>
        <v>0.61814318931996148</v>
      </c>
      <c r="K27" s="307">
        <f t="shared" ca="1" si="15"/>
        <v>3.5058482460334504</v>
      </c>
      <c r="L27" s="304">
        <f t="shared" ca="1" si="0"/>
        <v>3.559925972084037</v>
      </c>
      <c r="M27" s="306">
        <f t="shared" ca="1" si="16"/>
        <v>1.3962634015954636</v>
      </c>
      <c r="N27" s="304">
        <f t="shared" ca="1" si="17"/>
        <v>80</v>
      </c>
      <c r="P27" s="310">
        <f t="shared" ca="1" si="18"/>
        <v>6</v>
      </c>
      <c r="Q27" s="304">
        <f t="shared" ca="1" si="19"/>
        <v>1313.89</v>
      </c>
      <c r="R27" s="306">
        <f t="shared" ca="1" si="20"/>
        <v>0.64568725854099129</v>
      </c>
      <c r="S27" s="307">
        <f t="shared" ca="1" si="21"/>
        <v>7.9930877005493173</v>
      </c>
      <c r="T27" s="304">
        <f t="shared" ca="1" si="1"/>
        <v>78.412190342388811</v>
      </c>
      <c r="U27" s="311">
        <f t="shared" ca="1" si="2"/>
        <v>13.616133959828298</v>
      </c>
      <c r="V27" s="306">
        <f t="shared" ca="1" si="3"/>
        <v>1.2245706088588699</v>
      </c>
      <c r="W27" s="304">
        <f t="shared" ca="1" si="4"/>
        <v>3.4432979707375262</v>
      </c>
      <c r="Y27" s="314" t="str">
        <f t="shared" ca="1" si="22"/>
        <v/>
      </c>
      <c r="Z27" s="315" t="str">
        <f t="shared" ca="1" si="23"/>
        <v/>
      </c>
      <c r="AA27" s="316" t="str">
        <f t="shared" ca="1" si="24"/>
        <v/>
      </c>
      <c r="AC27" s="310" t="e">
        <f t="shared" ca="1" si="25"/>
        <v>#N/A</v>
      </c>
      <c r="AD27" s="323" t="e">
        <f t="shared" ca="1" si="26"/>
        <v>#N/A</v>
      </c>
      <c r="AE27" s="324">
        <f t="shared" ca="1" si="5"/>
        <v>3.5058482460334504</v>
      </c>
      <c r="AG27" s="306">
        <f t="shared" ca="1" si="27"/>
        <v>154.32607454505876</v>
      </c>
      <c r="AH27" s="304">
        <f t="shared" ca="1" si="28"/>
        <v>163.98703860210853</v>
      </c>
    </row>
    <row r="28" spans="1:34" x14ac:dyDescent="0.2">
      <c r="A28" s="347">
        <f t="shared" ca="1" si="6"/>
        <v>0.01</v>
      </c>
      <c r="B28" s="304">
        <f t="shared" ca="1" si="7"/>
        <v>0.24000000000000007</v>
      </c>
      <c r="D28" s="306">
        <f t="shared" ca="1" si="8"/>
        <v>26.834993643409994</v>
      </c>
      <c r="E28" s="307">
        <f t="shared" ca="1" si="9"/>
        <v>152.19674861444145</v>
      </c>
      <c r="F28" s="304">
        <f t="shared" ca="1" si="10"/>
        <v>154.54438576877951</v>
      </c>
      <c r="G28" s="306">
        <f t="shared" ca="1" si="11"/>
        <v>5.96774638114276</v>
      </c>
      <c r="H28" s="307">
        <f t="shared" ca="1" si="12"/>
        <v>33.846541820164759</v>
      </c>
      <c r="I28" s="304">
        <f t="shared" ca="1" si="13"/>
        <v>34.368625082388796</v>
      </c>
      <c r="J28" s="306">
        <f t="shared" ca="1" si="14"/>
        <v>0.67647890344921857</v>
      </c>
      <c r="K28" s="307">
        <f t="shared" ca="1" si="15"/>
        <v>3.836703826804376</v>
      </c>
      <c r="L28" s="304">
        <f t="shared" ca="1" si="0"/>
        <v>3.8958850036194859</v>
      </c>
      <c r="M28" s="306">
        <f t="shared" ca="1" si="16"/>
        <v>1.3962634015954636</v>
      </c>
      <c r="N28" s="304">
        <f t="shared" ca="1" si="17"/>
        <v>80</v>
      </c>
      <c r="P28" s="310">
        <f t="shared" ca="1" si="18"/>
        <v>6</v>
      </c>
      <c r="Q28" s="304">
        <f t="shared" ca="1" si="19"/>
        <v>1314.89</v>
      </c>
      <c r="R28" s="306">
        <f t="shared" ca="1" si="20"/>
        <v>0.64617869028835295</v>
      </c>
      <c r="S28" s="307">
        <f t="shared" ca="1" si="21"/>
        <v>7.9866259136464341</v>
      </c>
      <c r="T28" s="304">
        <f t="shared" ca="1" si="1"/>
        <v>78.348800212871524</v>
      </c>
      <c r="U28" s="311">
        <f t="shared" ca="1" si="2"/>
        <v>13.60512637935555</v>
      </c>
      <c r="V28" s="306">
        <f t="shared" ca="1" si="3"/>
        <v>1.2245300939257382</v>
      </c>
      <c r="W28" s="304">
        <f t="shared" ca="1" si="4"/>
        <v>3.7750543933041474</v>
      </c>
      <c r="Y28" s="314" t="str">
        <f t="shared" ca="1" si="22"/>
        <v>Sortie de rampe</v>
      </c>
      <c r="Z28" s="315" t="str">
        <f t="shared" ca="1" si="23"/>
        <v/>
      </c>
      <c r="AA28" s="316" t="str">
        <f t="shared" ca="1" si="24"/>
        <v/>
      </c>
      <c r="AC28" s="310" t="e">
        <f t="shared" ca="1" si="25"/>
        <v>#N/A</v>
      </c>
      <c r="AD28" s="323" t="e">
        <f t="shared" ca="1" si="26"/>
        <v>#N/A</v>
      </c>
      <c r="AE28" s="324">
        <f t="shared" ca="1" si="5"/>
        <v>3.836703826804376</v>
      </c>
      <c r="AG28" s="306">
        <f t="shared" ca="1" si="27"/>
        <v>154.54438576263379</v>
      </c>
      <c r="AH28" s="304">
        <f t="shared" ca="1" si="28"/>
        <v>164.20534981968356</v>
      </c>
    </row>
    <row r="29" spans="1:34" x14ac:dyDescent="0.2">
      <c r="A29" s="347">
        <f t="shared" ca="1" si="6"/>
        <v>0.01</v>
      </c>
      <c r="B29" s="304">
        <f t="shared" ca="1" si="7"/>
        <v>0.25000000000000006</v>
      </c>
      <c r="D29" s="306">
        <f t="shared" ca="1" si="8"/>
        <v>26.872638696371439</v>
      </c>
      <c r="E29" s="307">
        <f t="shared" ca="1" si="9"/>
        <v>152.41025679182036</v>
      </c>
      <c r="F29" s="304">
        <f t="shared" ca="1" si="10"/>
        <v>154.7611872720494</v>
      </c>
      <c r="G29" s="306">
        <f t="shared" ca="1" si="11"/>
        <v>6.2364727681064744</v>
      </c>
      <c r="H29" s="307">
        <f t="shared" ca="1" si="12"/>
        <v>35.370644388082965</v>
      </c>
      <c r="I29" s="304">
        <f t="shared" ca="1" si="13"/>
        <v>35.916236955109291</v>
      </c>
      <c r="J29" s="306">
        <f t="shared" ca="1" si="14"/>
        <v>0.73749999919546472</v>
      </c>
      <c r="K29" s="307">
        <f t="shared" ca="1" si="15"/>
        <v>4.1827897578456144</v>
      </c>
      <c r="L29" s="304">
        <f t="shared" ca="1" si="0"/>
        <v>4.2473093138069755</v>
      </c>
      <c r="M29" s="306">
        <f t="shared" ca="1" si="16"/>
        <v>1.3962634015954636</v>
      </c>
      <c r="N29" s="304">
        <f t="shared" ca="1" si="17"/>
        <v>80</v>
      </c>
      <c r="P29" s="310">
        <f t="shared" ca="1" si="18"/>
        <v>6</v>
      </c>
      <c r="Q29" s="304">
        <f t="shared" ca="1" si="19"/>
        <v>1315.89</v>
      </c>
      <c r="R29" s="306">
        <f t="shared" ca="1" si="20"/>
        <v>0.64667012203571461</v>
      </c>
      <c r="S29" s="307">
        <f t="shared" ca="1" si="21"/>
        <v>7.9801592124260772</v>
      </c>
      <c r="T29" s="304">
        <f t="shared" ca="1" si="1"/>
        <v>78.285361873899816</v>
      </c>
      <c r="U29" s="311">
        <f t="shared" ca="1" si="2"/>
        <v>0</v>
      </c>
      <c r="V29" s="306">
        <f t="shared" ca="1" si="3"/>
        <v>1.2244877153936045</v>
      </c>
      <c r="W29" s="304">
        <f t="shared" ca="1" si="4"/>
        <v>4.1225461158975829</v>
      </c>
      <c r="Y29" s="314" t="str">
        <f t="shared" ca="1" si="22"/>
        <v/>
      </c>
      <c r="Z29" s="315" t="str">
        <f t="shared" ca="1" si="23"/>
        <v/>
      </c>
      <c r="AA29" s="316" t="str">
        <f t="shared" ca="1" si="24"/>
        <v/>
      </c>
      <c r="AC29" s="310" t="e">
        <f t="shared" ca="1" si="25"/>
        <v>#N/A</v>
      </c>
      <c r="AD29" s="323" t="e">
        <f t="shared" ca="1" si="26"/>
        <v>#N/A</v>
      </c>
      <c r="AE29" s="324">
        <f t="shared" ca="1" si="5"/>
        <v>4.1827897578456144</v>
      </c>
      <c r="AG29" s="306">
        <f t="shared" ca="1" si="27"/>
        <v>154.76118726589297</v>
      </c>
      <c r="AH29" s="304">
        <f t="shared" ca="1" si="28"/>
        <v>164.42215132294274</v>
      </c>
    </row>
    <row r="30" spans="1:34" x14ac:dyDescent="0.2">
      <c r="A30" s="347">
        <f t="shared" ca="1" si="6"/>
        <v>0.01</v>
      </c>
      <c r="B30" s="304">
        <f t="shared" ca="1" si="7"/>
        <v>0.26000000000000006</v>
      </c>
      <c r="D30" s="306">
        <f t="shared" ca="1" si="8"/>
        <v>28.588990137560994</v>
      </c>
      <c r="E30" s="307">
        <f t="shared" ca="1" si="9"/>
        <v>152.32622000837958</v>
      </c>
      <c r="F30" s="304">
        <f t="shared" ca="1" si="10"/>
        <v>154.9858305108142</v>
      </c>
      <c r="G30" s="306">
        <f t="shared" ca="1" si="11"/>
        <v>6.5223626694820842</v>
      </c>
      <c r="H30" s="307">
        <f t="shared" ca="1" si="12"/>
        <v>36.893906588166764</v>
      </c>
      <c r="I30" s="304">
        <f t="shared" ca="1" si="13"/>
        <v>37.466005366580362</v>
      </c>
      <c r="J30" s="306">
        <f t="shared" ca="1" si="14"/>
        <v>0.8012941763834075</v>
      </c>
      <c r="K30" s="307">
        <f t="shared" ca="1" si="15"/>
        <v>4.5441125127268629</v>
      </c>
      <c r="L30" s="304">
        <f t="shared" ca="1" si="0"/>
        <v>4.6142205068057605</v>
      </c>
      <c r="M30" s="306">
        <f t="shared" ca="1" si="16"/>
        <v>1.395817299076525</v>
      </c>
      <c r="N30" s="304">
        <f t="shared" ca="1" si="17"/>
        <v>79.974440208434658</v>
      </c>
      <c r="P30" s="310">
        <f t="shared" ca="1" si="18"/>
        <v>6</v>
      </c>
      <c r="Q30" s="304">
        <f t="shared" ca="1" si="19"/>
        <v>1316.89</v>
      </c>
      <c r="R30" s="306">
        <f t="shared" ca="1" si="20"/>
        <v>0.64716155378307627</v>
      </c>
      <c r="S30" s="307">
        <f t="shared" ca="1" si="21"/>
        <v>7.9736875968882464</v>
      </c>
      <c r="T30" s="304">
        <f t="shared" ca="1" si="1"/>
        <v>78.221875325473704</v>
      </c>
      <c r="U30" s="311">
        <f t="shared" ca="1" si="2"/>
        <v>0</v>
      </c>
      <c r="V30" s="306">
        <f t="shared" ca="1" si="3"/>
        <v>1.2244434726633329</v>
      </c>
      <c r="W30" s="304">
        <f t="shared" ca="1" si="4"/>
        <v>4.4858314988011854</v>
      </c>
      <c r="Y30" s="314" t="str">
        <f t="shared" ca="1" si="22"/>
        <v/>
      </c>
      <c r="Z30" s="315" t="str">
        <f t="shared" ca="1" si="23"/>
        <v/>
      </c>
      <c r="AA30" s="316" t="str">
        <f t="shared" ca="1" si="24"/>
        <v/>
      </c>
      <c r="AC30" s="310" t="e">
        <f t="shared" ca="1" si="25"/>
        <v>#N/A</v>
      </c>
      <c r="AD30" s="323" t="e">
        <f t="shared" ca="1" si="26"/>
        <v>#N/A</v>
      </c>
      <c r="AE30" s="324">
        <f t="shared" ca="1" si="5"/>
        <v>4.5441125127268629</v>
      </c>
      <c r="AG30" s="306">
        <f t="shared" ca="1" si="27"/>
        <v>154.97646849002086</v>
      </c>
      <c r="AH30" s="304">
        <f t="shared" ca="1" si="28"/>
        <v>164.63743254707063</v>
      </c>
    </row>
    <row r="31" spans="1:34" x14ac:dyDescent="0.2">
      <c r="A31" s="347">
        <f t="shared" ca="1" si="6"/>
        <v>0.01</v>
      </c>
      <c r="B31" s="304">
        <f t="shared" ca="1" si="7"/>
        <v>0.27000000000000007</v>
      </c>
      <c r="D31" s="306">
        <f t="shared" ca="1" si="8"/>
        <v>28.698527921251383</v>
      </c>
      <c r="E31" s="307">
        <f t="shared" ca="1" si="9"/>
        <v>152.52393664210635</v>
      </c>
      <c r="F31" s="304">
        <f t="shared" ca="1" si="10"/>
        <v>155.20037613888735</v>
      </c>
      <c r="G31" s="306">
        <f t="shared" ca="1" si="11"/>
        <v>6.8093479486945983</v>
      </c>
      <c r="H31" s="307">
        <f t="shared" ca="1" si="12"/>
        <v>38.419145954587826</v>
      </c>
      <c r="I31" s="304">
        <f t="shared" ca="1" si="13"/>
        <v>39.017918901016664</v>
      </c>
      <c r="J31" s="306">
        <f t="shared" ca="1" si="14"/>
        <v>0.86795272947429092</v>
      </c>
      <c r="K31" s="307">
        <f t="shared" ca="1" si="15"/>
        <v>4.9206777754406357</v>
      </c>
      <c r="L31" s="304">
        <f t="shared" ca="1" si="0"/>
        <v>4.9966400421000188</v>
      </c>
      <c r="M31" s="306">
        <f t="shared" ca="1" si="16"/>
        <v>1.3953796031828691</v>
      </c>
      <c r="N31" s="304">
        <f t="shared" ca="1" si="17"/>
        <v>79.949362081017981</v>
      </c>
      <c r="P31" s="310">
        <f t="shared" ca="1" si="18"/>
        <v>6</v>
      </c>
      <c r="Q31" s="304">
        <f t="shared" ca="1" si="19"/>
        <v>1317.89</v>
      </c>
      <c r="R31" s="306">
        <f t="shared" ca="1" si="20"/>
        <v>0.64765298553043793</v>
      </c>
      <c r="S31" s="307">
        <f t="shared" ca="1" si="21"/>
        <v>7.9672110670329417</v>
      </c>
      <c r="T31" s="304">
        <f t="shared" ca="1" si="1"/>
        <v>78.158340567593157</v>
      </c>
      <c r="U31" s="311">
        <f t="shared" ca="1" si="2"/>
        <v>0</v>
      </c>
      <c r="V31" s="306">
        <f t="shared" ca="1" si="3"/>
        <v>1.2243973652410818</v>
      </c>
      <c r="W31" s="304">
        <f t="shared" ca="1" si="4"/>
        <v>4.8649683986403218</v>
      </c>
      <c r="Y31" s="314" t="str">
        <f t="shared" ca="1" si="22"/>
        <v/>
      </c>
      <c r="Z31" s="315" t="str">
        <f t="shared" ca="1" si="23"/>
        <v/>
      </c>
      <c r="AA31" s="316" t="str">
        <f t="shared" ca="1" si="24"/>
        <v/>
      </c>
      <c r="AC31" s="310" t="e">
        <f t="shared" ca="1" si="25"/>
        <v>#N/A</v>
      </c>
      <c r="AD31" s="323" t="e">
        <f t="shared" ca="1" si="26"/>
        <v>#N/A</v>
      </c>
      <c r="AE31" s="324">
        <f t="shared" ca="1" si="5"/>
        <v>4.9206777754406357</v>
      </c>
      <c r="AG31" s="306">
        <f t="shared" ca="1" si="27"/>
        <v>155.19097969548744</v>
      </c>
      <c r="AH31" s="304">
        <f t="shared" ca="1" si="28"/>
        <v>164.85118286069482</v>
      </c>
    </row>
    <row r="32" spans="1:34" x14ac:dyDescent="0.2">
      <c r="A32" s="347">
        <f t="shared" ca="1" si="6"/>
        <v>0.01</v>
      </c>
      <c r="B32" s="304">
        <f t="shared" ca="1" si="7"/>
        <v>0.28000000000000008</v>
      </c>
      <c r="D32" s="306">
        <f t="shared" ca="1" si="8"/>
        <v>28.806612424025722</v>
      </c>
      <c r="E32" s="307">
        <f t="shared" ca="1" si="9"/>
        <v>152.72031208194522</v>
      </c>
      <c r="F32" s="304">
        <f t="shared" ca="1" si="10"/>
        <v>155.4133669983209</v>
      </c>
      <c r="G32" s="306">
        <f t="shared" ca="1" si="11"/>
        <v>7.0974140729348552</v>
      </c>
      <c r="H32" s="307">
        <f t="shared" ca="1" si="12"/>
        <v>39.946349075407277</v>
      </c>
      <c r="I32" s="304">
        <f t="shared" ca="1" si="13"/>
        <v>40.571961882277584</v>
      </c>
      <c r="J32" s="306">
        <f t="shared" ca="1" si="14"/>
        <v>0.93748653958243822</v>
      </c>
      <c r="K32" s="307">
        <f t="shared" ca="1" si="15"/>
        <v>5.3125052505906112</v>
      </c>
      <c r="L32" s="304">
        <f t="shared" ca="1" si="0"/>
        <v>5.3945892382507745</v>
      </c>
      <c r="M32" s="306">
        <f t="shared" ca="1" si="16"/>
        <v>1.3949576304034959</v>
      </c>
      <c r="N32" s="304">
        <f t="shared" ca="1" si="17"/>
        <v>79.925184821690479</v>
      </c>
      <c r="P32" s="310">
        <f t="shared" ca="1" si="18"/>
        <v>6</v>
      </c>
      <c r="Q32" s="304">
        <f t="shared" ca="1" si="19"/>
        <v>1318.89</v>
      </c>
      <c r="R32" s="306">
        <f t="shared" ca="1" si="20"/>
        <v>0.64814441727779959</v>
      </c>
      <c r="S32" s="307">
        <f t="shared" ca="1" si="21"/>
        <v>7.9607296228601641</v>
      </c>
      <c r="T32" s="304">
        <f t="shared" ca="1" si="1"/>
        <v>78.09475760025822</v>
      </c>
      <c r="U32" s="311">
        <f t="shared" ca="1" si="2"/>
        <v>0</v>
      </c>
      <c r="V32" s="306">
        <f t="shared" ca="1" si="3"/>
        <v>1.2243493909250094</v>
      </c>
      <c r="W32" s="304">
        <f t="shared" ca="1" si="4"/>
        <v>5.2600130408752417</v>
      </c>
      <c r="Y32" s="314" t="str">
        <f t="shared" ca="1" si="22"/>
        <v/>
      </c>
      <c r="Z32" s="315" t="str">
        <f t="shared" ca="1" si="23"/>
        <v/>
      </c>
      <c r="AA32" s="316" t="str">
        <f t="shared" ca="1" si="24"/>
        <v/>
      </c>
      <c r="AC32" s="310" t="e">
        <f t="shared" ca="1" si="25"/>
        <v>#N/A</v>
      </c>
      <c r="AD32" s="323" t="e">
        <f t="shared" ca="1" si="26"/>
        <v>#N/A</v>
      </c>
      <c r="AE32" s="324">
        <f t="shared" ca="1" si="5"/>
        <v>5.3125052505906112</v>
      </c>
      <c r="AG32" s="306">
        <f t="shared" ca="1" si="27"/>
        <v>155.4039369118388</v>
      </c>
      <c r="AH32" s="304">
        <f t="shared" ca="1" si="28"/>
        <v>165.06339165545626</v>
      </c>
    </row>
    <row r="33" spans="1:34" x14ac:dyDescent="0.2">
      <c r="A33" s="347">
        <f t="shared" ca="1" si="6"/>
        <v>0.01</v>
      </c>
      <c r="B33" s="304">
        <f t="shared" ca="1" si="7"/>
        <v>0.29000000000000009</v>
      </c>
      <c r="D33" s="306">
        <f t="shared" ca="1" si="8"/>
        <v>28.912044259326972</v>
      </c>
      <c r="E33" s="307">
        <f t="shared" ca="1" si="9"/>
        <v>152.91555054535854</v>
      </c>
      <c r="F33" s="304">
        <f t="shared" ca="1" si="10"/>
        <v>155.62477920255304</v>
      </c>
      <c r="G33" s="306">
        <f t="shared" ca="1" si="11"/>
        <v>7.3865345155281252</v>
      </c>
      <c r="H33" s="307">
        <f t="shared" ca="1" si="12"/>
        <v>41.475504580860864</v>
      </c>
      <c r="I33" s="304">
        <f t="shared" ca="1" si="13"/>
        <v>42.128118547902169</v>
      </c>
      <c r="J33" s="306">
        <f t="shared" ca="1" si="14"/>
        <v>1.0099062825247531</v>
      </c>
      <c r="K33" s="307">
        <f t="shared" ca="1" si="15"/>
        <v>5.7196145188719516</v>
      </c>
      <c r="L33" s="304">
        <f t="shared" ca="1" si="0"/>
        <v>5.8080892679067686</v>
      </c>
      <c r="M33" s="306">
        <f t="shared" ca="1" si="16"/>
        <v>1.394550277243128</v>
      </c>
      <c r="N33" s="304">
        <f t="shared" ca="1" si="17"/>
        <v>79.901845204830082</v>
      </c>
      <c r="P33" s="310">
        <f t="shared" ca="1" si="18"/>
        <v>6</v>
      </c>
      <c r="Q33" s="304">
        <f t="shared" ca="1" si="19"/>
        <v>1319.89</v>
      </c>
      <c r="R33" s="306">
        <f t="shared" ca="1" si="20"/>
        <v>0.64863584902516114</v>
      </c>
      <c r="S33" s="307">
        <f t="shared" ca="1" si="21"/>
        <v>7.9542432643699126</v>
      </c>
      <c r="T33" s="304">
        <f t="shared" ca="1" si="1"/>
        <v>78.031126423468848</v>
      </c>
      <c r="U33" s="311">
        <f t="shared" ca="1" si="2"/>
        <v>0</v>
      </c>
      <c r="V33" s="306">
        <f t="shared" ca="1" si="3"/>
        <v>1.2242995475373422</v>
      </c>
      <c r="W33" s="304">
        <f t="shared" ca="1" si="4"/>
        <v>5.6710209346166813</v>
      </c>
      <c r="Y33" s="314" t="str">
        <f t="shared" ca="1" si="22"/>
        <v/>
      </c>
      <c r="Z33" s="315" t="str">
        <f t="shared" ca="1" si="23"/>
        <v/>
      </c>
      <c r="AA33" s="316" t="str">
        <f t="shared" ca="1" si="24"/>
        <v/>
      </c>
      <c r="AC33" s="310" t="e">
        <f t="shared" ca="1" si="25"/>
        <v>#N/A</v>
      </c>
      <c r="AD33" s="323" t="e">
        <f t="shared" ca="1" si="26"/>
        <v>#N/A</v>
      </c>
      <c r="AE33" s="324">
        <f t="shared" ca="1" si="5"/>
        <v>5.7196145188719516</v>
      </c>
      <c r="AG33" s="306">
        <f t="shared" ca="1" si="27"/>
        <v>155.61531703263083</v>
      </c>
      <c r="AH33" s="304">
        <f t="shared" ca="1" si="28"/>
        <v>165.27404848778684</v>
      </c>
    </row>
    <row r="34" spans="1:34" x14ac:dyDescent="0.2">
      <c r="A34" s="347">
        <f t="shared" ca="1" si="6"/>
        <v>0.01</v>
      </c>
      <c r="B34" s="304">
        <f t="shared" ca="1" si="7"/>
        <v>0.3000000000000001</v>
      </c>
      <c r="D34" s="306">
        <f t="shared" ca="1" si="8"/>
        <v>29.014990210275609</v>
      </c>
      <c r="E34" s="307">
        <f t="shared" ca="1" si="9"/>
        <v>153.10961498996352</v>
      </c>
      <c r="F34" s="304">
        <f t="shared" ca="1" si="10"/>
        <v>155.83460417788228</v>
      </c>
      <c r="G34" s="306">
        <f t="shared" ca="1" si="11"/>
        <v>7.6766844176308817</v>
      </c>
      <c r="H34" s="307">
        <f t="shared" ca="1" si="12"/>
        <v>43.006600730760496</v>
      </c>
      <c r="I34" s="304">
        <f t="shared" ca="1" si="13"/>
        <v>43.686373047701572</v>
      </c>
      <c r="J34" s="306">
        <f t="shared" ca="1" si="14"/>
        <v>1.085222377190548</v>
      </c>
      <c r="K34" s="307">
        <f t="shared" ca="1" si="15"/>
        <v>6.1420250454300582</v>
      </c>
      <c r="L34" s="304">
        <f t="shared" ca="1" si="0"/>
        <v>6.2371611544552232</v>
      </c>
      <c r="M34" s="306">
        <f t="shared" ca="1" si="16"/>
        <v>1.3941565534175138</v>
      </c>
      <c r="N34" s="304">
        <f t="shared" ca="1" si="17"/>
        <v>79.879286491328642</v>
      </c>
      <c r="P34" s="310">
        <f t="shared" ca="1" si="18"/>
        <v>6</v>
      </c>
      <c r="Q34" s="304">
        <f t="shared" ca="1" si="19"/>
        <v>1320.89</v>
      </c>
      <c r="R34" s="306">
        <f t="shared" ca="1" si="20"/>
        <v>0.6491272807725228</v>
      </c>
      <c r="S34" s="307">
        <f t="shared" ca="1" si="21"/>
        <v>7.9477519915621873</v>
      </c>
      <c r="T34" s="304">
        <f t="shared" ca="1" si="1"/>
        <v>77.967447037225057</v>
      </c>
      <c r="U34" s="311">
        <f t="shared" ca="1" si="2"/>
        <v>0</v>
      </c>
      <c r="V34" s="306">
        <f t="shared" ca="1" si="3"/>
        <v>1.2242478329233861</v>
      </c>
      <c r="W34" s="304">
        <f t="shared" ca="1" si="4"/>
        <v>6.0980468647656787</v>
      </c>
      <c r="Y34" s="314" t="str">
        <f t="shared" ca="1" si="22"/>
        <v/>
      </c>
      <c r="Z34" s="315" t="str">
        <f t="shared" ca="1" si="23"/>
        <v/>
      </c>
      <c r="AA34" s="316" t="str">
        <f t="shared" ca="1" si="24"/>
        <v/>
      </c>
      <c r="AC34" s="310" t="e">
        <f t="shared" ca="1" si="25"/>
        <v>#N/A</v>
      </c>
      <c r="AD34" s="323" t="e">
        <f t="shared" ca="1" si="26"/>
        <v>#N/A</v>
      </c>
      <c r="AE34" s="324">
        <f t="shared" ca="1" si="5"/>
        <v>6.1420250454300582</v>
      </c>
      <c r="AG34" s="306">
        <f t="shared" ca="1" si="27"/>
        <v>155.82511137025088</v>
      </c>
      <c r="AH34" s="304">
        <f t="shared" ca="1" si="28"/>
        <v>165.48314296441296</v>
      </c>
    </row>
    <row r="35" spans="1:34" x14ac:dyDescent="0.2">
      <c r="A35" s="347">
        <f t="shared" ca="1" si="6"/>
        <v>0.01</v>
      </c>
      <c r="B35" s="304">
        <f t="shared" ca="1" si="7"/>
        <v>0.31000000000000011</v>
      </c>
      <c r="D35" s="306">
        <f t="shared" ca="1" si="8"/>
        <v>29.115599566811468</v>
      </c>
      <c r="E35" s="307">
        <f t="shared" ca="1" si="9"/>
        <v>153.30247115105425</v>
      </c>
      <c r="F35" s="304">
        <f t="shared" ca="1" si="10"/>
        <v>156.04283321945525</v>
      </c>
      <c r="G35" s="306">
        <f t="shared" ca="1" si="11"/>
        <v>7.9678404132989966</v>
      </c>
      <c r="H35" s="307">
        <f t="shared" ca="1" si="12"/>
        <v>44.539625442271038</v>
      </c>
      <c r="I35" s="304">
        <f t="shared" ca="1" si="13"/>
        <v>45.246709442672163</v>
      </c>
      <c r="J35" s="306">
        <f t="shared" ca="1" si="14"/>
        <v>1.1634450013451973</v>
      </c>
      <c r="K35" s="307">
        <f t="shared" ca="1" si="15"/>
        <v>6.5797561762952155</v>
      </c>
      <c r="L35" s="304">
        <f t="shared" ca="1" si="0"/>
        <v>6.6818257692527538</v>
      </c>
      <c r="M35" s="306">
        <f t="shared" ca="1" si="16"/>
        <v>1.3937755668055407</v>
      </c>
      <c r="N35" s="304">
        <f t="shared" ca="1" si="17"/>
        <v>79.857457566411597</v>
      </c>
      <c r="P35" s="310">
        <f t="shared" ca="1" si="18"/>
        <v>6</v>
      </c>
      <c r="Q35" s="304">
        <f t="shared" ca="1" si="19"/>
        <v>1321.89</v>
      </c>
      <c r="R35" s="306">
        <f t="shared" ca="1" si="20"/>
        <v>0.64961871251988446</v>
      </c>
      <c r="S35" s="307">
        <f t="shared" ca="1" si="21"/>
        <v>7.9412558044369881</v>
      </c>
      <c r="T35" s="304">
        <f t="shared" ca="1" si="1"/>
        <v>77.90371944152686</v>
      </c>
      <c r="U35" s="311">
        <f t="shared" ca="1" si="2"/>
        <v>0</v>
      </c>
      <c r="V35" s="306">
        <f t="shared" ca="1" si="3"/>
        <v>1.2241942449519916</v>
      </c>
      <c r="W35" s="304">
        <f t="shared" ca="1" si="4"/>
        <v>6.5411448841832209</v>
      </c>
      <c r="Y35" s="314" t="str">
        <f t="shared" ca="1" si="22"/>
        <v/>
      </c>
      <c r="Z35" s="315" t="str">
        <f t="shared" ca="1" si="23"/>
        <v/>
      </c>
      <c r="AA35" s="316" t="str">
        <f t="shared" ca="1" si="24"/>
        <v/>
      </c>
      <c r="AC35" s="310" t="e">
        <f t="shared" ca="1" si="25"/>
        <v>#N/A</v>
      </c>
      <c r="AD35" s="323" t="e">
        <f t="shared" ca="1" si="26"/>
        <v>#N/A</v>
      </c>
      <c r="AE35" s="324">
        <f t="shared" ca="1" si="5"/>
        <v>6.5797561762952155</v>
      </c>
      <c r="AG35" s="306">
        <f t="shared" ca="1" si="27"/>
        <v>156.03331111726322</v>
      </c>
      <c r="AH35" s="304">
        <f t="shared" ca="1" si="28"/>
        <v>165.69066474348642</v>
      </c>
    </row>
    <row r="36" spans="1:34" x14ac:dyDescent="0.2">
      <c r="A36" s="347">
        <f t="shared" ca="1" si="6"/>
        <v>0.01</v>
      </c>
      <c r="B36" s="304">
        <f t="shared" ca="1" si="7"/>
        <v>0.32000000000000012</v>
      </c>
      <c r="D36" s="306">
        <f t="shared" ca="1" si="8"/>
        <v>29.2140064628502</v>
      </c>
      <c r="E36" s="307">
        <f t="shared" ca="1" si="9"/>
        <v>153.49408718423288</v>
      </c>
      <c r="F36" s="304">
        <f t="shared" ca="1" si="10"/>
        <v>156.24945751628175</v>
      </c>
      <c r="G36" s="306">
        <f t="shared" ca="1" si="11"/>
        <v>8.259980477927499</v>
      </c>
      <c r="H36" s="307">
        <f t="shared" ca="1" si="12"/>
        <v>46.074566314113369</v>
      </c>
      <c r="I36" s="304">
        <f t="shared" ca="1" si="13"/>
        <v>46.809111704126295</v>
      </c>
      <c r="J36" s="306">
        <f t="shared" ca="1" si="14"/>
        <v>1.2445841058013298</v>
      </c>
      <c r="K36" s="307">
        <f t="shared" ca="1" si="15"/>
        <v>7.0328271350771372</v>
      </c>
      <c r="L36" s="304">
        <f t="shared" ca="1" si="0"/>
        <v>7.1421038292852188</v>
      </c>
      <c r="M36" s="306">
        <f t="shared" ca="1" si="16"/>
        <v>1.3934065108279305</v>
      </c>
      <c r="N36" s="304">
        <f t="shared" ca="1" si="17"/>
        <v>79.836312216490469</v>
      </c>
      <c r="P36" s="310">
        <f t="shared" ca="1" si="18"/>
        <v>6</v>
      </c>
      <c r="Q36" s="304">
        <f t="shared" ca="1" si="19"/>
        <v>1322.89</v>
      </c>
      <c r="R36" s="306">
        <f t="shared" ca="1" si="20"/>
        <v>0.65011014426724612</v>
      </c>
      <c r="S36" s="307">
        <f t="shared" ca="1" si="21"/>
        <v>7.934754702994316</v>
      </c>
      <c r="T36" s="304">
        <f t="shared" ca="1" si="1"/>
        <v>77.839943636374244</v>
      </c>
      <c r="U36" s="311">
        <f t="shared" ca="1" si="2"/>
        <v>0</v>
      </c>
      <c r="V36" s="306">
        <f t="shared" ca="1" si="3"/>
        <v>1.2241387815159892</v>
      </c>
      <c r="W36" s="304">
        <f t="shared" ca="1" si="4"/>
        <v>7.0003683058765791</v>
      </c>
      <c r="Y36" s="314" t="str">
        <f t="shared" ca="1" si="22"/>
        <v/>
      </c>
      <c r="Z36" s="315" t="str">
        <f t="shared" ca="1" si="23"/>
        <v/>
      </c>
      <c r="AA36" s="316" t="str">
        <f t="shared" ca="1" si="24"/>
        <v/>
      </c>
      <c r="AC36" s="310" t="e">
        <f t="shared" ca="1" si="25"/>
        <v>#N/A</v>
      </c>
      <c r="AD36" s="323" t="e">
        <f t="shared" ca="1" si="26"/>
        <v>#N/A</v>
      </c>
      <c r="AE36" s="324">
        <f t="shared" ca="1" si="5"/>
        <v>7.0328271350771372</v>
      </c>
      <c r="AG36" s="306">
        <f t="shared" ca="1" si="27"/>
        <v>156.23990736994918</v>
      </c>
      <c r="AH36" s="304">
        <f t="shared" ca="1" si="28"/>
        <v>165.89660353571736</v>
      </c>
    </row>
    <row r="37" spans="1:34" x14ac:dyDescent="0.2">
      <c r="A37" s="347">
        <f t="shared" ca="1" si="6"/>
        <v>0.01</v>
      </c>
      <c r="B37" s="304">
        <f t="shared" ca="1" si="7"/>
        <v>0.33000000000000013</v>
      </c>
      <c r="D37" s="306">
        <f t="shared" ca="1" si="8"/>
        <v>29.310331835581763</v>
      </c>
      <c r="E37" s="307">
        <f t="shared" ca="1" si="9"/>
        <v>153.68443336529808</v>
      </c>
      <c r="F37" s="304">
        <f t="shared" ca="1" si="10"/>
        <v>156.45446817245158</v>
      </c>
      <c r="G37" s="306">
        <f t="shared" ca="1" si="11"/>
        <v>8.5530837962833175</v>
      </c>
      <c r="H37" s="307">
        <f t="shared" ca="1" si="12"/>
        <v>47.611410647766348</v>
      </c>
      <c r="I37" s="304">
        <f t="shared" ca="1" si="13"/>
        <v>48.373563713008394</v>
      </c>
      <c r="J37" s="306">
        <f t="shared" ca="1" si="14"/>
        <v>1.3286494271723839</v>
      </c>
      <c r="K37" s="307">
        <f t="shared" ca="1" si="15"/>
        <v>7.5012570198865358</v>
      </c>
      <c r="L37" s="304">
        <f t="shared" ca="1" si="0"/>
        <v>7.6180158951476686</v>
      </c>
      <c r="M37" s="306">
        <f t="shared" ca="1" si="16"/>
        <v>1.3930486537968003</v>
      </c>
      <c r="N37" s="304">
        <f t="shared" ca="1" si="17"/>
        <v>79.815808518937615</v>
      </c>
      <c r="P37" s="310">
        <f t="shared" ca="1" si="18"/>
        <v>6</v>
      </c>
      <c r="Q37" s="304">
        <f t="shared" ca="1" si="19"/>
        <v>1323.89</v>
      </c>
      <c r="R37" s="306">
        <f t="shared" ca="1" si="20"/>
        <v>0.65060157601460777</v>
      </c>
      <c r="S37" s="307">
        <f t="shared" ca="1" si="21"/>
        <v>7.92824868723417</v>
      </c>
      <c r="T37" s="304">
        <f t="shared" ca="1" si="1"/>
        <v>77.776119621767208</v>
      </c>
      <c r="U37" s="311">
        <f t="shared" ca="1" si="2"/>
        <v>0</v>
      </c>
      <c r="V37" s="306">
        <f t="shared" ca="1" si="3"/>
        <v>1.2240814405325968</v>
      </c>
      <c r="W37" s="304">
        <f t="shared" ca="1" si="4"/>
        <v>7.4757696952079264</v>
      </c>
      <c r="Y37" s="314" t="str">
        <f t="shared" ca="1" si="22"/>
        <v/>
      </c>
      <c r="Z37" s="315" t="str">
        <f t="shared" ca="1" si="23"/>
        <v/>
      </c>
      <c r="AA37" s="316" t="str">
        <f t="shared" ca="1" si="24"/>
        <v/>
      </c>
      <c r="AC37" s="310" t="e">
        <f t="shared" ca="1" si="25"/>
        <v>#N/A</v>
      </c>
      <c r="AD37" s="323" t="e">
        <f t="shared" ca="1" si="26"/>
        <v>#N/A</v>
      </c>
      <c r="AE37" s="324">
        <f t="shared" ca="1" si="5"/>
        <v>7.5012570198865358</v>
      </c>
      <c r="AG37" s="306">
        <f t="shared" ca="1" si="27"/>
        <v>156.44489114828272</v>
      </c>
      <c r="AH37" s="304">
        <f t="shared" ca="1" si="28"/>
        <v>166.10094910551177</v>
      </c>
    </row>
    <row r="38" spans="1:34" x14ac:dyDescent="0.2">
      <c r="A38" s="347">
        <f t="shared" ca="1" si="6"/>
        <v>0.01</v>
      </c>
      <c r="B38" s="304">
        <f t="shared" ca="1" si="7"/>
        <v>0.34000000000000014</v>
      </c>
      <c r="D38" s="306">
        <f t="shared" ca="1" si="8"/>
        <v>29.404685078000419</v>
      </c>
      <c r="E38" s="307">
        <f t="shared" ca="1" si="9"/>
        <v>153.87348183672478</v>
      </c>
      <c r="F38" s="304">
        <f t="shared" ca="1" si="10"/>
        <v>156.65785622525686</v>
      </c>
      <c r="G38" s="306">
        <f t="shared" ca="1" si="11"/>
        <v>8.847130647063322</v>
      </c>
      <c r="H38" s="307">
        <f t="shared" ca="1" si="12"/>
        <v>49.150145466133594</v>
      </c>
      <c r="I38" s="304">
        <f t="shared" ca="1" si="13"/>
        <v>49.940049259369978</v>
      </c>
      <c r="J38" s="306">
        <f t="shared" ca="1" si="14"/>
        <v>1.415650499389117</v>
      </c>
      <c r="K38" s="307">
        <f t="shared" ca="1" si="15"/>
        <v>7.9850648004560352</v>
      </c>
      <c r="L38" s="304">
        <f t="shared" ca="1" si="0"/>
        <v>8.1095823692655493</v>
      </c>
      <c r="M38" s="306">
        <f t="shared" ca="1" si="16"/>
        <v>1.392701329877317</v>
      </c>
      <c r="N38" s="304">
        <f t="shared" ca="1" si="17"/>
        <v>79.795908324227284</v>
      </c>
      <c r="P38" s="310">
        <f t="shared" ca="1" si="18"/>
        <v>6</v>
      </c>
      <c r="Q38" s="304">
        <f t="shared" ca="1" si="19"/>
        <v>1324.89</v>
      </c>
      <c r="R38" s="306">
        <f t="shared" ca="1" si="20"/>
        <v>0.65109300776196943</v>
      </c>
      <c r="S38" s="307">
        <f t="shared" ca="1" si="21"/>
        <v>7.9217377571565502</v>
      </c>
      <c r="T38" s="304">
        <f t="shared" ca="1" si="1"/>
        <v>77.712247397705767</v>
      </c>
      <c r="U38" s="311">
        <f t="shared" ca="1" si="2"/>
        <v>0</v>
      </c>
      <c r="V38" s="306">
        <f t="shared" ca="1" si="3"/>
        <v>1.2240222199437996</v>
      </c>
      <c r="W38" s="304">
        <f t="shared" ca="1" si="4"/>
        <v>7.9674008621302317</v>
      </c>
      <c r="Y38" s="314" t="str">
        <f t="shared" ca="1" si="22"/>
        <v/>
      </c>
      <c r="Z38" s="315" t="str">
        <f t="shared" ca="1" si="23"/>
        <v/>
      </c>
      <c r="AA38" s="316" t="str">
        <f t="shared" ca="1" si="24"/>
        <v/>
      </c>
      <c r="AC38" s="310" t="e">
        <f t="shared" ca="1" si="25"/>
        <v>#N/A</v>
      </c>
      <c r="AD38" s="323" t="e">
        <f t="shared" ca="1" si="26"/>
        <v>#N/A</v>
      </c>
      <c r="AE38" s="324">
        <f t="shared" ca="1" si="5"/>
        <v>7.9850648004560352</v>
      </c>
      <c r="AG38" s="306">
        <f t="shared" ca="1" si="27"/>
        <v>156.64825341300283</v>
      </c>
      <c r="AH38" s="304">
        <f t="shared" ca="1" si="28"/>
        <v>166.30369127211154</v>
      </c>
    </row>
    <row r="39" spans="1:34" x14ac:dyDescent="0.2">
      <c r="A39" s="347">
        <f t="shared" ca="1" si="6"/>
        <v>0.01</v>
      </c>
      <c r="B39" s="304">
        <f t="shared" ca="1" si="7"/>
        <v>0.35000000000000014</v>
      </c>
      <c r="D39" s="306">
        <f t="shared" ca="1" si="8"/>
        <v>29.497165440613937</v>
      </c>
      <c r="E39" s="307">
        <f t="shared" ca="1" si="9"/>
        <v>154.06120639232566</v>
      </c>
      <c r="F39" s="304">
        <f t="shared" ca="1" si="10"/>
        <v>156.85961266077931</v>
      </c>
      <c r="G39" s="306">
        <f t="shared" ca="1" si="11"/>
        <v>9.1421023014694605</v>
      </c>
      <c r="H39" s="307">
        <f t="shared" ca="1" si="12"/>
        <v>50.69075753005685</v>
      </c>
      <c r="I39" s="304">
        <f t="shared" ca="1" si="13"/>
        <v>51.508552041981808</v>
      </c>
      <c r="J39" s="306">
        <f t="shared" ca="1" si="14"/>
        <v>1.5055966641317808</v>
      </c>
      <c r="K39" s="307">
        <f t="shared" ca="1" si="15"/>
        <v>8.4842693154369879</v>
      </c>
      <c r="L39" s="304">
        <f t="shared" ca="1" si="0"/>
        <v>8.616823494299414</v>
      </c>
      <c r="M39" s="306">
        <f t="shared" ca="1" si="16"/>
        <v>1.3923639313767127</v>
      </c>
      <c r="N39" s="304">
        <f t="shared" ca="1" si="17"/>
        <v>79.776576814128617</v>
      </c>
      <c r="P39" s="310">
        <f t="shared" ca="1" si="18"/>
        <v>6</v>
      </c>
      <c r="Q39" s="304">
        <f t="shared" ca="1" si="19"/>
        <v>1325.89</v>
      </c>
      <c r="R39" s="306">
        <f t="shared" ca="1" si="20"/>
        <v>0.65158443950933109</v>
      </c>
      <c r="S39" s="307">
        <f t="shared" ca="1" si="21"/>
        <v>7.9152219127614565</v>
      </c>
      <c r="T39" s="304">
        <f t="shared" ca="1" si="1"/>
        <v>77.648326964189891</v>
      </c>
      <c r="U39" s="311">
        <f t="shared" ca="1" si="2"/>
        <v>0</v>
      </c>
      <c r="V39" s="306">
        <f t="shared" ca="1" si="3"/>
        <v>1.2239611177167129</v>
      </c>
      <c r="W39" s="304">
        <f t="shared" ca="1" si="4"/>
        <v>8.47531285345495</v>
      </c>
      <c r="Y39" s="314" t="str">
        <f t="shared" ca="1" si="22"/>
        <v/>
      </c>
      <c r="Z39" s="315" t="str">
        <f t="shared" ca="1" si="23"/>
        <v/>
      </c>
      <c r="AA39" s="316" t="str">
        <f t="shared" ca="1" si="24"/>
        <v/>
      </c>
      <c r="AC39" s="310" t="e">
        <f t="shared" ca="1" si="25"/>
        <v>#N/A</v>
      </c>
      <c r="AD39" s="323" t="e">
        <f t="shared" ca="1" si="26"/>
        <v>#N/A</v>
      </c>
      <c r="AE39" s="324">
        <f t="shared" ca="1" si="5"/>
        <v>8.4842693154369879</v>
      </c>
      <c r="AG39" s="306">
        <f t="shared" ca="1" si="27"/>
        <v>156.84998508030725</v>
      </c>
      <c r="AH39" s="304">
        <f t="shared" ca="1" si="28"/>
        <v>166.50481991073755</v>
      </c>
    </row>
    <row r="40" spans="1:34" x14ac:dyDescent="0.2">
      <c r="A40" s="347">
        <f t="shared" ca="1" si="6"/>
        <v>0.01</v>
      </c>
      <c r="B40" s="304">
        <f t="shared" ca="1" si="7"/>
        <v>0.36000000000000015</v>
      </c>
      <c r="D40" s="306">
        <f t="shared" ca="1" si="8"/>
        <v>29.587863226718202</v>
      </c>
      <c r="E40" s="307">
        <f t="shared" ca="1" si="9"/>
        <v>154.24758229340543</v>
      </c>
      <c r="F40" s="304">
        <f t="shared" ca="1" si="10"/>
        <v>157.05972842738478</v>
      </c>
      <c r="G40" s="306">
        <f t="shared" ca="1" si="11"/>
        <v>9.4379809337366432</v>
      </c>
      <c r="H40" s="307">
        <f t="shared" ca="1" si="12"/>
        <v>52.233233352990901</v>
      </c>
      <c r="I40" s="304">
        <f t="shared" ca="1" si="13"/>
        <v>53.079055668065322</v>
      </c>
      <c r="J40" s="306">
        <f t="shared" ca="1" si="14"/>
        <v>1.5984970803078113</v>
      </c>
      <c r="K40" s="307">
        <f t="shared" ca="1" si="15"/>
        <v>8.998889269852226</v>
      </c>
      <c r="L40" s="304">
        <f t="shared" ca="1" si="0"/>
        <v>9.1397593516905093</v>
      </c>
      <c r="M40" s="306">
        <f t="shared" ca="1" si="16"/>
        <v>1.3920359021329971</v>
      </c>
      <c r="N40" s="304">
        <f t="shared" ca="1" si="17"/>
        <v>79.757782122906846</v>
      </c>
      <c r="P40" s="310">
        <f t="shared" ca="1" si="18"/>
        <v>6</v>
      </c>
      <c r="Q40" s="304">
        <f t="shared" ca="1" si="19"/>
        <v>1326.89</v>
      </c>
      <c r="R40" s="306">
        <f t="shared" ca="1" si="20"/>
        <v>0.65207587125669264</v>
      </c>
      <c r="S40" s="307">
        <f t="shared" ca="1" si="21"/>
        <v>7.9087011540488898</v>
      </c>
      <c r="T40" s="304">
        <f t="shared" ca="1" si="1"/>
        <v>77.584358321219611</v>
      </c>
      <c r="U40" s="311">
        <f t="shared" ca="1" si="2"/>
        <v>0</v>
      </c>
      <c r="V40" s="306">
        <f t="shared" ca="1" si="3"/>
        <v>1.2238981318439195</v>
      </c>
      <c r="W40" s="304">
        <f t="shared" ca="1" si="4"/>
        <v>8.9995559451555085</v>
      </c>
      <c r="Y40" s="314" t="str">
        <f t="shared" ca="1" si="22"/>
        <v/>
      </c>
      <c r="Z40" s="315" t="str">
        <f t="shared" ca="1" si="23"/>
        <v/>
      </c>
      <c r="AA40" s="316" t="str">
        <f t="shared" ca="1" si="24"/>
        <v/>
      </c>
      <c r="AC40" s="310" t="e">
        <f t="shared" ca="1" si="25"/>
        <v>#N/A</v>
      </c>
      <c r="AD40" s="323" t="e">
        <f t="shared" ca="1" si="26"/>
        <v>#N/A</v>
      </c>
      <c r="AE40" s="324">
        <f t="shared" ca="1" si="5"/>
        <v>8.998889269852226</v>
      </c>
      <c r="AG40" s="306">
        <f t="shared" ca="1" si="27"/>
        <v>157.05007703458259</v>
      </c>
      <c r="AH40" s="304">
        <f t="shared" ca="1" si="28"/>
        <v>166.70432495373501</v>
      </c>
    </row>
    <row r="41" spans="1:34" x14ac:dyDescent="0.2">
      <c r="A41" s="347">
        <f t="shared" ca="1" si="6"/>
        <v>0.01</v>
      </c>
      <c r="B41" s="304">
        <f t="shared" ca="1" si="7"/>
        <v>0.37000000000000016</v>
      </c>
      <c r="D41" s="306">
        <f t="shared" ca="1" si="8"/>
        <v>29.676860816714669</v>
      </c>
      <c r="E41" s="307">
        <f t="shared" ca="1" si="9"/>
        <v>154.43258611105011</v>
      </c>
      <c r="F41" s="304">
        <f t="shared" ca="1" si="10"/>
        <v>157.25819444748043</v>
      </c>
      <c r="G41" s="306">
        <f t="shared" ca="1" si="11"/>
        <v>9.7347495419037902</v>
      </c>
      <c r="H41" s="307">
        <f t="shared" ca="1" si="12"/>
        <v>53.777559214101402</v>
      </c>
      <c r="I41" s="304">
        <f t="shared" ca="1" si="13"/>
        <v>54.651543653128208</v>
      </c>
      <c r="J41" s="306">
        <f t="shared" ca="1" si="14"/>
        <v>1.6943607326860135</v>
      </c>
      <c r="K41" s="307">
        <f t="shared" ca="1" si="15"/>
        <v>9.5289432326876877</v>
      </c>
      <c r="L41" s="304">
        <f t="shared" ca="1" si="0"/>
        <v>9.678409860315524</v>
      </c>
      <c r="M41" s="306">
        <f t="shared" ca="1" si="16"/>
        <v>1.3917167318200476</v>
      </c>
      <c r="N41" s="304">
        <f t="shared" ca="1" si="17"/>
        <v>79.739495011028964</v>
      </c>
      <c r="P41" s="310">
        <f t="shared" ca="1" si="18"/>
        <v>6</v>
      </c>
      <c r="Q41" s="304">
        <f t="shared" ca="1" si="19"/>
        <v>1327.89</v>
      </c>
      <c r="R41" s="306">
        <f t="shared" ca="1" si="20"/>
        <v>0.6525673030040543</v>
      </c>
      <c r="S41" s="307">
        <f t="shared" ca="1" si="21"/>
        <v>7.9021754810188494</v>
      </c>
      <c r="T41" s="304">
        <f t="shared" ca="1" si="1"/>
        <v>77.520341468794911</v>
      </c>
      <c r="U41" s="311">
        <f t="shared" ca="1" si="2"/>
        <v>0</v>
      </c>
      <c r="V41" s="306">
        <f t="shared" ca="1" si="3"/>
        <v>1.2238332603437936</v>
      </c>
      <c r="W41" s="304">
        <f t="shared" ca="1" si="4"/>
        <v>9.5401796347103929</v>
      </c>
      <c r="Y41" s="314" t="str">
        <f t="shared" ca="1" si="22"/>
        <v/>
      </c>
      <c r="Z41" s="315" t="str">
        <f t="shared" ca="1" si="23"/>
        <v/>
      </c>
      <c r="AA41" s="316" t="str">
        <f t="shared" ca="1" si="24"/>
        <v/>
      </c>
      <c r="AC41" s="310" t="e">
        <f t="shared" ca="1" si="25"/>
        <v>#N/A</v>
      </c>
      <c r="AD41" s="323" t="e">
        <f t="shared" ca="1" si="26"/>
        <v>#N/A</v>
      </c>
      <c r="AE41" s="324">
        <f t="shared" ca="1" si="5"/>
        <v>9.5289432326876877</v>
      </c>
      <c r="AG41" s="306">
        <f t="shared" ca="1" si="27"/>
        <v>157.24852013950451</v>
      </c>
      <c r="AH41" s="304">
        <f t="shared" ca="1" si="28"/>
        <v>166.90219639172028</v>
      </c>
    </row>
    <row r="42" spans="1:34" x14ac:dyDescent="0.2">
      <c r="A42" s="347">
        <f t="shared" ca="1" si="6"/>
        <v>0.01</v>
      </c>
      <c r="B42" s="304">
        <f t="shared" ca="1" si="7"/>
        <v>0.38000000000000017</v>
      </c>
      <c r="D42" s="306">
        <f t="shared" ca="1" si="8"/>
        <v>29.764233550028074</v>
      </c>
      <c r="E42" s="307">
        <f t="shared" ca="1" si="9"/>
        <v>154.6161955902304</v>
      </c>
      <c r="F42" s="304">
        <f t="shared" ca="1" si="10"/>
        <v>157.45500162782065</v>
      </c>
      <c r="G42" s="306">
        <f t="shared" ca="1" si="11"/>
        <v>10.032391877404072</v>
      </c>
      <c r="H42" s="307">
        <f t="shared" ca="1" si="12"/>
        <v>55.323721170003708</v>
      </c>
      <c r="I42" s="304">
        <f t="shared" ca="1" si="13"/>
        <v>56.225999420891753</v>
      </c>
      <c r="J42" s="306">
        <f t="shared" ca="1" si="14"/>
        <v>1.7931964397825528</v>
      </c>
      <c r="K42" s="307">
        <f t="shared" ca="1" si="15"/>
        <v>10.074449634608213</v>
      </c>
      <c r="L42" s="304">
        <f t="shared" ca="1" si="0"/>
        <v>10.232794775226676</v>
      </c>
      <c r="M42" s="306">
        <f t="shared" ca="1" si="16"/>
        <v>1.3914059510204928</v>
      </c>
      <c r="N42" s="304">
        <f t="shared" ca="1" si="17"/>
        <v>79.721688582860779</v>
      </c>
      <c r="P42" s="310">
        <f t="shared" ca="1" si="18"/>
        <v>6</v>
      </c>
      <c r="Q42" s="304">
        <f t="shared" ca="1" si="19"/>
        <v>1328.89</v>
      </c>
      <c r="R42" s="306">
        <f t="shared" ca="1" si="20"/>
        <v>0.65305873475141596</v>
      </c>
      <c r="S42" s="307">
        <f t="shared" ca="1" si="21"/>
        <v>7.895644893671335</v>
      </c>
      <c r="T42" s="304">
        <f t="shared" ca="1" si="1"/>
        <v>77.456276406915805</v>
      </c>
      <c r="U42" s="311">
        <f t="shared" ca="1" si="2"/>
        <v>0</v>
      </c>
      <c r="V42" s="306">
        <f t="shared" ca="1" si="3"/>
        <v>1.2237665012608065</v>
      </c>
      <c r="W42" s="304">
        <f t="shared" ca="1" si="4"/>
        <v>10.097232633489229</v>
      </c>
      <c r="Y42" s="314" t="str">
        <f t="shared" ca="1" si="22"/>
        <v/>
      </c>
      <c r="Z42" s="315" t="str">
        <f t="shared" ca="1" si="23"/>
        <v/>
      </c>
      <c r="AA42" s="316" t="str">
        <f t="shared" ca="1" si="24"/>
        <v/>
      </c>
      <c r="AC42" s="310" t="e">
        <f t="shared" ca="1" si="25"/>
        <v>#N/A</v>
      </c>
      <c r="AD42" s="323" t="e">
        <f t="shared" ca="1" si="26"/>
        <v>#N/A</v>
      </c>
      <c r="AE42" s="324">
        <f t="shared" ca="1" si="5"/>
        <v>10.074449634608213</v>
      </c>
      <c r="AG42" s="306">
        <f t="shared" ca="1" si="27"/>
        <v>157.44530524777647</v>
      </c>
      <c r="AH42" s="304">
        <f t="shared" ca="1" si="28"/>
        <v>167.09842427472893</v>
      </c>
    </row>
    <row r="43" spans="1:34" x14ac:dyDescent="0.2">
      <c r="A43" s="347">
        <f t="shared" ca="1" si="6"/>
        <v>0.01</v>
      </c>
      <c r="B43" s="304">
        <f t="shared" ca="1" si="7"/>
        <v>0.39000000000000018</v>
      </c>
      <c r="D43" s="306">
        <f t="shared" ca="1" si="8"/>
        <v>29.850050487762608</v>
      </c>
      <c r="E43" s="307">
        <f t="shared" ca="1" si="9"/>
        <v>154.79838953221019</v>
      </c>
      <c r="F43" s="304">
        <f t="shared" ca="1" si="10"/>
        <v>157.65014086859503</v>
      </c>
      <c r="G43" s="306">
        <f t="shared" ca="1" si="11"/>
        <v>10.330892382281698</v>
      </c>
      <c r="H43" s="307">
        <f t="shared" ca="1" si="12"/>
        <v>56.871705065325813</v>
      </c>
      <c r="I43" s="304">
        <f t="shared" ca="1" si="13"/>
        <v>57.802406303299271</v>
      </c>
      <c r="J43" s="306">
        <f t="shared" ca="1" si="14"/>
        <v>1.8950128610809818</v>
      </c>
      <c r="K43" s="307">
        <f t="shared" ca="1" si="15"/>
        <v>10.63542676578486</v>
      </c>
      <c r="L43" s="304">
        <f t="shared" ca="1" si="0"/>
        <v>10.802933686459218</v>
      </c>
      <c r="M43" s="306">
        <f t="shared" ca="1" si="16"/>
        <v>1.3911031269452054</v>
      </c>
      <c r="N43" s="304">
        <f t="shared" ca="1" si="17"/>
        <v>79.704338041411859</v>
      </c>
      <c r="P43" s="310">
        <f t="shared" ca="1" si="18"/>
        <v>6</v>
      </c>
      <c r="Q43" s="304">
        <f t="shared" ca="1" si="19"/>
        <v>1329.89</v>
      </c>
      <c r="R43" s="306">
        <f t="shared" ca="1" si="20"/>
        <v>0.65355016649877762</v>
      </c>
      <c r="S43" s="307">
        <f t="shared" ca="1" si="21"/>
        <v>7.8891093920063469</v>
      </c>
      <c r="T43" s="304">
        <f t="shared" ca="1" si="1"/>
        <v>77.392163135582265</v>
      </c>
      <c r="U43" s="311">
        <f t="shared" ca="1" si="2"/>
        <v>0</v>
      </c>
      <c r="V43" s="306">
        <f t="shared" ca="1" si="3"/>
        <v>1.2236978526658222</v>
      </c>
      <c r="W43" s="304">
        <f t="shared" ca="1" si="4"/>
        <v>10.670762859185073</v>
      </c>
      <c r="Y43" s="314" t="str">
        <f t="shared" ca="1" si="22"/>
        <v/>
      </c>
      <c r="Z43" s="315" t="str">
        <f t="shared" ca="1" si="23"/>
        <v/>
      </c>
      <c r="AA43" s="316" t="str">
        <f t="shared" ca="1" si="24"/>
        <v/>
      </c>
      <c r="AC43" s="310" t="e">
        <f t="shared" ca="1" si="25"/>
        <v>#N/A</v>
      </c>
      <c r="AD43" s="323" t="e">
        <f t="shared" ca="1" si="26"/>
        <v>#N/A</v>
      </c>
      <c r="AE43" s="324">
        <f t="shared" ca="1" si="5"/>
        <v>10.63542676578486</v>
      </c>
      <c r="AG43" s="306">
        <f t="shared" ca="1" si="27"/>
        <v>157.64042320972536</v>
      </c>
      <c r="AH43" s="304">
        <f t="shared" ca="1" si="28"/>
        <v>167.29299871336465</v>
      </c>
    </row>
    <row r="44" spans="1:34" x14ac:dyDescent="0.2">
      <c r="A44" s="347">
        <f t="shared" ca="1" si="6"/>
        <v>0.01</v>
      </c>
      <c r="B44" s="304">
        <f t="shared" ca="1" si="7"/>
        <v>0.40000000000000019</v>
      </c>
      <c r="D44" s="306">
        <f t="shared" ca="1" si="8"/>
        <v>29.934375074961519</v>
      </c>
      <c r="E44" s="307">
        <f t="shared" ca="1" si="9"/>
        <v>154.97914769239441</v>
      </c>
      <c r="F44" s="304">
        <f t="shared" ca="1" si="10"/>
        <v>157.84360307148805</v>
      </c>
      <c r="G44" s="306">
        <f t="shared" ca="1" si="11"/>
        <v>10.630236133031314</v>
      </c>
      <c r="H44" s="307">
        <f t="shared" ca="1" si="12"/>
        <v>58.421496542249756</v>
      </c>
      <c r="I44" s="304">
        <f t="shared" ca="1" si="13"/>
        <v>59.3807475405969</v>
      </c>
      <c r="J44" s="306">
        <f t="shared" ca="1" si="14"/>
        <v>1.9998185036575469</v>
      </c>
      <c r="K44" s="307">
        <f t="shared" ca="1" si="15"/>
        <v>11.211892773822738</v>
      </c>
      <c r="L44" s="304">
        <f t="shared" ca="1" si="0"/>
        <v>11.388846017892666</v>
      </c>
      <c r="M44" s="306">
        <f t="shared" ca="1" si="16"/>
        <v>1.3908078596999942</v>
      </c>
      <c r="N44" s="304">
        <f t="shared" ca="1" si="17"/>
        <v>79.687420474432798</v>
      </c>
      <c r="P44" s="310">
        <f t="shared" ca="1" si="18"/>
        <v>6</v>
      </c>
      <c r="Q44" s="304">
        <f t="shared" ca="1" si="19"/>
        <v>1330.89</v>
      </c>
      <c r="R44" s="306">
        <f t="shared" ca="1" si="20"/>
        <v>0.65404159824613928</v>
      </c>
      <c r="S44" s="307">
        <f t="shared" ca="1" si="21"/>
        <v>7.8825689760238857</v>
      </c>
      <c r="T44" s="304">
        <f t="shared" ca="1" si="1"/>
        <v>77.328001654794321</v>
      </c>
      <c r="U44" s="311">
        <f t="shared" ca="1" si="2"/>
        <v>0</v>
      </c>
      <c r="V44" s="306">
        <f t="shared" ca="1" si="3"/>
        <v>1.2236273126563721</v>
      </c>
      <c r="W44" s="304">
        <f t="shared" ca="1" si="4"/>
        <v>11.26081742829594</v>
      </c>
      <c r="Y44" s="314" t="str">
        <f t="shared" ca="1" si="22"/>
        <v/>
      </c>
      <c r="Z44" s="315" t="str">
        <f t="shared" ca="1" si="23"/>
        <v/>
      </c>
      <c r="AA44" s="316" t="str">
        <f t="shared" ca="1" si="24"/>
        <v/>
      </c>
      <c r="AC44" s="310" t="e">
        <f t="shared" ca="1" si="25"/>
        <v>#N/A</v>
      </c>
      <c r="AD44" s="323" t="e">
        <f t="shared" ca="1" si="26"/>
        <v>#N/A</v>
      </c>
      <c r="AE44" s="324">
        <f t="shared" ca="1" si="5"/>
        <v>11.211892773822738</v>
      </c>
      <c r="AG44" s="306">
        <f t="shared" ca="1" si="27"/>
        <v>157.83386488093265</v>
      </c>
      <c r="AH44" s="304">
        <f t="shared" ca="1" si="28"/>
        <v>167.48590987994857</v>
      </c>
    </row>
    <row r="45" spans="1:34" x14ac:dyDescent="0.2">
      <c r="A45" s="347">
        <f t="shared" ca="1" si="6"/>
        <v>0.01</v>
      </c>
      <c r="B45" s="304">
        <f t="shared" ca="1" si="7"/>
        <v>0.4100000000000002</v>
      </c>
      <c r="D45" s="306">
        <f t="shared" ca="1" si="8"/>
        <v>29.998125920606658</v>
      </c>
      <c r="E45" s="307">
        <f t="shared" ca="1" si="9"/>
        <v>155.05326247250949</v>
      </c>
      <c r="F45" s="304">
        <f t="shared" ca="1" si="10"/>
        <v>157.92847039757427</v>
      </c>
      <c r="G45" s="306">
        <f t="shared" ca="1" si="11"/>
        <v>10.930217392237381</v>
      </c>
      <c r="H45" s="307">
        <f t="shared" ca="1" si="12"/>
        <v>59.972029166974849</v>
      </c>
      <c r="I45" s="304">
        <f t="shared" ca="1" si="13"/>
        <v>60.959937127969958</v>
      </c>
      <c r="J45" s="306">
        <f t="shared" ca="1" si="14"/>
        <v>2.1076207712838904</v>
      </c>
      <c r="K45" s="307">
        <f t="shared" ca="1" si="15"/>
        <v>11.803860402368862</v>
      </c>
      <c r="L45" s="304">
        <f t="shared" ca="1" si="0"/>
        <v>11.990545680416671</v>
      </c>
      <c r="M45" s="306">
        <f t="shared" ca="1" si="16"/>
        <v>1.3905197739649504</v>
      </c>
      <c r="N45" s="304">
        <f t="shared" ca="1" si="17"/>
        <v>79.670914377676866</v>
      </c>
      <c r="P45" s="310">
        <f t="shared" ca="1" si="18"/>
        <v>7</v>
      </c>
      <c r="Q45" s="304">
        <f t="shared" ca="1" si="19"/>
        <v>1331.0486250000001</v>
      </c>
      <c r="R45" s="306">
        <f t="shared" ca="1" si="20"/>
        <v>0.65411955160706448</v>
      </c>
      <c r="S45" s="307">
        <f t="shared" ca="1" si="21"/>
        <v>7.8760277805078154</v>
      </c>
      <c r="T45" s="304">
        <f t="shared" ca="1" si="1"/>
        <v>77.26383252678167</v>
      </c>
      <c r="U45" s="311">
        <f t="shared" ca="1" si="2"/>
        <v>0</v>
      </c>
      <c r="V45" s="306">
        <f t="shared" ca="1" si="3"/>
        <v>1.223554880000447</v>
      </c>
      <c r="W45" s="304">
        <f t="shared" ca="1" si="4"/>
        <v>11.867026388585877</v>
      </c>
      <c r="Y45" s="314" t="str">
        <f t="shared" ca="1" si="22"/>
        <v/>
      </c>
      <c r="Z45" s="315" t="str">
        <f t="shared" ca="1" si="23"/>
        <v/>
      </c>
      <c r="AA45" s="316" t="str">
        <f t="shared" ca="1" si="24"/>
        <v/>
      </c>
      <c r="AC45" s="310" t="e">
        <f t="shared" ca="1" si="25"/>
        <v>#N/A</v>
      </c>
      <c r="AD45" s="323" t="e">
        <f t="shared" ca="1" si="26"/>
        <v>#N/A</v>
      </c>
      <c r="AE45" s="324">
        <f t="shared" ca="1" si="5"/>
        <v>11.803860402368862</v>
      </c>
      <c r="AG45" s="306">
        <f t="shared" ca="1" si="27"/>
        <v>157.91870577371398</v>
      </c>
      <c r="AH45" s="304">
        <f t="shared" ca="1" si="28"/>
        <v>167.57023265433548</v>
      </c>
    </row>
    <row r="46" spans="1:34" x14ac:dyDescent="0.2">
      <c r="A46" s="347">
        <f t="shared" ca="1" si="6"/>
        <v>0.01</v>
      </c>
      <c r="B46" s="304">
        <f t="shared" ca="1" si="7"/>
        <v>0.42000000000000021</v>
      </c>
      <c r="D46" s="306">
        <f t="shared" ca="1" si="8"/>
        <v>30.04121266215197</v>
      </c>
      <c r="E46" s="307">
        <f t="shared" ca="1" si="9"/>
        <v>155.02043450401885</v>
      </c>
      <c r="F46" s="304">
        <f t="shared" ca="1" si="10"/>
        <v>157.90443176816615</v>
      </c>
      <c r="G46" s="306">
        <f t="shared" ca="1" si="11"/>
        <v>11.230629518858901</v>
      </c>
      <c r="H46" s="307">
        <f t="shared" ca="1" si="12"/>
        <v>61.522233512015035</v>
      </c>
      <c r="I46" s="304">
        <f t="shared" ca="1" si="13"/>
        <v>62.538885948638153</v>
      </c>
      <c r="J46" s="306">
        <f t="shared" ca="1" si="14"/>
        <v>2.218425005839372</v>
      </c>
      <c r="K46" s="307">
        <f t="shared" ca="1" si="15"/>
        <v>12.411331715763811</v>
      </c>
      <c r="L46" s="304">
        <f t="shared" ca="1" si="0"/>
        <v>12.608035710024703</v>
      </c>
      <c r="M46" s="306">
        <f t="shared" ca="1" si="16"/>
        <v>1.3902385170803591</v>
      </c>
      <c r="N46" s="304">
        <f t="shared" ca="1" si="17"/>
        <v>79.654799545230787</v>
      </c>
      <c r="P46" s="310">
        <f t="shared" ca="1" si="18"/>
        <v>7</v>
      </c>
      <c r="Q46" s="304">
        <f t="shared" ca="1" si="19"/>
        <v>1330.3658750000002</v>
      </c>
      <c r="R46" s="306">
        <f t="shared" ca="1" si="20"/>
        <v>0.65378402658155343</v>
      </c>
      <c r="S46" s="307">
        <f t="shared" ca="1" si="21"/>
        <v>7.8694899402419995</v>
      </c>
      <c r="T46" s="304">
        <f t="shared" ca="1" si="1"/>
        <v>77.199696313774012</v>
      </c>
      <c r="U46" s="311">
        <f t="shared" ca="1" si="2"/>
        <v>0</v>
      </c>
      <c r="V46" s="306">
        <f t="shared" ca="1" si="3"/>
        <v>1.2234805547817504</v>
      </c>
      <c r="W46" s="304">
        <f t="shared" ca="1" si="4"/>
        <v>12.488974712490023</v>
      </c>
      <c r="Y46" s="314" t="str">
        <f t="shared" ca="1" si="22"/>
        <v/>
      </c>
      <c r="Z46" s="315" t="str">
        <f t="shared" ca="1" si="23"/>
        <v/>
      </c>
      <c r="AA46" s="316" t="str">
        <f t="shared" ca="1" si="24"/>
        <v/>
      </c>
      <c r="AC46" s="310" t="e">
        <f t="shared" ca="1" si="25"/>
        <v>#N/A</v>
      </c>
      <c r="AD46" s="323" t="e">
        <f t="shared" ca="1" si="26"/>
        <v>#N/A</v>
      </c>
      <c r="AE46" s="324">
        <f t="shared" ca="1" si="5"/>
        <v>12.411331715763811</v>
      </c>
      <c r="AG46" s="306">
        <f t="shared" ca="1" si="27"/>
        <v>157.8946347085319</v>
      </c>
      <c r="AH46" s="304">
        <f t="shared" ca="1" si="28"/>
        <v>167.5456552614728</v>
      </c>
    </row>
    <row r="47" spans="1:34" x14ac:dyDescent="0.2">
      <c r="A47" s="347">
        <f t="shared" ca="1" si="6"/>
        <v>0.01</v>
      </c>
      <c r="B47" s="304">
        <f t="shared" ca="1" si="7"/>
        <v>0.43000000000000022</v>
      </c>
      <c r="D47" s="306">
        <f t="shared" ca="1" si="8"/>
        <v>30.082777959909052</v>
      </c>
      <c r="E47" s="307">
        <f t="shared" ca="1" si="9"/>
        <v>154.98572113315262</v>
      </c>
      <c r="F47" s="304">
        <f t="shared" ca="1" si="10"/>
        <v>157.87826729777768</v>
      </c>
      <c r="G47" s="306">
        <f t="shared" ca="1" si="11"/>
        <v>11.531457298457992</v>
      </c>
      <c r="H47" s="307">
        <f t="shared" ca="1" si="12"/>
        <v>63.072090723346562</v>
      </c>
      <c r="I47" s="304">
        <f t="shared" ca="1" si="13"/>
        <v>64.117572752251164</v>
      </c>
      <c r="J47" s="306">
        <f t="shared" ca="1" si="14"/>
        <v>2.3322354399259564</v>
      </c>
      <c r="K47" s="307">
        <f t="shared" ca="1" si="15"/>
        <v>13.034303336940619</v>
      </c>
      <c r="L47" s="304">
        <f t="shared" ca="1" si="0"/>
        <v>13.241313591431478</v>
      </c>
      <c r="M47" s="306">
        <f t="shared" ca="1" si="16"/>
        <v>1.3899637618935212</v>
      </c>
      <c r="N47" s="304">
        <f t="shared" ca="1" si="17"/>
        <v>79.639057232625646</v>
      </c>
      <c r="P47" s="310">
        <f t="shared" ca="1" si="18"/>
        <v>7</v>
      </c>
      <c r="Q47" s="304">
        <f t="shared" ca="1" si="19"/>
        <v>1329.683125</v>
      </c>
      <c r="R47" s="306">
        <f t="shared" ca="1" si="20"/>
        <v>0.65344850155604217</v>
      </c>
      <c r="S47" s="307">
        <f t="shared" ca="1" si="21"/>
        <v>7.8629554552264391</v>
      </c>
      <c r="T47" s="304">
        <f t="shared" ca="1" si="1"/>
        <v>77.135593015771377</v>
      </c>
      <c r="U47" s="311">
        <f t="shared" ca="1" si="2"/>
        <v>0</v>
      </c>
      <c r="V47" s="306">
        <f t="shared" ca="1" si="3"/>
        <v>1.2234043377585091</v>
      </c>
      <c r="W47" s="304">
        <f t="shared" ca="1" si="4"/>
        <v>13.126640649367856</v>
      </c>
      <c r="Y47" s="314" t="str">
        <f t="shared" ca="1" si="22"/>
        <v/>
      </c>
      <c r="Z47" s="315" t="str">
        <f t="shared" ca="1" si="23"/>
        <v/>
      </c>
      <c r="AA47" s="316" t="str">
        <f t="shared" ca="1" si="24"/>
        <v/>
      </c>
      <c r="AC47" s="310" t="e">
        <f t="shared" ca="1" si="25"/>
        <v>#N/A</v>
      </c>
      <c r="AD47" s="323" t="e">
        <f t="shared" ca="1" si="26"/>
        <v>#N/A</v>
      </c>
      <c r="AE47" s="324">
        <f t="shared" ca="1" si="5"/>
        <v>13.034303336940619</v>
      </c>
      <c r="AG47" s="306">
        <f t="shared" ca="1" si="27"/>
        <v>157.86843834819999</v>
      </c>
      <c r="AH47" s="304">
        <f t="shared" ca="1" si="28"/>
        <v>167.51896380285129</v>
      </c>
    </row>
    <row r="48" spans="1:34" x14ac:dyDescent="0.2">
      <c r="A48" s="347">
        <f t="shared" ca="1" si="6"/>
        <v>0.01</v>
      </c>
      <c r="B48" s="304">
        <f t="shared" ca="1" si="7"/>
        <v>0.44000000000000022</v>
      </c>
      <c r="D48" s="306">
        <f t="shared" ca="1" si="8"/>
        <v>30.122874224410889</v>
      </c>
      <c r="E48" s="307">
        <f t="shared" ca="1" si="9"/>
        <v>154.94911125162491</v>
      </c>
      <c r="F48" s="304">
        <f t="shared" ca="1" si="10"/>
        <v>157.84997506875987</v>
      </c>
      <c r="G48" s="306">
        <f t="shared" ca="1" si="11"/>
        <v>11.8326860407021</v>
      </c>
      <c r="H48" s="307">
        <f t="shared" ca="1" si="12"/>
        <v>64.621581835862813</v>
      </c>
      <c r="I48" s="304">
        <f t="shared" ca="1" si="13"/>
        <v>65.695976268771147</v>
      </c>
      <c r="J48" s="306">
        <f t="shared" ca="1" si="14"/>
        <v>2.449056156621757</v>
      </c>
      <c r="K48" s="307">
        <f t="shared" ca="1" si="15"/>
        <v>13.672771699736666</v>
      </c>
      <c r="L48" s="304">
        <f t="shared" ca="1" si="0"/>
        <v>13.890376597177156</v>
      </c>
      <c r="M48" s="306">
        <f t="shared" ca="1" si="16"/>
        <v>1.3896952043451356</v>
      </c>
      <c r="N48" s="304">
        <f t="shared" ca="1" si="17"/>
        <v>79.623670018546775</v>
      </c>
      <c r="P48" s="310">
        <f t="shared" ca="1" si="18"/>
        <v>7</v>
      </c>
      <c r="Q48" s="304">
        <f t="shared" ca="1" si="19"/>
        <v>1329.0003750000001</v>
      </c>
      <c r="R48" s="306">
        <f t="shared" ca="1" si="20"/>
        <v>0.65311297653053102</v>
      </c>
      <c r="S48" s="307">
        <f t="shared" ca="1" si="21"/>
        <v>7.8564243254611341</v>
      </c>
      <c r="T48" s="304">
        <f t="shared" ca="1" si="1"/>
        <v>77.071522632773735</v>
      </c>
      <c r="U48" s="311">
        <f t="shared" ca="1" si="2"/>
        <v>0</v>
      </c>
      <c r="V48" s="306">
        <f t="shared" ca="1" si="3"/>
        <v>1.2233262297207275</v>
      </c>
      <c r="W48" s="304">
        <f t="shared" ca="1" si="4"/>
        <v>13.780001443815046</v>
      </c>
      <c r="Y48" s="314" t="str">
        <f t="shared" ca="1" si="22"/>
        <v/>
      </c>
      <c r="Z48" s="315" t="str">
        <f t="shared" ca="1" si="23"/>
        <v/>
      </c>
      <c r="AA48" s="316" t="str">
        <f t="shared" ca="1" si="24"/>
        <v/>
      </c>
      <c r="AC48" s="310" t="e">
        <f t="shared" ca="1" si="25"/>
        <v>#N/A</v>
      </c>
      <c r="AD48" s="323" t="e">
        <f t="shared" ca="1" si="26"/>
        <v>#N/A</v>
      </c>
      <c r="AE48" s="324">
        <f t="shared" ca="1" si="5"/>
        <v>13.672771699736666</v>
      </c>
      <c r="AG48" s="306">
        <f t="shared" ca="1" si="27"/>
        <v>157.8401147419402</v>
      </c>
      <c r="AH48" s="304">
        <f t="shared" ca="1" si="28"/>
        <v>167.49015580613982</v>
      </c>
    </row>
    <row r="49" spans="1:34" x14ac:dyDescent="0.2">
      <c r="A49" s="347">
        <f t="shared" ca="1" si="6"/>
        <v>0.01</v>
      </c>
      <c r="B49" s="304">
        <f t="shared" ca="1" si="7"/>
        <v>0.45000000000000023</v>
      </c>
      <c r="D49" s="306">
        <f t="shared" ca="1" si="8"/>
        <v>30.16155011338272</v>
      </c>
      <c r="E49" s="307">
        <f t="shared" ca="1" si="9"/>
        <v>154.91059448243331</v>
      </c>
      <c r="F49" s="304">
        <f t="shared" ca="1" si="10"/>
        <v>157.81955325035929</v>
      </c>
      <c r="G49" s="306">
        <f t="shared" ca="1" si="11"/>
        <v>12.134301541835928</v>
      </c>
      <c r="H49" s="307">
        <f t="shared" ca="1" si="12"/>
        <v>66.170687780687146</v>
      </c>
      <c r="I49" s="304">
        <f t="shared" ca="1" si="13"/>
        <v>67.274075209380484</v>
      </c>
      <c r="J49" s="306">
        <f t="shared" ca="1" si="14"/>
        <v>2.5688910945344472</v>
      </c>
      <c r="K49" s="307">
        <f t="shared" ca="1" si="15"/>
        <v>14.326733047819415</v>
      </c>
      <c r="L49" s="304">
        <f t="shared" ca="1" si="0"/>
        <v>14.555221787353821</v>
      </c>
      <c r="M49" s="306">
        <f t="shared" ca="1" si="16"/>
        <v>1.3894325613353466</v>
      </c>
      <c r="N49" s="304">
        <f t="shared" ca="1" si="17"/>
        <v>79.608621682567247</v>
      </c>
      <c r="P49" s="310">
        <f t="shared" ca="1" si="18"/>
        <v>7</v>
      </c>
      <c r="Q49" s="304">
        <f t="shared" ca="1" si="19"/>
        <v>1328.3176250000001</v>
      </c>
      <c r="R49" s="306">
        <f t="shared" ca="1" si="20"/>
        <v>0.65277745150501987</v>
      </c>
      <c r="S49" s="307">
        <f t="shared" ca="1" si="21"/>
        <v>7.8498965509460836</v>
      </c>
      <c r="T49" s="304">
        <f t="shared" ca="1" si="1"/>
        <v>77.007485164781087</v>
      </c>
      <c r="U49" s="311">
        <f t="shared" ca="1" si="2"/>
        <v>0</v>
      </c>
      <c r="V49" s="306">
        <f t="shared" ca="1" si="3"/>
        <v>1.2232462314903054</v>
      </c>
      <c r="W49" s="304">
        <f t="shared" ca="1" si="4"/>
        <v>14.44903333614737</v>
      </c>
      <c r="Y49" s="314" t="str">
        <f t="shared" ca="1" si="22"/>
        <v/>
      </c>
      <c r="Z49" s="315" t="str">
        <f t="shared" ca="1" si="23"/>
        <v/>
      </c>
      <c r="AA49" s="316" t="str">
        <f t="shared" ca="1" si="24"/>
        <v/>
      </c>
      <c r="AC49" s="310" t="e">
        <f t="shared" ca="1" si="25"/>
        <v>#N/A</v>
      </c>
      <c r="AD49" s="323" t="e">
        <f t="shared" ca="1" si="26"/>
        <v>#N/A</v>
      </c>
      <c r="AE49" s="324">
        <f t="shared" ca="1" si="5"/>
        <v>14.326733047819415</v>
      </c>
      <c r="AG49" s="306">
        <f t="shared" ca="1" si="27"/>
        <v>157.80966202810657</v>
      </c>
      <c r="AH49" s="304">
        <f t="shared" ca="1" si="28"/>
        <v>167.45922892420214</v>
      </c>
    </row>
    <row r="50" spans="1:34" x14ac:dyDescent="0.2">
      <c r="A50" s="347">
        <f t="shared" ca="1" si="6"/>
        <v>0.01</v>
      </c>
      <c r="B50" s="304">
        <f t="shared" ca="1" si="7"/>
        <v>0.46000000000000024</v>
      </c>
      <c r="D50" s="306">
        <f t="shared" ca="1" si="8"/>
        <v>30.198850881964539</v>
      </c>
      <c r="E50" s="307">
        <f t="shared" ca="1" si="9"/>
        <v>154.8701611247632</v>
      </c>
      <c r="F50" s="304">
        <f t="shared" ca="1" si="10"/>
        <v>157.787000102674</v>
      </c>
      <c r="G50" s="306">
        <f t="shared" ca="1" si="11"/>
        <v>12.436290050655574</v>
      </c>
      <c r="H50" s="307">
        <f t="shared" ca="1" si="12"/>
        <v>67.719389391934783</v>
      </c>
      <c r="I50" s="304">
        <f t="shared" ca="1" si="13"/>
        <v>68.851848267425069</v>
      </c>
      <c r="J50" s="306">
        <f t="shared" ca="1" si="14"/>
        <v>2.6917440524969045</v>
      </c>
      <c r="K50" s="307">
        <f t="shared" ca="1" si="15"/>
        <v>14.996183433682525</v>
      </c>
      <c r="L50" s="304">
        <f t="shared" ca="1" si="0"/>
        <v>15.235846009355919</v>
      </c>
      <c r="M50" s="306">
        <f t="shared" ca="1" si="16"/>
        <v>1.3891755688313856</v>
      </c>
      <c r="N50" s="304">
        <f t="shared" ca="1" si="17"/>
        <v>79.593897096723779</v>
      </c>
      <c r="P50" s="310">
        <f t="shared" ca="1" si="18"/>
        <v>7</v>
      </c>
      <c r="Q50" s="304">
        <f t="shared" ca="1" si="19"/>
        <v>1327.634875</v>
      </c>
      <c r="R50" s="306">
        <f t="shared" ca="1" si="20"/>
        <v>0.6524419264795086</v>
      </c>
      <c r="S50" s="307">
        <f t="shared" ca="1" si="21"/>
        <v>7.8433721316812886</v>
      </c>
      <c r="T50" s="304">
        <f t="shared" ca="1" si="1"/>
        <v>76.943480611793447</v>
      </c>
      <c r="U50" s="311">
        <f t="shared" ca="1" si="2"/>
        <v>0</v>
      </c>
      <c r="V50" s="306">
        <f t="shared" ca="1" si="3"/>
        <v>1.2231643439211379</v>
      </c>
      <c r="W50" s="304">
        <f t="shared" ca="1" si="4"/>
        <v>15.133711563010788</v>
      </c>
      <c r="Y50" s="314" t="str">
        <f t="shared" ca="1" si="22"/>
        <v/>
      </c>
      <c r="Z50" s="315" t="str">
        <f t="shared" ca="1" si="23"/>
        <v/>
      </c>
      <c r="AA50" s="316" t="str">
        <f t="shared" ca="1" si="24"/>
        <v/>
      </c>
      <c r="AC50" s="310" t="e">
        <f t="shared" ca="1" si="25"/>
        <v>#N/A</v>
      </c>
      <c r="AD50" s="323" t="e">
        <f t="shared" ca="1" si="26"/>
        <v>#N/A</v>
      </c>
      <c r="AE50" s="324">
        <f t="shared" ca="1" si="5"/>
        <v>14.996183433682525</v>
      </c>
      <c r="AG50" s="306">
        <f t="shared" ca="1" si="27"/>
        <v>157.77707843793726</v>
      </c>
      <c r="AH50" s="304">
        <f t="shared" ca="1" si="28"/>
        <v>167.42618093556666</v>
      </c>
    </row>
    <row r="51" spans="1:34" x14ac:dyDescent="0.2">
      <c r="A51" s="347">
        <f t="shared" ca="1" si="6"/>
        <v>0.01</v>
      </c>
      <c r="B51" s="304">
        <f t="shared" ca="1" si="7"/>
        <v>0.47000000000000025</v>
      </c>
      <c r="D51" s="306">
        <f t="shared" ca="1" si="8"/>
        <v>30.234818693231158</v>
      </c>
      <c r="E51" s="307">
        <f t="shared" ca="1" si="9"/>
        <v>154.82780210510111</v>
      </c>
      <c r="F51" s="304">
        <f t="shared" ca="1" si="10"/>
        <v>157.75231398020415</v>
      </c>
      <c r="G51" s="306">
        <f t="shared" ca="1" si="11"/>
        <v>12.738638237587885</v>
      </c>
      <c r="H51" s="307">
        <f t="shared" ca="1" si="12"/>
        <v>69.267667412985787</v>
      </c>
      <c r="I51" s="304">
        <f t="shared" ca="1" si="13"/>
        <v>70.429274119389802</v>
      </c>
      <c r="J51" s="306">
        <f t="shared" ca="1" si="14"/>
        <v>2.8176186939381216</v>
      </c>
      <c r="K51" s="307">
        <f t="shared" ca="1" si="15"/>
        <v>15.681118717707127</v>
      </c>
      <c r="L51" s="304">
        <f t="shared" ca="1" si="0"/>
        <v>15.932245897652169</v>
      </c>
      <c r="M51" s="306">
        <f t="shared" ca="1" si="16"/>
        <v>1.3889239801846496</v>
      </c>
      <c r="N51" s="304">
        <f t="shared" ca="1" si="17"/>
        <v>79.579482129092398</v>
      </c>
      <c r="P51" s="310">
        <f t="shared" ca="1" si="18"/>
        <v>7</v>
      </c>
      <c r="Q51" s="304">
        <f t="shared" ca="1" si="19"/>
        <v>1326.952125</v>
      </c>
      <c r="R51" s="306">
        <f t="shared" ca="1" si="20"/>
        <v>0.65210640145399745</v>
      </c>
      <c r="S51" s="307">
        <f t="shared" ca="1" si="21"/>
        <v>7.8368510676667489</v>
      </c>
      <c r="T51" s="304">
        <f t="shared" ca="1" si="1"/>
        <v>76.879508973810815</v>
      </c>
      <c r="U51" s="311">
        <f t="shared" ca="1" si="2"/>
        <v>0</v>
      </c>
      <c r="V51" s="306">
        <f t="shared" ca="1" si="3"/>
        <v>1.2230805678992129</v>
      </c>
      <c r="W51" s="304">
        <f t="shared" ca="1" si="4"/>
        <v>15.834010358118865</v>
      </c>
      <c r="Y51" s="314" t="str">
        <f t="shared" ca="1" si="22"/>
        <v/>
      </c>
      <c r="Z51" s="315" t="str">
        <f t="shared" ca="1" si="23"/>
        <v/>
      </c>
      <c r="AA51" s="316" t="str">
        <f t="shared" ca="1" si="24"/>
        <v/>
      </c>
      <c r="AC51" s="310" t="e">
        <f t="shared" ca="1" si="25"/>
        <v>#N/A</v>
      </c>
      <c r="AD51" s="323" t="e">
        <f t="shared" ca="1" si="26"/>
        <v>#N/A</v>
      </c>
      <c r="AE51" s="324">
        <f t="shared" ca="1" si="5"/>
        <v>15.681118717707127</v>
      </c>
      <c r="AG51" s="306">
        <f t="shared" ca="1" si="27"/>
        <v>157.74236229892486</v>
      </c>
      <c r="AH51" s="304">
        <f t="shared" ca="1" si="28"/>
        <v>167.39100974488144</v>
      </c>
    </row>
    <row r="52" spans="1:34" x14ac:dyDescent="0.2">
      <c r="A52" s="347">
        <f t="shared" ca="1" si="6"/>
        <v>0.01</v>
      </c>
      <c r="B52" s="304">
        <f t="shared" ca="1" si="7"/>
        <v>0.48000000000000026</v>
      </c>
      <c r="D52" s="306">
        <f t="shared" ca="1" si="8"/>
        <v>30.269492894299233</v>
      </c>
      <c r="E52" s="307">
        <f t="shared" ca="1" si="9"/>
        <v>154.78350893373616</v>
      </c>
      <c r="F52" s="304">
        <f t="shared" ca="1" si="10"/>
        <v>157.71549333504942</v>
      </c>
      <c r="G52" s="306">
        <f t="shared" ca="1" si="11"/>
        <v>13.041333166530878</v>
      </c>
      <c r="H52" s="307">
        <f t="shared" ca="1" si="12"/>
        <v>70.815502502323142</v>
      </c>
      <c r="I52" s="304">
        <f t="shared" ca="1" si="13"/>
        <v>72.006331425903056</v>
      </c>
      <c r="J52" s="306">
        <f t="shared" ca="1" si="14"/>
        <v>2.9465185509587153</v>
      </c>
      <c r="K52" s="307">
        <f t="shared" ca="1" si="15"/>
        <v>16.381534567283673</v>
      </c>
      <c r="L52" s="304">
        <f t="shared" ca="1" si="0"/>
        <v>16.644417873577126</v>
      </c>
      <c r="M52" s="306">
        <f t="shared" ca="1" si="16"/>
        <v>1.3886775646299607</v>
      </c>
      <c r="N52" s="304">
        <f t="shared" ca="1" si="17"/>
        <v>79.565363557802357</v>
      </c>
      <c r="P52" s="310">
        <f t="shared" ca="1" si="18"/>
        <v>7</v>
      </c>
      <c r="Q52" s="304">
        <f t="shared" ca="1" si="19"/>
        <v>1326.2693750000001</v>
      </c>
      <c r="R52" s="306">
        <f t="shared" ca="1" si="20"/>
        <v>0.65177087642848641</v>
      </c>
      <c r="S52" s="307">
        <f t="shared" ca="1" si="21"/>
        <v>7.8303333589024637</v>
      </c>
      <c r="T52" s="304">
        <f t="shared" ca="1" si="1"/>
        <v>76.815570250833176</v>
      </c>
      <c r="U52" s="311">
        <f t="shared" ca="1" si="2"/>
        <v>0</v>
      </c>
      <c r="V52" s="306">
        <f t="shared" ca="1" si="3"/>
        <v>1.2229949043426989</v>
      </c>
      <c r="W52" s="304">
        <f t="shared" ca="1" si="4"/>
        <v>16.549902953118096</v>
      </c>
      <c r="Y52" s="314" t="str">
        <f t="shared" ca="1" si="22"/>
        <v/>
      </c>
      <c r="Z52" s="315" t="str">
        <f t="shared" ca="1" si="23"/>
        <v/>
      </c>
      <c r="AA52" s="316" t="str">
        <f t="shared" ca="1" si="24"/>
        <v/>
      </c>
      <c r="AC52" s="310" t="e">
        <f t="shared" ca="1" si="25"/>
        <v>#N/A</v>
      </c>
      <c r="AD52" s="323" t="e">
        <f t="shared" ca="1" si="26"/>
        <v>#N/A</v>
      </c>
      <c r="AE52" s="324">
        <f t="shared" ca="1" si="5"/>
        <v>16.381534567283673</v>
      </c>
      <c r="AG52" s="306">
        <f t="shared" ca="1" si="27"/>
        <v>157.70551203785286</v>
      </c>
      <c r="AH52" s="304">
        <f t="shared" ca="1" si="28"/>
        <v>167.35371338335435</v>
      </c>
    </row>
    <row r="53" spans="1:34" x14ac:dyDescent="0.2">
      <c r="A53" s="347">
        <f t="shared" ca="1" si="6"/>
        <v>0.01</v>
      </c>
      <c r="B53" s="304">
        <f t="shared" ca="1" si="7"/>
        <v>0.49000000000000027</v>
      </c>
      <c r="D53" s="306">
        <f t="shared" ca="1" si="8"/>
        <v>30.302910262504042</v>
      </c>
      <c r="E53" s="307">
        <f t="shared" ca="1" si="9"/>
        <v>154.73727366595315</v>
      </c>
      <c r="F53" s="304">
        <f t="shared" ca="1" si="10"/>
        <v>157.67653671979687</v>
      </c>
      <c r="G53" s="306">
        <f t="shared" ca="1" si="11"/>
        <v>13.344362269155917</v>
      </c>
      <c r="H53" s="307">
        <f t="shared" ca="1" si="12"/>
        <v>72.362875238982667</v>
      </c>
      <c r="I53" s="304">
        <f t="shared" ca="1" si="13"/>
        <v>73.582998832767359</v>
      </c>
      <c r="J53" s="306">
        <f t="shared" ca="1" si="14"/>
        <v>3.0784470281371492</v>
      </c>
      <c r="K53" s="307">
        <f t="shared" ca="1" si="15"/>
        <v>17.097426455990202</v>
      </c>
      <c r="L53" s="304">
        <f t="shared" ca="1" si="0"/>
        <v>17.372358145140808</v>
      </c>
      <c r="M53" s="306">
        <f t="shared" ca="1" si="16"/>
        <v>1.3884361059437933</v>
      </c>
      <c r="N53" s="304">
        <f t="shared" ca="1" si="17"/>
        <v>79.55152899415819</v>
      </c>
      <c r="P53" s="310">
        <f t="shared" ca="1" si="18"/>
        <v>7</v>
      </c>
      <c r="Q53" s="304">
        <f t="shared" ca="1" si="19"/>
        <v>1325.5866250000001</v>
      </c>
      <c r="R53" s="306">
        <f t="shared" ca="1" si="20"/>
        <v>0.65143535140297526</v>
      </c>
      <c r="S53" s="307">
        <f t="shared" ca="1" si="21"/>
        <v>7.823819005388434</v>
      </c>
      <c r="T53" s="304">
        <f t="shared" ca="1" si="1"/>
        <v>76.751664442860545</v>
      </c>
      <c r="U53" s="311">
        <f t="shared" ca="1" si="2"/>
        <v>0</v>
      </c>
      <c r="V53" s="306">
        <f t="shared" ca="1" si="3"/>
        <v>1.2229073542020226</v>
      </c>
      <c r="W53" s="304">
        <f t="shared" ca="1" si="4"/>
        <v>17.281361578581926</v>
      </c>
      <c r="Y53" s="314" t="str">
        <f t="shared" ca="1" si="22"/>
        <v/>
      </c>
      <c r="Z53" s="315" t="str">
        <f t="shared" ca="1" si="23"/>
        <v/>
      </c>
      <c r="AA53" s="316" t="str">
        <f t="shared" ca="1" si="24"/>
        <v/>
      </c>
      <c r="AC53" s="310" t="e">
        <f t="shared" ca="1" si="25"/>
        <v>#N/A</v>
      </c>
      <c r="AD53" s="323" t="e">
        <f t="shared" ca="1" si="26"/>
        <v>#N/A</v>
      </c>
      <c r="AE53" s="324">
        <f t="shared" ca="1" si="5"/>
        <v>17.097426455990202</v>
      </c>
      <c r="AG53" s="306">
        <f t="shared" ca="1" si="27"/>
        <v>157.66652618353953</v>
      </c>
      <c r="AH53" s="304">
        <f t="shared" ca="1" si="28"/>
        <v>167.31429000917839</v>
      </c>
    </row>
    <row r="54" spans="1:34" x14ac:dyDescent="0.2">
      <c r="A54" s="347">
        <f t="shared" ca="1" si="6"/>
        <v>0.01</v>
      </c>
      <c r="B54" s="304">
        <f t="shared" ca="1" si="7"/>
        <v>0.50000000000000022</v>
      </c>
      <c r="D54" s="306">
        <f t="shared" ca="1" si="8"/>
        <v>30.335105225463362</v>
      </c>
      <c r="E54" s="307">
        <f t="shared" ca="1" si="9"/>
        <v>154.68908886732186</v>
      </c>
      <c r="F54" s="304">
        <f t="shared" ca="1" si="10"/>
        <v>157.63544279013567</v>
      </c>
      <c r="G54" s="306">
        <f t="shared" ca="1" si="11"/>
        <v>13.647713321410551</v>
      </c>
      <c r="H54" s="307">
        <f t="shared" ca="1" si="12"/>
        <v>73.909766127655885</v>
      </c>
      <c r="I54" s="304">
        <f t="shared" ca="1" si="13"/>
        <v>75.159254972013898</v>
      </c>
      <c r="J54" s="306">
        <f t="shared" ca="1" si="14"/>
        <v>3.2134074060899813</v>
      </c>
      <c r="K54" s="307">
        <f t="shared" ca="1" si="15"/>
        <v>17.828789662823397</v>
      </c>
      <c r="L54" s="304">
        <f t="shared" ca="1" si="0"/>
        <v>18.116062706855274</v>
      </c>
      <c r="M54" s="306">
        <f t="shared" ca="1" si="16"/>
        <v>1.3881994012416492</v>
      </c>
      <c r="N54" s="304">
        <f t="shared" ca="1" si="17"/>
        <v>79.537966813734428</v>
      </c>
      <c r="P54" s="310">
        <f t="shared" ca="1" si="18"/>
        <v>7</v>
      </c>
      <c r="Q54" s="304">
        <f t="shared" ca="1" si="19"/>
        <v>1324.903875</v>
      </c>
      <c r="R54" s="306">
        <f t="shared" ca="1" si="20"/>
        <v>0.651099826377464</v>
      </c>
      <c r="S54" s="307">
        <f t="shared" ca="1" si="21"/>
        <v>7.8173080071246597</v>
      </c>
      <c r="T54" s="304">
        <f t="shared" ca="1" si="1"/>
        <v>76.687791549892921</v>
      </c>
      <c r="U54" s="311">
        <f t="shared" ca="1" si="2"/>
        <v>0</v>
      </c>
      <c r="V54" s="306">
        <f t="shared" ca="1" si="3"/>
        <v>1.2228179184599444</v>
      </c>
      <c r="W54" s="304">
        <f t="shared" ca="1" si="4"/>
        <v>18.028357465134068</v>
      </c>
      <c r="Y54" s="314" t="str">
        <f t="shared" ca="1" si="22"/>
        <v/>
      </c>
      <c r="Z54" s="315" t="str">
        <f t="shared" ca="1" si="23"/>
        <v/>
      </c>
      <c r="AA54" s="316" t="str">
        <f t="shared" ca="1" si="24"/>
        <v/>
      </c>
      <c r="AC54" s="310" t="e">
        <f t="shared" ca="1" si="25"/>
        <v>#N/A</v>
      </c>
      <c r="AD54" s="323" t="e">
        <f t="shared" ca="1" si="26"/>
        <v>#N/A</v>
      </c>
      <c r="AE54" s="324">
        <f t="shared" ca="1" si="5"/>
        <v>17.828789662823397</v>
      </c>
      <c r="AG54" s="306">
        <f t="shared" ca="1" si="27"/>
        <v>157.62540336932415</v>
      </c>
      <c r="AH54" s="304">
        <f t="shared" ca="1" si="28"/>
        <v>167.2727379079418</v>
      </c>
    </row>
    <row r="55" spans="1:34" x14ac:dyDescent="0.2">
      <c r="A55" s="347">
        <f t="shared" ca="1" si="6"/>
        <v>0.01</v>
      </c>
      <c r="B55" s="304">
        <f t="shared" ca="1" si="7"/>
        <v>0.51000000000000023</v>
      </c>
      <c r="D55" s="306">
        <f t="shared" ca="1" si="8"/>
        <v>30.366110058287063</v>
      </c>
      <c r="E55" s="307">
        <f t="shared" ca="1" si="9"/>
        <v>154.63894758257516</v>
      </c>
      <c r="F55" s="304">
        <f t="shared" ca="1" si="10"/>
        <v>157.59221030723069</v>
      </c>
      <c r="G55" s="306">
        <f t="shared" ca="1" si="11"/>
        <v>13.951374421993421</v>
      </c>
      <c r="H55" s="307">
        <f t="shared" ca="1" si="12"/>
        <v>75.456155603481633</v>
      </c>
      <c r="I55" s="304">
        <f t="shared" ca="1" si="13"/>
        <v>76.73507846297862</v>
      </c>
      <c r="J55" s="306">
        <f t="shared" ca="1" si="14"/>
        <v>3.351402844807001</v>
      </c>
      <c r="K55" s="307">
        <f t="shared" ca="1" si="15"/>
        <v>18.575619271479084</v>
      </c>
      <c r="L55" s="304">
        <f t="shared" ca="1" si="0"/>
        <v>18.875527339577179</v>
      </c>
      <c r="M55" s="306">
        <f t="shared" ca="1" si="16"/>
        <v>1.387967259897585</v>
      </c>
      <c r="N55" s="304">
        <f t="shared" ca="1" si="17"/>
        <v>79.524666094469055</v>
      </c>
      <c r="P55" s="310">
        <f t="shared" ca="1" si="18"/>
        <v>7</v>
      </c>
      <c r="Q55" s="304">
        <f t="shared" ca="1" si="19"/>
        <v>1324.221125</v>
      </c>
      <c r="R55" s="306">
        <f t="shared" ca="1" si="20"/>
        <v>0.65076430135195285</v>
      </c>
      <c r="S55" s="307">
        <f t="shared" ca="1" si="21"/>
        <v>7.8108003641111399</v>
      </c>
      <c r="T55" s="304">
        <f t="shared" ca="1" si="1"/>
        <v>76.623951571930291</v>
      </c>
      <c r="U55" s="311">
        <f t="shared" ca="1" si="2"/>
        <v>0</v>
      </c>
      <c r="V55" s="306">
        <f t="shared" ca="1" si="3"/>
        <v>1.2227265981316218</v>
      </c>
      <c r="W55" s="304">
        <f t="shared" ca="1" si="4"/>
        <v>18.790860844701605</v>
      </c>
      <c r="Y55" s="314" t="str">
        <f t="shared" ca="1" si="22"/>
        <v/>
      </c>
      <c r="Z55" s="315" t="str">
        <f t="shared" ca="1" si="23"/>
        <v/>
      </c>
      <c r="AA55" s="316" t="str">
        <f t="shared" ca="1" si="24"/>
        <v/>
      </c>
      <c r="AC55" s="310" t="e">
        <f t="shared" ca="1" si="25"/>
        <v>#N/A</v>
      </c>
      <c r="AD55" s="323" t="e">
        <f t="shared" ca="1" si="26"/>
        <v>#N/A</v>
      </c>
      <c r="AE55" s="324">
        <f t="shared" ca="1" si="5"/>
        <v>18.575619271479084</v>
      </c>
      <c r="AG55" s="306">
        <f t="shared" ca="1" si="27"/>
        <v>157.5821423353249</v>
      </c>
      <c r="AH55" s="304">
        <f t="shared" ca="1" si="28"/>
        <v>167.22905549302297</v>
      </c>
    </row>
    <row r="56" spans="1:34" x14ac:dyDescent="0.2">
      <c r="A56" s="347">
        <f t="shared" ca="1" si="6"/>
        <v>0.01</v>
      </c>
      <c r="B56" s="304">
        <f t="shared" ca="1" si="7"/>
        <v>0.52000000000000024</v>
      </c>
      <c r="D56" s="306">
        <f t="shared" ca="1" si="8"/>
        <v>30.395955060726997</v>
      </c>
      <c r="E56" s="307">
        <f t="shared" ca="1" si="9"/>
        <v>154.58684330763873</v>
      </c>
      <c r="F56" s="304">
        <f t="shared" ca="1" si="10"/>
        <v>157.54683813988203</v>
      </c>
      <c r="G56" s="306">
        <f t="shared" ca="1" si="11"/>
        <v>14.255333972600692</v>
      </c>
      <c r="H56" s="307">
        <f t="shared" ca="1" si="12"/>
        <v>77.002024036558026</v>
      </c>
      <c r="I56" s="304">
        <f t="shared" ca="1" si="13"/>
        <v>78.310447913398136</v>
      </c>
      <c r="J56" s="306">
        <f t="shared" ca="1" si="14"/>
        <v>3.4924363867799717</v>
      </c>
      <c r="K56" s="307">
        <f t="shared" ca="1" si="15"/>
        <v>19.337910169679283</v>
      </c>
      <c r="L56" s="304">
        <f t="shared" ca="1" si="0"/>
        <v>19.65074761036562</v>
      </c>
      <c r="M56" s="306">
        <f t="shared" ca="1" si="16"/>
        <v>1.3877395025712715</v>
      </c>
      <c r="N56" s="304">
        <f t="shared" ca="1" si="17"/>
        <v>79.511616560918114</v>
      </c>
      <c r="P56" s="310">
        <f t="shared" ca="1" si="18"/>
        <v>7</v>
      </c>
      <c r="Q56" s="304">
        <f t="shared" ca="1" si="19"/>
        <v>1323.5383750000001</v>
      </c>
      <c r="R56" s="306">
        <f t="shared" ca="1" si="20"/>
        <v>0.65042877632644169</v>
      </c>
      <c r="S56" s="307">
        <f t="shared" ca="1" si="21"/>
        <v>7.8042960763478755</v>
      </c>
      <c r="T56" s="304">
        <f t="shared" ca="1" si="1"/>
        <v>76.560144508972655</v>
      </c>
      <c r="U56" s="311">
        <f t="shared" ca="1" si="2"/>
        <v>0</v>
      </c>
      <c r="V56" s="306">
        <f t="shared" ca="1" si="3"/>
        <v>1.2226333942646701</v>
      </c>
      <c r="W56" s="304">
        <f t="shared" ca="1" si="4"/>
        <v>19.568840951898391</v>
      </c>
      <c r="Y56" s="314" t="str">
        <f t="shared" ca="1" si="22"/>
        <v/>
      </c>
      <c r="Z56" s="315" t="str">
        <f t="shared" ca="1" si="23"/>
        <v/>
      </c>
      <c r="AA56" s="316" t="str">
        <f t="shared" ca="1" si="24"/>
        <v/>
      </c>
      <c r="AC56" s="310" t="e">
        <f t="shared" ca="1" si="25"/>
        <v>#N/A</v>
      </c>
      <c r="AD56" s="323" t="e">
        <f t="shared" ca="1" si="26"/>
        <v>#N/A</v>
      </c>
      <c r="AE56" s="324">
        <f t="shared" ca="1" si="5"/>
        <v>19.337910169679283</v>
      </c>
      <c r="AG56" s="306">
        <f t="shared" ca="1" si="27"/>
        <v>157.53674193049449</v>
      </c>
      <c r="AH56" s="304">
        <f t="shared" ca="1" si="28"/>
        <v>167.18324130596957</v>
      </c>
    </row>
    <row r="57" spans="1:34" x14ac:dyDescent="0.2">
      <c r="A57" s="347">
        <f t="shared" ca="1" si="6"/>
        <v>0.01</v>
      </c>
      <c r="B57" s="304">
        <f t="shared" ca="1" si="7"/>
        <v>0.53000000000000025</v>
      </c>
      <c r="D57" s="306">
        <f t="shared" ca="1" si="8"/>
        <v>30.424668716670041</v>
      </c>
      <c r="E57" s="307">
        <f t="shared" ca="1" si="9"/>
        <v>154.53276996443711</v>
      </c>
      <c r="F57" s="304">
        <f t="shared" ca="1" si="10"/>
        <v>157.49932526649363</v>
      </c>
      <c r="G57" s="306">
        <f t="shared" ca="1" si="11"/>
        <v>14.559580659767391</v>
      </c>
      <c r="H57" s="307">
        <f t="shared" ca="1" si="12"/>
        <v>78.547351736202401</v>
      </c>
      <c r="I57" s="304">
        <f t="shared" ca="1" si="13"/>
        <v>79.885341920523629</v>
      </c>
      <c r="J57" s="306">
        <f t="shared" ca="1" si="14"/>
        <v>3.6365109599418122</v>
      </c>
      <c r="K57" s="307">
        <f t="shared" ca="1" si="15"/>
        <v>20.115657048543085</v>
      </c>
      <c r="L57" s="304">
        <f t="shared" ca="1" si="0"/>
        <v>20.441718872354596</v>
      </c>
      <c r="M57" s="306">
        <f t="shared" ca="1" si="16"/>
        <v>1.3875159603299714</v>
      </c>
      <c r="N57" s="304">
        <f t="shared" ca="1" si="17"/>
        <v>79.498808533948718</v>
      </c>
      <c r="P57" s="310">
        <f t="shared" ca="1" si="18"/>
        <v>7</v>
      </c>
      <c r="Q57" s="304">
        <f t="shared" ca="1" si="19"/>
        <v>1322.8556249999999</v>
      </c>
      <c r="R57" s="306">
        <f t="shared" ca="1" si="20"/>
        <v>0.65009325130093043</v>
      </c>
      <c r="S57" s="307">
        <f t="shared" ca="1" si="21"/>
        <v>7.7977951438348665</v>
      </c>
      <c r="T57" s="304">
        <f t="shared" ca="1" si="1"/>
        <v>76.496370361020041</v>
      </c>
      <c r="U57" s="311">
        <f t="shared" ca="1" si="2"/>
        <v>0</v>
      </c>
      <c r="V57" s="306">
        <f t="shared" ca="1" si="3"/>
        <v>1.222538307939216</v>
      </c>
      <c r="W57" s="304">
        <f t="shared" ca="1" si="4"/>
        <v>20.362266025539135</v>
      </c>
      <c r="Y57" s="314" t="str">
        <f t="shared" ca="1" si="22"/>
        <v/>
      </c>
      <c r="Z57" s="315" t="str">
        <f t="shared" ca="1" si="23"/>
        <v/>
      </c>
      <c r="AA57" s="316" t="str">
        <f t="shared" ca="1" si="24"/>
        <v/>
      </c>
      <c r="AC57" s="310" t="e">
        <f t="shared" ca="1" si="25"/>
        <v>#N/A</v>
      </c>
      <c r="AD57" s="323" t="e">
        <f t="shared" ca="1" si="26"/>
        <v>#N/A</v>
      </c>
      <c r="AE57" s="324">
        <f t="shared" ca="1" si="5"/>
        <v>20.115657048543085</v>
      </c>
      <c r="AG57" s="306">
        <f t="shared" ca="1" si="27"/>
        <v>157.48920111449499</v>
      </c>
      <c r="AH57" s="304">
        <f t="shared" ca="1" si="28"/>
        <v>167.1352940168623</v>
      </c>
    </row>
    <row r="58" spans="1:34" x14ac:dyDescent="0.2">
      <c r="A58" s="347">
        <f t="shared" ca="1" si="6"/>
        <v>0.01</v>
      </c>
      <c r="B58" s="304">
        <f t="shared" ca="1" si="7"/>
        <v>0.54000000000000026</v>
      </c>
      <c r="D58" s="306">
        <f t="shared" ca="1" si="8"/>
        <v>30.452277838047991</v>
      </c>
      <c r="E58" s="307">
        <f t="shared" ca="1" si="9"/>
        <v>154.47672187815141</v>
      </c>
      <c r="F58" s="304">
        <f t="shared" ca="1" si="10"/>
        <v>157.4496707768721</v>
      </c>
      <c r="G58" s="306">
        <f t="shared" ca="1" si="11"/>
        <v>14.864103438147872</v>
      </c>
      <c r="H58" s="307">
        <f t="shared" ca="1" si="12"/>
        <v>80.092118954983917</v>
      </c>
      <c r="I58" s="304">
        <f t="shared" ca="1" si="13"/>
        <v>81.459739072251224</v>
      </c>
      <c r="J58" s="306">
        <f t="shared" ca="1" si="14"/>
        <v>3.7836293804313885</v>
      </c>
      <c r="K58" s="307">
        <f t="shared" ca="1" si="15"/>
        <v>20.908854401999015</v>
      </c>
      <c r="L58" s="304">
        <f t="shared" ca="1" si="0"/>
        <v>21.248436264639739</v>
      </c>
      <c r="M58" s="306">
        <f t="shared" ca="1" si="16"/>
        <v>1.3872964738545135</v>
      </c>
      <c r="N58" s="304">
        <f t="shared" ca="1" si="17"/>
        <v>79.486232885244775</v>
      </c>
      <c r="P58" s="310">
        <f t="shared" ca="1" si="18"/>
        <v>7</v>
      </c>
      <c r="Q58" s="304">
        <f t="shared" ca="1" si="19"/>
        <v>1322.172875</v>
      </c>
      <c r="R58" s="306">
        <f t="shared" ca="1" si="20"/>
        <v>0.64975772627541928</v>
      </c>
      <c r="S58" s="307">
        <f t="shared" ca="1" si="21"/>
        <v>7.791297566572112</v>
      </c>
      <c r="T58" s="304">
        <f t="shared" ca="1" si="1"/>
        <v>76.432629128072421</v>
      </c>
      <c r="U58" s="311">
        <f t="shared" ca="1" si="2"/>
        <v>0</v>
      </c>
      <c r="V58" s="306">
        <f t="shared" ca="1" si="3"/>
        <v>1.2224413402679453</v>
      </c>
      <c r="W58" s="304">
        <f t="shared" ca="1" si="4"/>
        <v>21.171103310284458</v>
      </c>
      <c r="Y58" s="314" t="str">
        <f t="shared" ca="1" si="22"/>
        <v/>
      </c>
      <c r="Z58" s="315" t="str">
        <f t="shared" ca="1" si="23"/>
        <v/>
      </c>
      <c r="AA58" s="316" t="str">
        <f t="shared" ca="1" si="24"/>
        <v/>
      </c>
      <c r="AC58" s="310" t="e">
        <f t="shared" ca="1" si="25"/>
        <v>#N/A</v>
      </c>
      <c r="AD58" s="323" t="e">
        <f t="shared" ca="1" si="26"/>
        <v>#N/A</v>
      </c>
      <c r="AE58" s="324">
        <f t="shared" ca="1" si="5"/>
        <v>20.908854401999015</v>
      </c>
      <c r="AG58" s="306">
        <f t="shared" ca="1" si="27"/>
        <v>157.43951895941183</v>
      </c>
      <c r="AH58" s="304">
        <f t="shared" ca="1" si="28"/>
        <v>167.08521242466296</v>
      </c>
    </row>
    <row r="59" spans="1:34" x14ac:dyDescent="0.2">
      <c r="A59" s="347">
        <f t="shared" ca="1" si="6"/>
        <v>0.01</v>
      </c>
      <c r="B59" s="304">
        <f t="shared" ca="1" si="7"/>
        <v>0.55000000000000027</v>
      </c>
      <c r="D59" s="306">
        <f t="shared" ca="1" si="8"/>
        <v>30.478807694958565</v>
      </c>
      <c r="E59" s="307">
        <f t="shared" ca="1" si="9"/>
        <v>154.41869375664641</v>
      </c>
      <c r="F59" s="304">
        <f t="shared" ca="1" si="10"/>
        <v>157.39787387387167</v>
      </c>
      <c r="G59" s="306">
        <f t="shared" ca="1" si="11"/>
        <v>15.168891515097457</v>
      </c>
      <c r="H59" s="307">
        <f t="shared" ca="1" si="12"/>
        <v>81.636305892550382</v>
      </c>
      <c r="I59" s="304">
        <f t="shared" ca="1" si="13"/>
        <v>83.033617948267505</v>
      </c>
      <c r="J59" s="306">
        <f t="shared" ca="1" si="14"/>
        <v>3.9337943551976151</v>
      </c>
      <c r="K59" s="307">
        <f t="shared" ca="1" si="15"/>
        <v>21.717496526236687</v>
      </c>
      <c r="L59" s="304">
        <f t="shared" ca="1" si="0"/>
        <v>22.070894712178916</v>
      </c>
      <c r="M59" s="306">
        <f t="shared" ca="1" si="16"/>
        <v>1.3870808927197888</v>
      </c>
      <c r="N59" s="304">
        <f t="shared" ca="1" si="17"/>
        <v>79.473880996082414</v>
      </c>
      <c r="P59" s="310">
        <f t="shared" ca="1" si="18"/>
        <v>7</v>
      </c>
      <c r="Q59" s="304">
        <f t="shared" ca="1" si="19"/>
        <v>1321.490125</v>
      </c>
      <c r="R59" s="306">
        <f t="shared" ca="1" si="20"/>
        <v>0.64942220124990824</v>
      </c>
      <c r="S59" s="307">
        <f t="shared" ca="1" si="21"/>
        <v>7.784803344559613</v>
      </c>
      <c r="T59" s="304">
        <f t="shared" ca="1" si="1"/>
        <v>76.368920810129808</v>
      </c>
      <c r="U59" s="311">
        <f t="shared" ca="1" si="2"/>
        <v>0</v>
      </c>
      <c r="V59" s="306">
        <f t="shared" ca="1" si="3"/>
        <v>1.2223424923961437</v>
      </c>
      <c r="W59" s="304">
        <f t="shared" ca="1" si="4"/>
        <v>21.99531905841717</v>
      </c>
      <c r="Y59" s="314" t="str">
        <f t="shared" ca="1" si="22"/>
        <v/>
      </c>
      <c r="Z59" s="315" t="str">
        <f t="shared" ca="1" si="23"/>
        <v/>
      </c>
      <c r="AA59" s="316" t="str">
        <f t="shared" ca="1" si="24"/>
        <v/>
      </c>
      <c r="AC59" s="310" t="e">
        <f t="shared" ca="1" si="25"/>
        <v>#N/A</v>
      </c>
      <c r="AD59" s="323" t="e">
        <f t="shared" ca="1" si="26"/>
        <v>#N/A</v>
      </c>
      <c r="AE59" s="324">
        <f t="shared" ca="1" si="5"/>
        <v>21.717496526236687</v>
      </c>
      <c r="AG59" s="306">
        <f t="shared" ca="1" si="27"/>
        <v>157.38769465132197</v>
      </c>
      <c r="AH59" s="304">
        <f t="shared" ca="1" si="28"/>
        <v>167.03299545754609</v>
      </c>
    </row>
    <row r="60" spans="1:34" x14ac:dyDescent="0.2">
      <c r="A60" s="347">
        <f t="shared" ca="1" si="6"/>
        <v>0.01</v>
      </c>
      <c r="B60" s="304">
        <f t="shared" ca="1" si="7"/>
        <v>0.56000000000000028</v>
      </c>
      <c r="D60" s="306">
        <f t="shared" ca="1" si="8"/>
        <v>30.50428213355514</v>
      </c>
      <c r="E60" s="307">
        <f t="shared" ca="1" si="9"/>
        <v>154.35868067182352</v>
      </c>
      <c r="F60" s="304">
        <f t="shared" ca="1" si="10"/>
        <v>157.34393387490195</v>
      </c>
      <c r="G60" s="306">
        <f t="shared" ca="1" si="11"/>
        <v>15.473934336433008</v>
      </c>
      <c r="H60" s="307">
        <f t="shared" ca="1" si="12"/>
        <v>83.179892699268621</v>
      </c>
      <c r="I60" s="304">
        <f t="shared" ca="1" si="13"/>
        <v>84.606957121208907</v>
      </c>
      <c r="J60" s="306">
        <f t="shared" ca="1" si="14"/>
        <v>4.0870084844552679</v>
      </c>
      <c r="K60" s="307">
        <f t="shared" ca="1" si="15"/>
        <v>22.541577519195783</v>
      </c>
      <c r="L60" s="304">
        <f t="shared" ca="1" si="0"/>
        <v>22.909088925706367</v>
      </c>
      <c r="M60" s="306">
        <f t="shared" ca="1" si="16"/>
        <v>1.38686907474151</v>
      </c>
      <c r="N60" s="304">
        <f t="shared" ca="1" si="17"/>
        <v>79.461744719902043</v>
      </c>
      <c r="P60" s="310">
        <f t="shared" ca="1" si="18"/>
        <v>7</v>
      </c>
      <c r="Q60" s="304">
        <f t="shared" ca="1" si="19"/>
        <v>1320.8073750000001</v>
      </c>
      <c r="R60" s="306">
        <f t="shared" ca="1" si="20"/>
        <v>0.64908667622439709</v>
      </c>
      <c r="S60" s="307">
        <f t="shared" ca="1" si="21"/>
        <v>7.7783124777973693</v>
      </c>
      <c r="T60" s="304">
        <f t="shared" ca="1" si="1"/>
        <v>76.305245407192203</v>
      </c>
      <c r="U60" s="311">
        <f t="shared" ca="1" si="2"/>
        <v>0</v>
      </c>
      <c r="V60" s="306">
        <f t="shared" ca="1" si="3"/>
        <v>1.2222417655017368</v>
      </c>
      <c r="W60" s="304">
        <f t="shared" ca="1" si="4"/>
        <v>22.834878531750196</v>
      </c>
      <c r="Y60" s="314" t="str">
        <f t="shared" ca="1" si="22"/>
        <v/>
      </c>
      <c r="Z60" s="315" t="str">
        <f t="shared" ca="1" si="23"/>
        <v/>
      </c>
      <c r="AA60" s="316" t="str">
        <f t="shared" ca="1" si="24"/>
        <v/>
      </c>
      <c r="AC60" s="310" t="e">
        <f t="shared" ca="1" si="25"/>
        <v>#N/A</v>
      </c>
      <c r="AD60" s="323" t="e">
        <f t="shared" ca="1" si="26"/>
        <v>#N/A</v>
      </c>
      <c r="AE60" s="324">
        <f t="shared" ca="1" si="5"/>
        <v>22.541577519195783</v>
      </c>
      <c r="AG60" s="306">
        <f t="shared" ca="1" si="27"/>
        <v>157.33372749173208</v>
      </c>
      <c r="AH60" s="304">
        <f t="shared" ca="1" si="28"/>
        <v>166.97864217321535</v>
      </c>
    </row>
    <row r="61" spans="1:34" x14ac:dyDescent="0.2">
      <c r="A61" s="347">
        <f t="shared" ca="1" si="6"/>
        <v>0.01</v>
      </c>
      <c r="B61" s="304">
        <f t="shared" ca="1" si="7"/>
        <v>0.57000000000000028</v>
      </c>
      <c r="D61" s="306">
        <f t="shared" ca="1" si="8"/>
        <v>30.528723683061397</v>
      </c>
      <c r="E61" s="307">
        <f t="shared" ca="1" si="9"/>
        <v>154.29667804268547</v>
      </c>
      <c r="F61" s="304">
        <f t="shared" ca="1" si="10"/>
        <v>157.28785021331066</v>
      </c>
      <c r="G61" s="306">
        <f t="shared" ca="1" si="11"/>
        <v>15.779221573263621</v>
      </c>
      <c r="H61" s="307">
        <f t="shared" ca="1" si="12"/>
        <v>84.722859479695472</v>
      </c>
      <c r="I61" s="304">
        <f t="shared" ca="1" si="13"/>
        <v>86.17973515783379</v>
      </c>
      <c r="J61" s="306">
        <f t="shared" ca="1" si="14"/>
        <v>4.2432742640037509</v>
      </c>
      <c r="K61" s="307">
        <f t="shared" ca="1" si="15"/>
        <v>23.381091280090605</v>
      </c>
      <c r="L61" s="304">
        <f t="shared" ca="1" si="0"/>
        <v>23.763013401660267</v>
      </c>
      <c r="M61" s="306">
        <f t="shared" ca="1" si="16"/>
        <v>1.3866608853820328</v>
      </c>
      <c r="N61" s="304">
        <f t="shared" ca="1" si="17"/>
        <v>79.449816348264477</v>
      </c>
      <c r="P61" s="310">
        <f t="shared" ca="1" si="18"/>
        <v>7</v>
      </c>
      <c r="Q61" s="304">
        <f t="shared" ca="1" si="19"/>
        <v>1320.1246249999999</v>
      </c>
      <c r="R61" s="306">
        <f t="shared" ca="1" si="20"/>
        <v>0.64875115119888582</v>
      </c>
      <c r="S61" s="307">
        <f t="shared" ca="1" si="21"/>
        <v>7.7718249662853802</v>
      </c>
      <c r="T61" s="304">
        <f t="shared" ca="1" si="1"/>
        <v>76.241602919259577</v>
      </c>
      <c r="U61" s="311">
        <f t="shared" ca="1" si="2"/>
        <v>0</v>
      </c>
      <c r="V61" s="306">
        <f t="shared" ca="1" si="3"/>
        <v>1.222139160795318</v>
      </c>
      <c r="W61" s="304">
        <f t="shared" ca="1" si="4"/>
        <v>23.689746003665881</v>
      </c>
      <c r="Y61" s="314" t="str">
        <f t="shared" ca="1" si="22"/>
        <v/>
      </c>
      <c r="Z61" s="315" t="str">
        <f t="shared" ca="1" si="23"/>
        <v/>
      </c>
      <c r="AA61" s="316" t="str">
        <f t="shared" ca="1" si="24"/>
        <v/>
      </c>
      <c r="AC61" s="310" t="e">
        <f t="shared" ca="1" si="25"/>
        <v>#N/A</v>
      </c>
      <c r="AD61" s="323" t="e">
        <f t="shared" ca="1" si="26"/>
        <v>#N/A</v>
      </c>
      <c r="AE61" s="324">
        <f t="shared" ca="1" si="5"/>
        <v>23.381091280090605</v>
      </c>
      <c r="AG61" s="306">
        <f t="shared" ca="1" si="27"/>
        <v>157.27761689889786</v>
      </c>
      <c r="AH61" s="304">
        <f t="shared" ca="1" si="28"/>
        <v>166.92215175920282</v>
      </c>
    </row>
    <row r="62" spans="1:34" x14ac:dyDescent="0.2">
      <c r="A62" s="347">
        <f t="shared" ca="1" si="6"/>
        <v>0.01</v>
      </c>
      <c r="B62" s="304">
        <f t="shared" ca="1" si="7"/>
        <v>0.58000000000000029</v>
      </c>
      <c r="D62" s="306">
        <f t="shared" ca="1" si="8"/>
        <v>30.552153653094287</v>
      </c>
      <c r="E62" s="307">
        <f t="shared" ca="1" si="9"/>
        <v>154.23268161992726</v>
      </c>
      <c r="F62" s="304">
        <f t="shared" ca="1" si="10"/>
        <v>157.22962243965395</v>
      </c>
      <c r="G62" s="306">
        <f t="shared" ca="1" si="11"/>
        <v>16.084743109794562</v>
      </c>
      <c r="H62" s="307">
        <f t="shared" ca="1" si="12"/>
        <v>86.26518629589475</v>
      </c>
      <c r="I62" s="304">
        <f t="shared" ca="1" si="13"/>
        <v>87.751930620206366</v>
      </c>
      <c r="J62" s="306">
        <f t="shared" ca="1" si="14"/>
        <v>4.4025940874190415</v>
      </c>
      <c r="K62" s="307">
        <f t="shared" ca="1" si="15"/>
        <v>24.236031508968555</v>
      </c>
      <c r="L62" s="304">
        <f t="shared" ca="1" si="0"/>
        <v>24.63266242212347</v>
      </c>
      <c r="M62" s="306">
        <f t="shared" ca="1" si="16"/>
        <v>1.3864561972089331</v>
      </c>
      <c r="N62" s="304">
        <f t="shared" ca="1" si="17"/>
        <v>79.438088579829611</v>
      </c>
      <c r="P62" s="310">
        <f t="shared" ca="1" si="18"/>
        <v>7</v>
      </c>
      <c r="Q62" s="304">
        <f t="shared" ca="1" si="19"/>
        <v>1319.441875</v>
      </c>
      <c r="R62" s="306">
        <f t="shared" ca="1" si="20"/>
        <v>0.64841562617337467</v>
      </c>
      <c r="S62" s="307">
        <f t="shared" ca="1" si="21"/>
        <v>7.7653408100236465</v>
      </c>
      <c r="T62" s="304">
        <f t="shared" ca="1" si="1"/>
        <v>76.177993346331974</v>
      </c>
      <c r="U62" s="311">
        <f t="shared" ca="1" si="2"/>
        <v>0</v>
      </c>
      <c r="V62" s="306">
        <f t="shared" ca="1" si="3"/>
        <v>1.2220346795201806</v>
      </c>
      <c r="W62" s="304">
        <f t="shared" ca="1" si="4"/>
        <v>24.5598847612874</v>
      </c>
      <c r="Y62" s="314" t="str">
        <f t="shared" ca="1" si="22"/>
        <v/>
      </c>
      <c r="Z62" s="315" t="str">
        <f t="shared" ca="1" si="23"/>
        <v/>
      </c>
      <c r="AA62" s="316" t="str">
        <f t="shared" ca="1" si="24"/>
        <v/>
      </c>
      <c r="AC62" s="310" t="e">
        <f t="shared" ca="1" si="25"/>
        <v>#N/A</v>
      </c>
      <c r="AD62" s="323" t="e">
        <f t="shared" ca="1" si="26"/>
        <v>#N/A</v>
      </c>
      <c r="AE62" s="324">
        <f t="shared" ca="1" si="5"/>
        <v>24.236031508968555</v>
      </c>
      <c r="AG62" s="306">
        <f t="shared" ca="1" si="27"/>
        <v>157.21936240903679</v>
      </c>
      <c r="AH62" s="304">
        <f t="shared" ca="1" si="28"/>
        <v>166.863523533153</v>
      </c>
    </row>
    <row r="63" spans="1:34" x14ac:dyDescent="0.2">
      <c r="A63" s="347">
        <f t="shared" ca="1" si="6"/>
        <v>0.01</v>
      </c>
      <c r="B63" s="304">
        <f t="shared" ca="1" si="7"/>
        <v>0.5900000000000003</v>
      </c>
      <c r="D63" s="306">
        <f t="shared" ca="1" si="8"/>
        <v>30.574592222331024</v>
      </c>
      <c r="E63" s="307">
        <f t="shared" ca="1" si="9"/>
        <v>154.16668747188888</v>
      </c>
      <c r="F63" s="304">
        <f t="shared" ca="1" si="10"/>
        <v>157.16925022286287</v>
      </c>
      <c r="G63" s="306">
        <f t="shared" ca="1" si="11"/>
        <v>16.390489032017872</v>
      </c>
      <c r="H63" s="307">
        <f t="shared" ca="1" si="12"/>
        <v>87.806853170613635</v>
      </c>
      <c r="I63" s="304">
        <f t="shared" ca="1" si="13"/>
        <v>89.323522066891201</v>
      </c>
      <c r="J63" s="306">
        <f t="shared" ca="1" si="14"/>
        <v>4.5649702481281036</v>
      </c>
      <c r="K63" s="307">
        <f t="shared" ca="1" si="15"/>
        <v>25.106391706301096</v>
      </c>
      <c r="L63" s="304">
        <f t="shared" ca="1" si="0"/>
        <v>25.518030054777334</v>
      </c>
      <c r="M63" s="306">
        <f t="shared" ca="1" si="16"/>
        <v>1.3862548894008062</v>
      </c>
      <c r="N63" s="304">
        <f t="shared" ca="1" si="17"/>
        <v>79.426554492040907</v>
      </c>
      <c r="P63" s="310">
        <f t="shared" ca="1" si="18"/>
        <v>7</v>
      </c>
      <c r="Q63" s="304">
        <f t="shared" ca="1" si="19"/>
        <v>1318.759125</v>
      </c>
      <c r="R63" s="306">
        <f t="shared" ca="1" si="20"/>
        <v>0.64808010114786352</v>
      </c>
      <c r="S63" s="307">
        <f t="shared" ca="1" si="21"/>
        <v>7.7588600090121682</v>
      </c>
      <c r="T63" s="304">
        <f t="shared" ca="1" si="1"/>
        <v>76.114416688409378</v>
      </c>
      <c r="U63" s="311">
        <f t="shared" ca="1" si="2"/>
        <v>0</v>
      </c>
      <c r="V63" s="306">
        <f t="shared" ca="1" si="3"/>
        <v>1.2219283229523359</v>
      </c>
      <c r="W63" s="304">
        <f t="shared" ca="1" si="4"/>
        <v>25.445257107781593</v>
      </c>
      <c r="Y63" s="314" t="str">
        <f t="shared" ca="1" si="22"/>
        <v/>
      </c>
      <c r="Z63" s="315" t="str">
        <f t="shared" ca="1" si="23"/>
        <v/>
      </c>
      <c r="AA63" s="316" t="str">
        <f t="shared" ca="1" si="24"/>
        <v/>
      </c>
      <c r="AC63" s="310" t="e">
        <f t="shared" ca="1" si="25"/>
        <v>#N/A</v>
      </c>
      <c r="AD63" s="323" t="e">
        <f t="shared" ca="1" si="26"/>
        <v>#N/A</v>
      </c>
      <c r="AE63" s="324">
        <f t="shared" ca="1" si="5"/>
        <v>25.106391706301096</v>
      </c>
      <c r="AG63" s="306">
        <f t="shared" ca="1" si="27"/>
        <v>157.15896367744168</v>
      </c>
      <c r="AH63" s="304">
        <f t="shared" ca="1" si="28"/>
        <v>166.80275694308935</v>
      </c>
    </row>
    <row r="64" spans="1:34" x14ac:dyDescent="0.2">
      <c r="A64" s="347">
        <f t="shared" ca="1" si="6"/>
        <v>0.01</v>
      </c>
      <c r="B64" s="304">
        <f t="shared" ca="1" si="7"/>
        <v>0.60000000000000031</v>
      </c>
      <c r="D64" s="306">
        <f t="shared" ca="1" si="8"/>
        <v>30.596058519428937</v>
      </c>
      <c r="E64" s="307">
        <f t="shared" ca="1" si="9"/>
        <v>154.09869197172767</v>
      </c>
      <c r="F64" s="304">
        <f t="shared" ca="1" si="10"/>
        <v>157.10673335131671</v>
      </c>
      <c r="G64" s="306">
        <f t="shared" ca="1" si="11"/>
        <v>16.69644961721216</v>
      </c>
      <c r="H64" s="307">
        <f t="shared" ca="1" si="12"/>
        <v>89.347840090330919</v>
      </c>
      <c r="I64" s="304">
        <f t="shared" ca="1" si="13"/>
        <v>90.894488054157875</v>
      </c>
      <c r="J64" s="306">
        <f t="shared" ca="1" si="14"/>
        <v>4.7304049413742542</v>
      </c>
      <c r="K64" s="307">
        <f t="shared" ca="1" si="15"/>
        <v>25.992165172605819</v>
      </c>
      <c r="L64" s="304">
        <f t="shared" ca="1" si="0"/>
        <v>26.41911015286853</v>
      </c>
      <c r="M64" s="306">
        <f t="shared" ca="1" si="16"/>
        <v>1.3860568472954224</v>
      </c>
      <c r="N64" s="304">
        <f t="shared" ca="1" si="17"/>
        <v>79.415207515236546</v>
      </c>
      <c r="P64" s="310">
        <f t="shared" ca="1" si="18"/>
        <v>7</v>
      </c>
      <c r="Q64" s="304">
        <f t="shared" ca="1" si="19"/>
        <v>1318.0763750000001</v>
      </c>
      <c r="R64" s="306">
        <f t="shared" ca="1" si="20"/>
        <v>0.64774457612235237</v>
      </c>
      <c r="S64" s="307">
        <f t="shared" ca="1" si="21"/>
        <v>7.7523825632509444</v>
      </c>
      <c r="T64" s="304">
        <f t="shared" ca="1" si="1"/>
        <v>76.050872945491776</v>
      </c>
      <c r="U64" s="311">
        <f t="shared" ca="1" si="2"/>
        <v>0</v>
      </c>
      <c r="V64" s="306">
        <f t="shared" ca="1" si="3"/>
        <v>1.2218200924005336</v>
      </c>
      <c r="W64" s="304">
        <f t="shared" ca="1" si="4"/>
        <v>26.345824364793973</v>
      </c>
      <c r="Y64" s="314" t="str">
        <f t="shared" ca="1" si="22"/>
        <v/>
      </c>
      <c r="Z64" s="315" t="str">
        <f t="shared" ca="1" si="23"/>
        <v/>
      </c>
      <c r="AA64" s="316" t="str">
        <f t="shared" ca="1" si="24"/>
        <v/>
      </c>
      <c r="AC64" s="310" t="e">
        <f t="shared" ca="1" si="25"/>
        <v>#N/A</v>
      </c>
      <c r="AD64" s="323" t="e">
        <f t="shared" ca="1" si="26"/>
        <v>#N/A</v>
      </c>
      <c r="AE64" s="324">
        <f t="shared" ca="1" si="5"/>
        <v>25.992165172605819</v>
      </c>
      <c r="AG64" s="306">
        <f t="shared" ca="1" si="27"/>
        <v>157.09642047950618</v>
      </c>
      <c r="AH64" s="304">
        <f t="shared" ca="1" si="28"/>
        <v>166.73985156766523</v>
      </c>
    </row>
    <row r="65" spans="1:34" x14ac:dyDescent="0.2">
      <c r="A65" s="347">
        <f t="shared" ca="1" si="6"/>
        <v>0.01</v>
      </c>
      <c r="B65" s="304">
        <f t="shared" ca="1" si="7"/>
        <v>0.61000000000000032</v>
      </c>
      <c r="D65" s="306">
        <f t="shared" ca="1" si="8"/>
        <v>30.616570696997144</v>
      </c>
      <c r="E65" s="307">
        <f t="shared" ca="1" si="9"/>
        <v>154.02869178568335</v>
      </c>
      <c r="F65" s="304">
        <f t="shared" ca="1" si="10"/>
        <v>157.04207173382954</v>
      </c>
      <c r="G65" s="306">
        <f t="shared" ca="1" si="11"/>
        <v>17.002615324182131</v>
      </c>
      <c r="H65" s="307">
        <f t="shared" ca="1" si="12"/>
        <v>90.888127008187752</v>
      </c>
      <c r="I65" s="304">
        <f t="shared" ca="1" si="13"/>
        <v>92.464807137194526</v>
      </c>
      <c r="J65" s="306">
        <f t="shared" ca="1" si="14"/>
        <v>4.8989002660812258</v>
      </c>
      <c r="K65" s="307">
        <f t="shared" ca="1" si="15"/>
        <v>26.893345008098414</v>
      </c>
      <c r="L65" s="304">
        <f t="shared" ca="1" si="0"/>
        <v>27.335896355188769</v>
      </c>
      <c r="M65" s="306">
        <f t="shared" ca="1" si="16"/>
        <v>1.3858619619759458</v>
      </c>
      <c r="N65" s="304">
        <f t="shared" ca="1" si="17"/>
        <v>79.404041408941467</v>
      </c>
      <c r="P65" s="310">
        <f t="shared" ca="1" si="18"/>
        <v>7</v>
      </c>
      <c r="Q65" s="304">
        <f t="shared" ca="1" si="19"/>
        <v>1317.3936249999999</v>
      </c>
      <c r="R65" s="306">
        <f t="shared" ca="1" si="20"/>
        <v>0.64740905109684121</v>
      </c>
      <c r="S65" s="307">
        <f t="shared" ca="1" si="21"/>
        <v>7.7459084727399761</v>
      </c>
      <c r="T65" s="304">
        <f t="shared" ca="1" si="1"/>
        <v>75.987362117579167</v>
      </c>
      <c r="U65" s="311">
        <f t="shared" ca="1" si="2"/>
        <v>0</v>
      </c>
      <c r="V65" s="306">
        <f t="shared" ca="1" si="3"/>
        <v>1.2217099892062757</v>
      </c>
      <c r="W65" s="304">
        <f t="shared" ca="1" si="4"/>
        <v>27.26154687501532</v>
      </c>
      <c r="Y65" s="314" t="str">
        <f t="shared" ca="1" si="22"/>
        <v/>
      </c>
      <c r="Z65" s="315" t="str">
        <f t="shared" ca="1" si="23"/>
        <v/>
      </c>
      <c r="AA65" s="316" t="str">
        <f t="shared" ca="1" si="24"/>
        <v/>
      </c>
      <c r="AC65" s="310" t="e">
        <f t="shared" ca="1" si="25"/>
        <v>#N/A</v>
      </c>
      <c r="AD65" s="323" t="e">
        <f t="shared" ca="1" si="26"/>
        <v>#N/A</v>
      </c>
      <c r="AE65" s="324">
        <f t="shared" ca="1" si="5"/>
        <v>26.893345008098414</v>
      </c>
      <c r="AG65" s="306">
        <f t="shared" ca="1" si="27"/>
        <v>157.03173271166699</v>
      </c>
      <c r="AH65" s="304">
        <f t="shared" ca="1" si="28"/>
        <v>166.67480711639766</v>
      </c>
    </row>
    <row r="66" spans="1:34" x14ac:dyDescent="0.2">
      <c r="A66" s="347">
        <f t="shared" ca="1" si="6"/>
        <v>0.01</v>
      </c>
      <c r="B66" s="304">
        <f t="shared" ca="1" si="7"/>
        <v>0.62000000000000033</v>
      </c>
      <c r="D66" s="306">
        <f t="shared" ca="1" si="8"/>
        <v>30.636145999325063</v>
      </c>
      <c r="E66" s="307">
        <f t="shared" ca="1" si="9"/>
        <v>153.95668386232387</v>
      </c>
      <c r="F66" s="304">
        <f t="shared" ca="1" si="10"/>
        <v>156.97526540055759</v>
      </c>
      <c r="G66" s="306">
        <f t="shared" ca="1" si="11"/>
        <v>17.308976784175382</v>
      </c>
      <c r="H66" s="307">
        <f t="shared" ca="1" si="12"/>
        <v>92.427693846810996</v>
      </c>
      <c r="I66" s="304">
        <f t="shared" ca="1" si="13"/>
        <v>94.034457871330048</v>
      </c>
      <c r="J66" s="306">
        <f t="shared" ca="1" si="14"/>
        <v>5.0704582266230132</v>
      </c>
      <c r="K66" s="307">
        <f t="shared" ca="1" si="15"/>
        <v>27.809924112373409</v>
      </c>
      <c r="L66" s="304">
        <f t="shared" ca="1" si="0"/>
        <v>28.268382086067408</v>
      </c>
      <c r="M66" s="306">
        <f t="shared" ca="1" si="16"/>
        <v>1.3856701298914289</v>
      </c>
      <c r="N66" s="304">
        <f t="shared" ca="1" si="17"/>
        <v>79.393050240123458</v>
      </c>
      <c r="P66" s="310">
        <f t="shared" ca="1" si="18"/>
        <v>7</v>
      </c>
      <c r="Q66" s="304">
        <f t="shared" ca="1" si="19"/>
        <v>1316.710875</v>
      </c>
      <c r="R66" s="306">
        <f t="shared" ca="1" si="20"/>
        <v>0.64707352607133006</v>
      </c>
      <c r="S66" s="307">
        <f t="shared" ca="1" si="21"/>
        <v>7.7394377374792631</v>
      </c>
      <c r="T66" s="304">
        <f t="shared" ca="1" si="1"/>
        <v>75.92388420467158</v>
      </c>
      <c r="U66" s="311">
        <f t="shared" ca="1" si="2"/>
        <v>0</v>
      </c>
      <c r="V66" s="306">
        <f t="shared" ca="1" si="3"/>
        <v>1.2215980147438243</v>
      </c>
      <c r="W66" s="304">
        <f t="shared" ca="1" si="4"/>
        <v>28.192384004880072</v>
      </c>
      <c r="Y66" s="314" t="str">
        <f t="shared" ca="1" si="22"/>
        <v/>
      </c>
      <c r="Z66" s="315" t="str">
        <f t="shared" ca="1" si="23"/>
        <v/>
      </c>
      <c r="AA66" s="316" t="str">
        <f t="shared" ca="1" si="24"/>
        <v/>
      </c>
      <c r="AC66" s="310" t="e">
        <f t="shared" ca="1" si="25"/>
        <v>#N/A</v>
      </c>
      <c r="AD66" s="323" t="e">
        <f t="shared" ca="1" si="26"/>
        <v>#N/A</v>
      </c>
      <c r="AE66" s="324">
        <f t="shared" ca="1" si="5"/>
        <v>27.809924112373409</v>
      </c>
      <c r="AG66" s="306">
        <f t="shared" ca="1" si="27"/>
        <v>156.96490039227123</v>
      </c>
      <c r="AH66" s="304">
        <f t="shared" ca="1" si="28"/>
        <v>166.6076234298848</v>
      </c>
    </row>
    <row r="67" spans="1:34" x14ac:dyDescent="0.2">
      <c r="A67" s="347">
        <f t="shared" ca="1" si="6"/>
        <v>0.01</v>
      </c>
      <c r="B67" s="304">
        <f t="shared" ca="1" si="7"/>
        <v>0.63000000000000034</v>
      </c>
      <c r="D67" s="306">
        <f t="shared" ca="1" si="8"/>
        <v>30.654800824489271</v>
      </c>
      <c r="E67" s="307">
        <f t="shared" ca="1" si="9"/>
        <v>153.88266542267459</v>
      </c>
      <c r="F67" s="304">
        <f t="shared" ca="1" si="10"/>
        <v>156.90631450383353</v>
      </c>
      <c r="G67" s="306">
        <f t="shared" ca="1" si="11"/>
        <v>17.615524792420274</v>
      </c>
      <c r="H67" s="307">
        <f t="shared" ca="1" si="12"/>
        <v>93.966520501037735</v>
      </c>
      <c r="I67" s="304">
        <f t="shared" ca="1" si="13"/>
        <v>95.603418813263772</v>
      </c>
      <c r="J67" s="306">
        <f t="shared" ca="1" si="14"/>
        <v>5.2450807345059918</v>
      </c>
      <c r="K67" s="307">
        <f t="shared" ca="1" si="15"/>
        <v>28.741895184112654</v>
      </c>
      <c r="L67" s="304">
        <f t="shared" ca="1" si="0"/>
        <v>29.216560555376876</v>
      </c>
      <c r="M67" s="306">
        <f t="shared" ca="1" si="16"/>
        <v>1.385481252508221</v>
      </c>
      <c r="N67" s="304">
        <f t="shared" ca="1" si="17"/>
        <v>79.382228363220165</v>
      </c>
      <c r="P67" s="310">
        <f t="shared" ca="1" si="18"/>
        <v>7</v>
      </c>
      <c r="Q67" s="304">
        <f t="shared" ca="1" si="19"/>
        <v>1316.028125</v>
      </c>
      <c r="R67" s="306">
        <f t="shared" ca="1" si="20"/>
        <v>0.64673800104581891</v>
      </c>
      <c r="S67" s="307">
        <f t="shared" ca="1" si="21"/>
        <v>7.7329703574688047</v>
      </c>
      <c r="T67" s="304">
        <f t="shared" ca="1" si="1"/>
        <v>75.860439206768973</v>
      </c>
      <c r="U67" s="311">
        <f t="shared" ca="1" si="2"/>
        <v>0</v>
      </c>
      <c r="V67" s="306">
        <f t="shared" ca="1" si="3"/>
        <v>1.2214841704202095</v>
      </c>
      <c r="W67" s="304">
        <f t="shared" ca="1" si="4"/>
        <v>29.138294147396351</v>
      </c>
      <c r="Y67" s="314" t="str">
        <f t="shared" ca="1" si="22"/>
        <v/>
      </c>
      <c r="Z67" s="315" t="str">
        <f t="shared" ca="1" si="23"/>
        <v/>
      </c>
      <c r="AA67" s="316" t="str">
        <f t="shared" ca="1" si="24"/>
        <v/>
      </c>
      <c r="AC67" s="310" t="e">
        <f t="shared" ca="1" si="25"/>
        <v>#N/A</v>
      </c>
      <c r="AD67" s="323" t="e">
        <f t="shared" ca="1" si="26"/>
        <v>#N/A</v>
      </c>
      <c r="AE67" s="324">
        <f t="shared" ca="1" si="5"/>
        <v>28.741895184112654</v>
      </c>
      <c r="AG67" s="306">
        <f t="shared" ca="1" si="27"/>
        <v>156.89592366237292</v>
      </c>
      <c r="AH67" s="304">
        <f t="shared" ca="1" si="28"/>
        <v>166.53830048000609</v>
      </c>
    </row>
    <row r="68" spans="1:34" x14ac:dyDescent="0.2">
      <c r="A68" s="347">
        <f t="shared" ca="1" si="6"/>
        <v>0.01</v>
      </c>
      <c r="B68" s="304">
        <f t="shared" ca="1" si="7"/>
        <v>0.64000000000000035</v>
      </c>
      <c r="D68" s="306">
        <f t="shared" ca="1" si="8"/>
        <v>30.672550781390964</v>
      </c>
      <c r="E68" s="307">
        <f t="shared" ca="1" si="9"/>
        <v>153.806633951142</v>
      </c>
      <c r="F68" s="304">
        <f t="shared" ca="1" si="10"/>
        <v>156.8352193189323</v>
      </c>
      <c r="G68" s="306">
        <f t="shared" ca="1" si="11"/>
        <v>17.922250300234182</v>
      </c>
      <c r="H68" s="307">
        <f t="shared" ca="1" si="12"/>
        <v>95.504586840549152</v>
      </c>
      <c r="I68" s="304">
        <f t="shared" ca="1" si="13"/>
        <v>97.171668522302525</v>
      </c>
      <c r="J68" s="306">
        <f t="shared" ca="1" si="14"/>
        <v>5.4227696099692642</v>
      </c>
      <c r="K68" s="307">
        <f t="shared" ca="1" si="15"/>
        <v>29.689250720820588</v>
      </c>
      <c r="L68" s="304">
        <f t="shared" ref="L68:L131" ca="1" si="29">SQRT(pos_x^2+pos_z^2)</f>
        <v>30.180424758550899</v>
      </c>
      <c r="M68" s="306">
        <f t="shared" ca="1" si="16"/>
        <v>1.3852952359893143</v>
      </c>
      <c r="N68" s="304">
        <f t="shared" ca="1" si="17"/>
        <v>79.371570401767087</v>
      </c>
      <c r="P68" s="310">
        <f t="shared" ca="1" si="18"/>
        <v>7</v>
      </c>
      <c r="Q68" s="304">
        <f t="shared" ca="1" si="19"/>
        <v>1315.3453749999999</v>
      </c>
      <c r="R68" s="306">
        <f t="shared" ca="1" si="20"/>
        <v>0.64640247602030765</v>
      </c>
      <c r="S68" s="307">
        <f t="shared" ca="1" si="21"/>
        <v>7.7265063327086017</v>
      </c>
      <c r="T68" s="304">
        <f t="shared" ref="T68:T131" ca="1" si="30">m*g</f>
        <v>75.797027123871388</v>
      </c>
      <c r="U68" s="311">
        <f t="shared" ref="U68:U131" ca="1" si="31">IF(pos_xz&lt;L_rampe,Poids*COS(Beta),0)</f>
        <v>0</v>
      </c>
      <c r="V68" s="306">
        <f t="shared" ref="V68:V131" ca="1" si="32">Rho_moyen*(20000-Alt_rampe-pos_z)/(20000+Alt_rampe+pos_z)</f>
        <v>1.2213684576752286</v>
      </c>
      <c r="W68" s="304">
        <f t="shared" ref="W68:W131" ca="1" si="33">1/2*Rho*Sref*Cx*vit_xz^2</f>
        <v>30.09923472510739</v>
      </c>
      <c r="Y68" s="314" t="str">
        <f t="shared" ca="1" si="22"/>
        <v/>
      </c>
      <c r="Z68" s="315" t="str">
        <f t="shared" ca="1" si="23"/>
        <v/>
      </c>
      <c r="AA68" s="316" t="str">
        <f t="shared" ca="1" si="24"/>
        <v/>
      </c>
      <c r="AC68" s="310" t="e">
        <f t="shared" ca="1" si="25"/>
        <v>#N/A</v>
      </c>
      <c r="AD68" s="323" t="e">
        <f t="shared" ca="1" si="26"/>
        <v>#N/A</v>
      </c>
      <c r="AE68" s="324">
        <f t="shared" ref="AE68:AE131" ca="1" si="34">IF(t&lt;T_para, pos_z, NA())</f>
        <v>29.689250720820588</v>
      </c>
      <c r="AG68" s="306">
        <f t="shared" ca="1" si="27"/>
        <v>156.82480278646545</v>
      </c>
      <c r="AH68" s="304">
        <f t="shared" ca="1" si="28"/>
        <v>166.46683837010602</v>
      </c>
    </row>
    <row r="69" spans="1:34" x14ac:dyDescent="0.2">
      <c r="A69" s="347">
        <f t="shared" ref="A69:A132" ca="1" si="35">IF(B68+0.01&lt;=T_ini+ROUNDUP(Temps_fin_propu,0), 0.01, IF(K68&gt;0, 0.1, 0.0001))</f>
        <v>0.01</v>
      </c>
      <c r="B69" s="304">
        <f t="shared" ref="B69:B132" ca="1" si="36">B68+pas</f>
        <v>0.65000000000000036</v>
      </c>
      <c r="D69" s="306">
        <f t="shared" ref="D69:D132" ca="1" si="37">IF(AND(L68&lt;L_rampe,Poussee&lt;Poids*SIN(M68)),0,(-W68+Poussee)/m*COS(M68)-U68/m*SIN(M68))</f>
        <v>30.689410742212097</v>
      </c>
      <c r="E69" s="307">
        <f t="shared" ref="E69:E132" ca="1" si="38">IF(AND(L68&lt;L_rampe,Poussee&lt;Poids*SIN(M68)),0,(-W68+Poussee)/m*SIN(M68)+U68/m*COS(M68)-Poids/m)</f>
        <v>153.72858718715574</v>
      </c>
      <c r="F69" s="304">
        <f t="shared" ref="F69:F132" ca="1" si="39">SQRT(acc_x^2+acc_z^2)</f>
        <v>156.76198024477475</v>
      </c>
      <c r="G69" s="306">
        <f t="shared" ref="G69:G132" ca="1" si="40">G68+acc_x*pas</f>
        <v>18.229144407656303</v>
      </c>
      <c r="H69" s="307">
        <f t="shared" ref="H69:H132" ca="1" si="41">H68+acc_z*pas</f>
        <v>97.041872712420712</v>
      </c>
      <c r="I69" s="304">
        <f t="shared" ref="I69:I132" ca="1" si="42">SQRT(vit_x^2+vit_z^2)</f>
        <v>98.739185561603918</v>
      </c>
      <c r="J69" s="306">
        <f t="shared" ref="J69:J132" ca="1" si="43">J68+0.5*(vit_x+G68)*pas*(K68&gt;=0)</f>
        <v>5.6035265835087165</v>
      </c>
      <c r="K69" s="307">
        <f t="shared" ref="K69:K132" ca="1" si="44">K68+0.5*(vit_z+H68)*pas</f>
        <v>30.651983018585437</v>
      </c>
      <c r="L69" s="304">
        <f t="shared" ca="1" si="29"/>
        <v>31.159967476615549</v>
      </c>
      <c r="M69" s="306">
        <f t="shared" ref="M69:M132" ca="1" si="45">IF(AND(L68&gt;L_rampe,G69&gt;0),ATAN2(G69,H69),$M$4)</f>
        <v>1.3851119908989777</v>
      </c>
      <c r="N69" s="304">
        <f t="shared" ref="N69:N132" ca="1" si="46">DEGREES(Beta)</f>
        <v>79.361071231474313</v>
      </c>
      <c r="P69" s="310">
        <f t="shared" ref="P69:P132" ca="1" si="47">MATCH(t-pas/2-T_ini,CdP_t)</f>
        <v>7</v>
      </c>
      <c r="Q69" s="304">
        <f t="shared" ref="Q69:Q132" ca="1" si="48">(INDEX(CdP,2,i_P+1)-INDEX(CdP,2,i_P+0))/(INDEX(CdP,1,i_P+1)-INDEX(CdP,1,i_P+0))*(t-pas/2-T_ini-INDEX(CdP,1,i_P+0))+INDEX(CdP,2,i_P+0)</f>
        <v>1314.6626249999999</v>
      </c>
      <c r="R69" s="306">
        <f t="shared" ref="R69:R132" ca="1" si="49">Poussee/(g*ISP)</f>
        <v>0.6460669509947965</v>
      </c>
      <c r="S69" s="307">
        <f t="shared" ref="S69:S132" ca="1" si="50">S68-Débit*pas</f>
        <v>7.720045663198654</v>
      </c>
      <c r="T69" s="304">
        <f t="shared" ca="1" si="30"/>
        <v>75.733647955978796</v>
      </c>
      <c r="U69" s="311">
        <f t="shared" ca="1" si="31"/>
        <v>0</v>
      </c>
      <c r="V69" s="306">
        <f t="shared" ca="1" si="32"/>
        <v>1.2212508779814455</v>
      </c>
      <c r="W69" s="304">
        <f t="shared" ca="1" si="33"/>
        <v>31.075162193184205</v>
      </c>
      <c r="Y69" s="314" t="str">
        <f t="shared" ref="Y69:Y132" ca="1" si="51">IF(AND(pos_z&lt;=0,K68&gt;0),"Impact balistique","") &amp; IF(AND(H70&lt;0,vit_z&gt;=0),"Apogée","") &amp; IF(AND(Poussee=0,Q68&gt;0),"Fin de propulsion","") &amp; IF(AND(L70&gt;L_rampe,pos_xz&lt;=L_rampe),"Sortie de rampe","")</f>
        <v/>
      </c>
      <c r="Z69" s="315" t="str">
        <f t="shared" ref="Z69:Z132" ca="1" si="52">IF(ABS(t-T_para)&lt;pas/2,"Para","")</f>
        <v/>
      </c>
      <c r="AA69" s="316" t="str">
        <f t="shared" ref="AA69:AA132" ca="1" si="53">IF(ABS(t-T_satellite)&lt;pas/2,"Satellite","")</f>
        <v/>
      </c>
      <c r="AC69" s="310" t="e">
        <f t="shared" ref="AC69:AC132" ca="1" si="54">IF(ABS(t-ROUND(t,0))&lt;0.001,t,NA())</f>
        <v>#N/A</v>
      </c>
      <c r="AD69" s="323" t="e">
        <f t="shared" ref="AD69:AD132" ca="1" si="55">IF(ABS(t-ROUND(t,0))&lt;0.001,pos_x,NA())</f>
        <v>#N/A</v>
      </c>
      <c r="AE69" s="324">
        <f t="shared" ca="1" si="34"/>
        <v>30.651983018585437</v>
      </c>
      <c r="AG69" s="306">
        <f t="shared" ref="AG69:AG132" ca="1" si="56">IF(AND(L68&lt;L_rampe,Poussee&lt;Poids*SIN(M68)),0,(-W68+Poussee)/m-Poids*SIN(M68)/m)</f>
        <v>156.75153815315329</v>
      </c>
      <c r="AH69" s="304">
        <f t="shared" ref="AH69:AH132" ca="1" si="57">IF(AND(L68&lt;L_rampe,Poussee&lt;Poids*SIN(M68)), g*SIN(M68), (-W68+Poussee)/m)</f>
        <v>166.39323733516079</v>
      </c>
    </row>
    <row r="70" spans="1:34" x14ac:dyDescent="0.2">
      <c r="A70" s="347">
        <f t="shared" ca="1" si="35"/>
        <v>0.01</v>
      </c>
      <c r="B70" s="304">
        <f t="shared" ca="1" si="36"/>
        <v>0.66000000000000036</v>
      </c>
      <c r="D70" s="306">
        <f t="shared" ca="1" si="37"/>
        <v>30.705394890725302</v>
      </c>
      <c r="E70" s="307">
        <f t="shared" ca="1" si="38"/>
        <v>153.64852311745861</v>
      </c>
      <c r="F70" s="304">
        <f t="shared" ca="1" si="39"/>
        <v>156.68659780457165</v>
      </c>
      <c r="G70" s="306">
        <f t="shared" ca="1" si="40"/>
        <v>18.536198356563556</v>
      </c>
      <c r="H70" s="307">
        <f t="shared" ca="1" si="41"/>
        <v>98.578357943595293</v>
      </c>
      <c r="I70" s="304">
        <f t="shared" ca="1" si="42"/>
        <v>100.30594849942582</v>
      </c>
      <c r="J70" s="306">
        <f t="shared" ca="1" si="43"/>
        <v>5.7873532973298154</v>
      </c>
      <c r="K70" s="307">
        <f t="shared" ca="1" si="44"/>
        <v>31.630084171865516</v>
      </c>
      <c r="L70" s="304">
        <f t="shared" ca="1" si="29"/>
        <v>32.155181276233101</v>
      </c>
      <c r="M70" s="306">
        <f t="shared" ca="1" si="45"/>
        <v>1.3849314319303163</v>
      </c>
      <c r="N70" s="304">
        <f t="shared" ca="1" si="46"/>
        <v>79.350725964616785</v>
      </c>
      <c r="P70" s="310">
        <f t="shared" ca="1" si="47"/>
        <v>7</v>
      </c>
      <c r="Q70" s="304">
        <f t="shared" ca="1" si="48"/>
        <v>1313.979875</v>
      </c>
      <c r="R70" s="306">
        <f t="shared" ca="1" si="49"/>
        <v>0.64573142596928534</v>
      </c>
      <c r="S70" s="307">
        <f t="shared" ca="1" si="50"/>
        <v>7.7135883489389609</v>
      </c>
      <c r="T70" s="304">
        <f t="shared" ca="1" si="30"/>
        <v>75.670301703091212</v>
      </c>
      <c r="U70" s="311">
        <f t="shared" ca="1" si="31"/>
        <v>0</v>
      </c>
      <c r="V70" s="306">
        <f t="shared" ca="1" si="32"/>
        <v>1.2211314328441847</v>
      </c>
      <c r="W70" s="304">
        <f t="shared" ca="1" si="33"/>
        <v>32.066032042649304</v>
      </c>
      <c r="Y70" s="314" t="str">
        <f t="shared" ca="1" si="51"/>
        <v/>
      </c>
      <c r="Z70" s="315" t="str">
        <f t="shared" ca="1" si="52"/>
        <v/>
      </c>
      <c r="AA70" s="316" t="str">
        <f t="shared" ca="1" si="53"/>
        <v/>
      </c>
      <c r="AC70" s="310" t="e">
        <f t="shared" ca="1" si="54"/>
        <v>#N/A</v>
      </c>
      <c r="AD70" s="323" t="e">
        <f t="shared" ca="1" si="55"/>
        <v>#N/A</v>
      </c>
      <c r="AE70" s="324">
        <f t="shared" ca="1" si="34"/>
        <v>31.630084171865516</v>
      </c>
      <c r="AG70" s="306">
        <f t="shared" ca="1" si="56"/>
        <v>156.67613027576706</v>
      </c>
      <c r="AH70" s="304">
        <f t="shared" ca="1" si="57"/>
        <v>166.31749774192772</v>
      </c>
    </row>
    <row r="71" spans="1:34" x14ac:dyDescent="0.2">
      <c r="A71" s="347">
        <f t="shared" ca="1" si="35"/>
        <v>0.01</v>
      </c>
      <c r="B71" s="304">
        <f t="shared" ca="1" si="36"/>
        <v>0.67000000000000037</v>
      </c>
      <c r="D71" s="306">
        <f t="shared" ca="1" si="37"/>
        <v>30.720516766845126</v>
      </c>
      <c r="E71" s="307">
        <f t="shared" ca="1" si="38"/>
        <v>153.56643996898364</v>
      </c>
      <c r="F71" s="304">
        <f t="shared" ca="1" si="39"/>
        <v>156.60907264641301</v>
      </c>
      <c r="G71" s="306">
        <f t="shared" ca="1" si="40"/>
        <v>18.843403524232006</v>
      </c>
      <c r="H71" s="307">
        <f t="shared" ca="1" si="41"/>
        <v>100.11402234328513</v>
      </c>
      <c r="I71" s="304">
        <f t="shared" ca="1" si="42"/>
        <v>101.87193591038128</v>
      </c>
      <c r="J71" s="306">
        <f t="shared" ca="1" si="43"/>
        <v>5.9742513067337928</v>
      </c>
      <c r="K71" s="307">
        <f t="shared" ca="1" si="44"/>
        <v>32.62354607329992</v>
      </c>
      <c r="L71" s="304">
        <f t="shared" ca="1" si="29"/>
        <v>33.166058509758635</v>
      </c>
      <c r="M71" s="306">
        <f t="shared" ca="1" si="45"/>
        <v>1.3847534776536525</v>
      </c>
      <c r="N71" s="304">
        <f t="shared" ca="1" si="46"/>
        <v>79.340529935617639</v>
      </c>
      <c r="P71" s="310">
        <f t="shared" ca="1" si="47"/>
        <v>7</v>
      </c>
      <c r="Q71" s="304">
        <f t="shared" ca="1" si="48"/>
        <v>1313.2971250000001</v>
      </c>
      <c r="R71" s="306">
        <f t="shared" ca="1" si="49"/>
        <v>0.6453959009437743</v>
      </c>
      <c r="S71" s="307">
        <f t="shared" ca="1" si="50"/>
        <v>7.7071343899295233</v>
      </c>
      <c r="T71" s="304">
        <f t="shared" ca="1" si="30"/>
        <v>75.606988365208622</v>
      </c>
      <c r="U71" s="311">
        <f t="shared" ca="1" si="31"/>
        <v>0</v>
      </c>
      <c r="V71" s="306">
        <f t="shared" ca="1" si="32"/>
        <v>1.2210101238015201</v>
      </c>
      <c r="W71" s="304">
        <f t="shared" ca="1" si="33"/>
        <v>33.07179880373112</v>
      </c>
      <c r="Y71" s="314" t="str">
        <f t="shared" ca="1" si="51"/>
        <v/>
      </c>
      <c r="Z71" s="315" t="str">
        <f t="shared" ca="1" si="52"/>
        <v/>
      </c>
      <c r="AA71" s="316" t="str">
        <f t="shared" ca="1" si="53"/>
        <v/>
      </c>
      <c r="AC71" s="310" t="e">
        <f t="shared" ca="1" si="54"/>
        <v>#N/A</v>
      </c>
      <c r="AD71" s="323" t="e">
        <f t="shared" ca="1" si="55"/>
        <v>#N/A</v>
      </c>
      <c r="AE71" s="324">
        <f t="shared" ca="1" si="34"/>
        <v>32.62354607329992</v>
      </c>
      <c r="AG71" s="306">
        <f t="shared" ca="1" si="56"/>
        <v>156.59857979292627</v>
      </c>
      <c r="AH71" s="304">
        <f t="shared" ca="1" si="57"/>
        <v>166.23962008907785</v>
      </c>
    </row>
    <row r="72" spans="1:34" x14ac:dyDescent="0.2">
      <c r="A72" s="347">
        <f t="shared" ca="1" si="35"/>
        <v>0.01</v>
      </c>
      <c r="B72" s="304">
        <f t="shared" ca="1" si="36"/>
        <v>0.68000000000000038</v>
      </c>
      <c r="D72" s="306">
        <f t="shared" ca="1" si="37"/>
        <v>30.734789307765556</v>
      </c>
      <c r="E72" s="307">
        <f t="shared" ca="1" si="38"/>
        <v>153.48233620226301</v>
      </c>
      <c r="F72" s="304">
        <f t="shared" ca="1" si="39"/>
        <v>156.52940554380584</v>
      </c>
      <c r="G72" s="306">
        <f t="shared" ca="1" si="40"/>
        <v>19.15075141730966</v>
      </c>
      <c r="H72" s="307">
        <f t="shared" ca="1" si="41"/>
        <v>101.64884570530776</v>
      </c>
      <c r="I72" s="304">
        <f t="shared" ca="1" si="42"/>
        <v>103.43712637669829</v>
      </c>
      <c r="J72" s="306">
        <f t="shared" ca="1" si="43"/>
        <v>6.1642220814415012</v>
      </c>
      <c r="K72" s="307">
        <f t="shared" ca="1" si="44"/>
        <v>33.632360413542884</v>
      </c>
      <c r="L72" s="304">
        <f t="shared" ca="1" si="29"/>
        <v>34.192591315309485</v>
      </c>
      <c r="M72" s="306">
        <f t="shared" ca="1" si="45"/>
        <v>1.3845780502838418</v>
      </c>
      <c r="N72" s="304">
        <f t="shared" ca="1" si="46"/>
        <v>79.330478687716408</v>
      </c>
      <c r="P72" s="310">
        <f t="shared" ca="1" si="47"/>
        <v>7</v>
      </c>
      <c r="Q72" s="304">
        <f t="shared" ca="1" si="48"/>
        <v>1312.6143749999999</v>
      </c>
      <c r="R72" s="306">
        <f t="shared" ca="1" si="49"/>
        <v>0.64506037591826304</v>
      </c>
      <c r="S72" s="307">
        <f t="shared" ca="1" si="50"/>
        <v>7.700683786170341</v>
      </c>
      <c r="T72" s="304">
        <f t="shared" ca="1" si="30"/>
        <v>75.543707942331054</v>
      </c>
      <c r="U72" s="311">
        <f t="shared" ca="1" si="31"/>
        <v>0</v>
      </c>
      <c r="V72" s="306">
        <f t="shared" ca="1" si="32"/>
        <v>1.2208869524242643</v>
      </c>
      <c r="W72" s="304">
        <f t="shared" ca="1" si="33"/>
        <v>34.092416049348842</v>
      </c>
      <c r="Y72" s="314" t="str">
        <f t="shared" ca="1" si="51"/>
        <v/>
      </c>
      <c r="Z72" s="315" t="str">
        <f t="shared" ca="1" si="52"/>
        <v/>
      </c>
      <c r="AA72" s="316" t="str">
        <f t="shared" ca="1" si="53"/>
        <v/>
      </c>
      <c r="AC72" s="310" t="e">
        <f t="shared" ca="1" si="54"/>
        <v>#N/A</v>
      </c>
      <c r="AD72" s="323" t="e">
        <f t="shared" ca="1" si="55"/>
        <v>#N/A</v>
      </c>
      <c r="AE72" s="324">
        <f t="shared" ca="1" si="34"/>
        <v>33.632360413542884</v>
      </c>
      <c r="AG72" s="306">
        <f t="shared" ca="1" si="56"/>
        <v>156.51888746905192</v>
      </c>
      <c r="AH72" s="304">
        <f t="shared" ca="1" si="57"/>
        <v>166.15960500731109</v>
      </c>
    </row>
    <row r="73" spans="1:34" x14ac:dyDescent="0.2">
      <c r="A73" s="347">
        <f t="shared" ca="1" si="35"/>
        <v>0.01</v>
      </c>
      <c r="B73" s="304">
        <f t="shared" ca="1" si="36"/>
        <v>0.69000000000000039</v>
      </c>
      <c r="D73" s="306">
        <f t="shared" ca="1" si="37"/>
        <v>30.748224885993796</v>
      </c>
      <c r="E73" s="307">
        <f t="shared" ca="1" si="38"/>
        <v>153.39621050531954</v>
      </c>
      <c r="F73" s="304">
        <f t="shared" ca="1" si="39"/>
        <v>156.44759739616316</v>
      </c>
      <c r="G73" s="306">
        <f t="shared" ca="1" si="40"/>
        <v>19.458233666169598</v>
      </c>
      <c r="H73" s="307">
        <f t="shared" ca="1" si="41"/>
        <v>103.18280781036096</v>
      </c>
      <c r="I73" s="304">
        <f t="shared" ca="1" si="42"/>
        <v>105.00149848948415</v>
      </c>
      <c r="J73" s="306">
        <f t="shared" ca="1" si="43"/>
        <v>6.3572670068588977</v>
      </c>
      <c r="K73" s="307">
        <f t="shared" ca="1" si="44"/>
        <v>34.656518681121227</v>
      </c>
      <c r="L73" s="304">
        <f t="shared" ca="1" si="29"/>
        <v>35.234771616847482</v>
      </c>
      <c r="M73" s="306">
        <f t="shared" ca="1" si="45"/>
        <v>1.3844050754648372</v>
      </c>
      <c r="N73" s="304">
        <f t="shared" ca="1" si="46"/>
        <v>79.320567960625411</v>
      </c>
      <c r="P73" s="310">
        <f t="shared" ca="1" si="47"/>
        <v>7</v>
      </c>
      <c r="Q73" s="304">
        <f t="shared" ca="1" si="48"/>
        <v>1311.9316249999999</v>
      </c>
      <c r="R73" s="306">
        <f t="shared" ca="1" si="49"/>
        <v>0.64472485089275189</v>
      </c>
      <c r="S73" s="307">
        <f t="shared" ca="1" si="50"/>
        <v>7.6942365376614132</v>
      </c>
      <c r="T73" s="304">
        <f t="shared" ca="1" si="30"/>
        <v>75.480460434458465</v>
      </c>
      <c r="U73" s="311">
        <f t="shared" ca="1" si="31"/>
        <v>0</v>
      </c>
      <c r="V73" s="306">
        <f t="shared" ca="1" si="32"/>
        <v>1.2207619203159499</v>
      </c>
      <c r="W73" s="304">
        <f t="shared" ca="1" si="33"/>
        <v>35.12783639872724</v>
      </c>
      <c r="Y73" s="314" t="str">
        <f t="shared" ca="1" si="51"/>
        <v/>
      </c>
      <c r="Z73" s="315" t="str">
        <f t="shared" ca="1" si="52"/>
        <v/>
      </c>
      <c r="AA73" s="316" t="str">
        <f t="shared" ca="1" si="53"/>
        <v/>
      </c>
      <c r="AC73" s="310" t="e">
        <f t="shared" ca="1" si="54"/>
        <v>#N/A</v>
      </c>
      <c r="AD73" s="323" t="e">
        <f t="shared" ca="1" si="55"/>
        <v>#N/A</v>
      </c>
      <c r="AE73" s="324">
        <f t="shared" ca="1" si="34"/>
        <v>34.656518681121227</v>
      </c>
      <c r="AG73" s="306">
        <f t="shared" ca="1" si="56"/>
        <v>156.43705419483297</v>
      </c>
      <c r="AH73" s="304">
        <f t="shared" ca="1" si="57"/>
        <v>166.07745325945459</v>
      </c>
    </row>
    <row r="74" spans="1:34" x14ac:dyDescent="0.2">
      <c r="A74" s="347">
        <f t="shared" ca="1" si="35"/>
        <v>0.01</v>
      </c>
      <c r="B74" s="304">
        <f t="shared" ca="1" si="36"/>
        <v>0.7000000000000004</v>
      </c>
      <c r="D74" s="306">
        <f t="shared" ca="1" si="37"/>
        <v>30.760835344556366</v>
      </c>
      <c r="E74" s="307">
        <f t="shared" ca="1" si="38"/>
        <v>153.30806178799614</v>
      </c>
      <c r="F74" s="304">
        <f t="shared" ca="1" si="39"/>
        <v>156.36364922924685</v>
      </c>
      <c r="G74" s="306">
        <f t="shared" ca="1" si="40"/>
        <v>19.76584201961516</v>
      </c>
      <c r="H74" s="307">
        <f t="shared" ca="1" si="41"/>
        <v>104.71588842824092</v>
      </c>
      <c r="I74" s="304">
        <f t="shared" ca="1" si="42"/>
        <v>106.56503084999406</v>
      </c>
      <c r="J74" s="306">
        <f t="shared" ca="1" si="43"/>
        <v>6.5533873852878211</v>
      </c>
      <c r="K74" s="307">
        <f t="shared" ca="1" si="44"/>
        <v>35.69601216231424</v>
      </c>
      <c r="L74" s="304">
        <f t="shared" ca="1" si="29"/>
        <v>36.292591124274054</v>
      </c>
      <c r="M74" s="306">
        <f t="shared" ca="1" si="45"/>
        <v>1.3842344820699863</v>
      </c>
      <c r="N74" s="304">
        <f t="shared" ca="1" si="46"/>
        <v>79.310793679087638</v>
      </c>
      <c r="P74" s="310">
        <f t="shared" ca="1" si="47"/>
        <v>7</v>
      </c>
      <c r="Q74" s="304">
        <f t="shared" ca="1" si="48"/>
        <v>1311.248875</v>
      </c>
      <c r="R74" s="306">
        <f t="shared" ca="1" si="49"/>
        <v>0.64438932586724074</v>
      </c>
      <c r="S74" s="307">
        <f t="shared" ca="1" si="50"/>
        <v>7.6877926444027409</v>
      </c>
      <c r="T74" s="304">
        <f t="shared" ca="1" si="30"/>
        <v>75.417245841590898</v>
      </c>
      <c r="U74" s="311">
        <f t="shared" ca="1" si="31"/>
        <v>0</v>
      </c>
      <c r="V74" s="306">
        <f t="shared" ca="1" si="32"/>
        <v>1.2206350291128103</v>
      </c>
      <c r="W74" s="304">
        <f t="shared" ca="1" si="33"/>
        <v>36.1780115211413</v>
      </c>
      <c r="Y74" s="314" t="str">
        <f t="shared" ca="1" si="51"/>
        <v/>
      </c>
      <c r="Z74" s="315" t="str">
        <f t="shared" ca="1" si="52"/>
        <v/>
      </c>
      <c r="AA74" s="316" t="str">
        <f t="shared" ca="1" si="53"/>
        <v/>
      </c>
      <c r="AC74" s="310" t="e">
        <f t="shared" ca="1" si="54"/>
        <v>#N/A</v>
      </c>
      <c r="AD74" s="323" t="e">
        <f t="shared" ca="1" si="55"/>
        <v>#N/A</v>
      </c>
      <c r="AE74" s="324">
        <f t="shared" ca="1" si="34"/>
        <v>35.69601216231424</v>
      </c>
      <c r="AG74" s="306">
        <f t="shared" ca="1" si="56"/>
        <v>156.35308098764781</v>
      </c>
      <c r="AH74" s="304">
        <f t="shared" ca="1" si="57"/>
        <v>165.99316574054316</v>
      </c>
    </row>
    <row r="75" spans="1:34" x14ac:dyDescent="0.2">
      <c r="A75" s="347">
        <f t="shared" ca="1" si="35"/>
        <v>0.01</v>
      </c>
      <c r="B75" s="304">
        <f t="shared" ca="1" si="36"/>
        <v>0.71000000000000041</v>
      </c>
      <c r="D75" s="306">
        <f t="shared" ca="1" si="37"/>
        <v>30.772632029626369</v>
      </c>
      <c r="E75" s="307">
        <f t="shared" ca="1" si="38"/>
        <v>153.21788917668428</v>
      </c>
      <c r="F75" s="304">
        <f t="shared" ca="1" si="39"/>
        <v>156.27756219556758</v>
      </c>
      <c r="G75" s="306">
        <f t="shared" ca="1" si="40"/>
        <v>20.073568339911425</v>
      </c>
      <c r="H75" s="307">
        <f t="shared" ca="1" si="41"/>
        <v>106.24806732000776</v>
      </c>
      <c r="I75" s="304">
        <f t="shared" ca="1" si="42"/>
        <v>108.12770207090317</v>
      </c>
      <c r="J75" s="306">
        <f t="shared" ca="1" si="43"/>
        <v>6.7525844370854538</v>
      </c>
      <c r="K75" s="307">
        <f t="shared" ca="1" si="44"/>
        <v>36.75083194105548</v>
      </c>
      <c r="L75" s="304">
        <f t="shared" ca="1" si="29"/>
        <v>37.366041333538028</v>
      </c>
      <c r="M75" s="306">
        <f t="shared" ca="1" si="45"/>
        <v>1.3840662020167016</v>
      </c>
      <c r="N75" s="304">
        <f t="shared" ca="1" si="46"/>
        <v>79.301151942258187</v>
      </c>
      <c r="P75" s="310">
        <f t="shared" ca="1" si="47"/>
        <v>7</v>
      </c>
      <c r="Q75" s="304">
        <f t="shared" ca="1" si="48"/>
        <v>1310.5661249999998</v>
      </c>
      <c r="R75" s="306">
        <f t="shared" ca="1" si="49"/>
        <v>0.64405380084172947</v>
      </c>
      <c r="S75" s="307">
        <f t="shared" ca="1" si="50"/>
        <v>7.681352106394324</v>
      </c>
      <c r="T75" s="304">
        <f t="shared" ca="1" si="30"/>
        <v>75.354064163728324</v>
      </c>
      <c r="U75" s="311">
        <f t="shared" ca="1" si="31"/>
        <v>0</v>
      </c>
      <c r="V75" s="306">
        <f t="shared" ca="1" si="32"/>
        <v>1.2205062804837574</v>
      </c>
      <c r="W75" s="304">
        <f t="shared" ca="1" si="33"/>
        <v>37.242892139789973</v>
      </c>
      <c r="Y75" s="314" t="str">
        <f t="shared" ca="1" si="51"/>
        <v/>
      </c>
      <c r="Z75" s="315" t="str">
        <f t="shared" ca="1" si="52"/>
        <v/>
      </c>
      <c r="AA75" s="316" t="str">
        <f t="shared" ca="1" si="53"/>
        <v/>
      </c>
      <c r="AC75" s="310" t="e">
        <f t="shared" ca="1" si="54"/>
        <v>#N/A</v>
      </c>
      <c r="AD75" s="323" t="e">
        <f t="shared" ca="1" si="55"/>
        <v>#N/A</v>
      </c>
      <c r="AE75" s="324">
        <f t="shared" ca="1" si="34"/>
        <v>36.75083194105548</v>
      </c>
      <c r="AG75" s="306">
        <f t="shared" ca="1" si="56"/>
        <v>156.26696899194417</v>
      </c>
      <c r="AH75" s="304">
        <f t="shared" ca="1" si="57"/>
        <v>165.90674347788288</v>
      </c>
    </row>
    <row r="76" spans="1:34" x14ac:dyDescent="0.2">
      <c r="A76" s="347">
        <f t="shared" ca="1" si="35"/>
        <v>0.01</v>
      </c>
      <c r="B76" s="304">
        <f t="shared" ca="1" si="36"/>
        <v>0.72000000000000042</v>
      </c>
      <c r="D76" s="306">
        <f t="shared" ca="1" si="37"/>
        <v>30.783625820795042</v>
      </c>
      <c r="E76" s="307">
        <f t="shared" ca="1" si="38"/>
        <v>153.12569200941539</v>
      </c>
      <c r="F76" s="304">
        <f t="shared" ca="1" si="39"/>
        <v>156.18933757474312</v>
      </c>
      <c r="G76" s="306">
        <f t="shared" ca="1" si="40"/>
        <v>20.381404598119374</v>
      </c>
      <c r="H76" s="307">
        <f t="shared" ca="1" si="41"/>
        <v>107.77932424010191</v>
      </c>
      <c r="I76" s="304">
        <f t="shared" ca="1" si="42"/>
        <v>109.68949077758207</v>
      </c>
      <c r="J76" s="306">
        <f t="shared" ca="1" si="43"/>
        <v>6.954859301775608</v>
      </c>
      <c r="K76" s="307">
        <f t="shared" ca="1" si="44"/>
        <v>37.82096889885603</v>
      </c>
      <c r="L76" s="304">
        <f t="shared" ca="1" si="29"/>
        <v>38.455113526756492</v>
      </c>
      <c r="M76" s="306">
        <f t="shared" ca="1" si="45"/>
        <v>1.3839001700942755</v>
      </c>
      <c r="N76" s="304">
        <f t="shared" ca="1" si="46"/>
        <v>79.291639013838733</v>
      </c>
      <c r="P76" s="310">
        <f t="shared" ca="1" si="47"/>
        <v>7</v>
      </c>
      <c r="Q76" s="304">
        <f t="shared" ca="1" si="48"/>
        <v>1309.8833749999999</v>
      </c>
      <c r="R76" s="306">
        <f t="shared" ca="1" si="49"/>
        <v>0.64371827581621832</v>
      </c>
      <c r="S76" s="307">
        <f t="shared" ca="1" si="50"/>
        <v>7.6749149236361616</v>
      </c>
      <c r="T76" s="304">
        <f t="shared" ca="1" si="30"/>
        <v>75.290915400870745</v>
      </c>
      <c r="U76" s="311">
        <f t="shared" ca="1" si="31"/>
        <v>0</v>
      </c>
      <c r="V76" s="306">
        <f t="shared" ca="1" si="32"/>
        <v>1.2203756761303526</v>
      </c>
      <c r="W76" s="304">
        <f t="shared" ca="1" si="33"/>
        <v>38.322428035798659</v>
      </c>
      <c r="Y76" s="314" t="str">
        <f t="shared" ca="1" si="51"/>
        <v/>
      </c>
      <c r="Z76" s="315" t="str">
        <f t="shared" ca="1" si="52"/>
        <v/>
      </c>
      <c r="AA76" s="316" t="str">
        <f t="shared" ca="1" si="53"/>
        <v/>
      </c>
      <c r="AC76" s="310" t="e">
        <f t="shared" ca="1" si="54"/>
        <v>#N/A</v>
      </c>
      <c r="AD76" s="323" t="e">
        <f t="shared" ca="1" si="55"/>
        <v>#N/A</v>
      </c>
      <c r="AE76" s="324">
        <f t="shared" ca="1" si="34"/>
        <v>37.82096889885603</v>
      </c>
      <c r="AG76" s="306">
        <f t="shared" ca="1" si="56"/>
        <v>156.17871947957951</v>
      </c>
      <c r="AH76" s="304">
        <f t="shared" ca="1" si="57"/>
        <v>165.81818763109732</v>
      </c>
    </row>
    <row r="77" spans="1:34" x14ac:dyDescent="0.2">
      <c r="A77" s="347">
        <f t="shared" ca="1" si="35"/>
        <v>0.01</v>
      </c>
      <c r="B77" s="304">
        <f t="shared" ca="1" si="36"/>
        <v>0.73000000000000043</v>
      </c>
      <c r="D77" s="306">
        <f t="shared" ca="1" si="37"/>
        <v>30.793827159188371</v>
      </c>
      <c r="E77" s="307">
        <f t="shared" ca="1" si="38"/>
        <v>153.03146983128261</v>
      </c>
      <c r="F77" s="304">
        <f t="shared" ca="1" si="39"/>
        <v>156.09897677381721</v>
      </c>
      <c r="G77" s="306">
        <f t="shared" ca="1" si="40"/>
        <v>20.689342869711258</v>
      </c>
      <c r="H77" s="307">
        <f t="shared" ca="1" si="41"/>
        <v>109.30963893841474</v>
      </c>
      <c r="I77" s="304">
        <f t="shared" ca="1" si="42"/>
        <v>111.25037560937521</v>
      </c>
      <c r="J77" s="306">
        <f t="shared" ca="1" si="43"/>
        <v>7.1602130391147609</v>
      </c>
      <c r="K77" s="307">
        <f t="shared" ca="1" si="44"/>
        <v>38.906413714748616</v>
      </c>
      <c r="L77" s="304">
        <f t="shared" ca="1" si="29"/>
        <v>39.559798772348273</v>
      </c>
      <c r="M77" s="306">
        <f t="shared" ca="1" si="45"/>
        <v>1.383736323803735</v>
      </c>
      <c r="N77" s="304">
        <f t="shared" ca="1" si="46"/>
        <v>79.282251312901892</v>
      </c>
      <c r="P77" s="310">
        <f t="shared" ca="1" si="47"/>
        <v>7</v>
      </c>
      <c r="Q77" s="304">
        <f t="shared" ca="1" si="48"/>
        <v>1309.2006249999999</v>
      </c>
      <c r="R77" s="306">
        <f t="shared" ca="1" si="49"/>
        <v>0.64338275079070717</v>
      </c>
      <c r="S77" s="307">
        <f t="shared" ca="1" si="50"/>
        <v>7.6684810961282546</v>
      </c>
      <c r="T77" s="304">
        <f t="shared" ca="1" si="30"/>
        <v>75.227799553018187</v>
      </c>
      <c r="U77" s="311">
        <f t="shared" ca="1" si="31"/>
        <v>0</v>
      </c>
      <c r="V77" s="306">
        <f t="shared" ca="1" si="32"/>
        <v>1.2202432177867806</v>
      </c>
      <c r="W77" s="304">
        <f t="shared" ca="1" si="33"/>
        <v>39.416568052350193</v>
      </c>
      <c r="Y77" s="314" t="str">
        <f t="shared" ca="1" si="51"/>
        <v/>
      </c>
      <c r="Z77" s="315" t="str">
        <f t="shared" ca="1" si="52"/>
        <v/>
      </c>
      <c r="AA77" s="316" t="str">
        <f t="shared" ca="1" si="53"/>
        <v/>
      </c>
      <c r="AC77" s="310" t="e">
        <f t="shared" ca="1" si="54"/>
        <v>#N/A</v>
      </c>
      <c r="AD77" s="323" t="e">
        <f t="shared" ca="1" si="55"/>
        <v>#N/A</v>
      </c>
      <c r="AE77" s="324">
        <f t="shared" ca="1" si="34"/>
        <v>38.906413714748616</v>
      </c>
      <c r="AG77" s="306">
        <f t="shared" ca="1" si="56"/>
        <v>156.08833385012244</v>
      </c>
      <c r="AH77" s="304">
        <f t="shared" ca="1" si="57"/>
        <v>165.72749949215577</v>
      </c>
    </row>
    <row r="78" spans="1:34" x14ac:dyDescent="0.2">
      <c r="A78" s="347">
        <f t="shared" ca="1" si="35"/>
        <v>0.01</v>
      </c>
      <c r="B78" s="304">
        <f t="shared" ca="1" si="36"/>
        <v>0.74000000000000044</v>
      </c>
      <c r="D78" s="306">
        <f t="shared" ca="1" si="37"/>
        <v>30.803246073610637</v>
      </c>
      <c r="E78" s="307">
        <f t="shared" ca="1" si="38"/>
        <v>152.93522239016443</v>
      </c>
      <c r="F78" s="304">
        <f t="shared" ca="1" si="39"/>
        <v>156.0064813275412</v>
      </c>
      <c r="G78" s="306">
        <f t="shared" ca="1" si="40"/>
        <v>20.997375330447365</v>
      </c>
      <c r="H78" s="307">
        <f t="shared" ca="1" si="41"/>
        <v>110.83899116231638</v>
      </c>
      <c r="I78" s="304">
        <f t="shared" ca="1" si="42"/>
        <v>112.81033522088181</v>
      </c>
      <c r="J78" s="306">
        <f t="shared" ca="1" si="43"/>
        <v>7.3686466301155544</v>
      </c>
      <c r="K78" s="307">
        <f t="shared" ca="1" si="44"/>
        <v>40.00715686525227</v>
      </c>
      <c r="L78" s="304">
        <f t="shared" ca="1" si="29"/>
        <v>40.680087925180487</v>
      </c>
      <c r="M78" s="306">
        <f t="shared" ca="1" si="45"/>
        <v>1.3835746032087408</v>
      </c>
      <c r="N78" s="304">
        <f t="shared" ca="1" si="46"/>
        <v>79.272985405348379</v>
      </c>
      <c r="P78" s="310">
        <f t="shared" ca="1" si="47"/>
        <v>7</v>
      </c>
      <c r="Q78" s="304">
        <f t="shared" ca="1" si="48"/>
        <v>1308.517875</v>
      </c>
      <c r="R78" s="306">
        <f t="shared" ca="1" si="49"/>
        <v>0.64304722576519613</v>
      </c>
      <c r="S78" s="307">
        <f t="shared" ca="1" si="50"/>
        <v>7.662050623870603</v>
      </c>
      <c r="T78" s="304">
        <f t="shared" ca="1" si="30"/>
        <v>75.164716620170623</v>
      </c>
      <c r="U78" s="311">
        <f t="shared" ca="1" si="31"/>
        <v>0</v>
      </c>
      <c r="V78" s="306">
        <f t="shared" ca="1" si="32"/>
        <v>1.2201089072198117</v>
      </c>
      <c r="W78" s="304">
        <f t="shared" ca="1" si="33"/>
        <v>40.525260098943207</v>
      </c>
      <c r="Y78" s="314" t="str">
        <f t="shared" ca="1" si="51"/>
        <v/>
      </c>
      <c r="Z78" s="315" t="str">
        <f t="shared" ca="1" si="52"/>
        <v/>
      </c>
      <c r="AA78" s="316" t="str">
        <f t="shared" ca="1" si="53"/>
        <v/>
      </c>
      <c r="AC78" s="310" t="e">
        <f t="shared" ca="1" si="54"/>
        <v>#N/A</v>
      </c>
      <c r="AD78" s="323" t="e">
        <f t="shared" ca="1" si="55"/>
        <v>#N/A</v>
      </c>
      <c r="AE78" s="324">
        <f t="shared" ca="1" si="34"/>
        <v>40.00715686525227</v>
      </c>
      <c r="AG78" s="306">
        <f t="shared" ca="1" si="56"/>
        <v>155.99581363111872</v>
      </c>
      <c r="AH78" s="304">
        <f t="shared" ca="1" si="57"/>
        <v>165.63468048538471</v>
      </c>
    </row>
    <row r="79" spans="1:34" x14ac:dyDescent="0.2">
      <c r="A79" s="347">
        <f t="shared" ca="1" si="35"/>
        <v>0.01</v>
      </c>
      <c r="B79" s="304">
        <f t="shared" ca="1" si="36"/>
        <v>0.75000000000000044</v>
      </c>
      <c r="D79" s="306">
        <f t="shared" ca="1" si="37"/>
        <v>30.811892204877626</v>
      </c>
      <c r="E79" s="307">
        <f t="shared" ca="1" si="38"/>
        <v>152.83694963272401</v>
      </c>
      <c r="F79" s="304">
        <f t="shared" ca="1" si="39"/>
        <v>155.91185289861966</v>
      </c>
      <c r="G79" s="306">
        <f t="shared" ca="1" si="40"/>
        <v>21.305494252496143</v>
      </c>
      <c r="H79" s="307">
        <f t="shared" ca="1" si="41"/>
        <v>112.36736065864362</v>
      </c>
      <c r="I79" s="304">
        <f t="shared" ca="1" si="42"/>
        <v>114.36934828323905</v>
      </c>
      <c r="J79" s="306">
        <f t="shared" ca="1" si="43"/>
        <v>7.5801609780302721</v>
      </c>
      <c r="K79" s="307">
        <f t="shared" ca="1" si="44"/>
        <v>41.12318862435707</v>
      </c>
      <c r="L79" s="304">
        <f t="shared" ca="1" si="29"/>
        <v>41.815971626727787</v>
      </c>
      <c r="M79" s="306">
        <f t="shared" ca="1" si="45"/>
        <v>1.3834149507966242</v>
      </c>
      <c r="N79" s="304">
        <f t="shared" ca="1" si="46"/>
        <v>79.263837995945011</v>
      </c>
      <c r="P79" s="310">
        <f t="shared" ca="1" si="47"/>
        <v>7</v>
      </c>
      <c r="Q79" s="304">
        <f t="shared" ca="1" si="48"/>
        <v>1307.8351249999998</v>
      </c>
      <c r="R79" s="306">
        <f t="shared" ca="1" si="49"/>
        <v>0.64271170073968487</v>
      </c>
      <c r="S79" s="307">
        <f t="shared" ca="1" si="50"/>
        <v>7.6556235068632059</v>
      </c>
      <c r="T79" s="304">
        <f t="shared" ca="1" si="30"/>
        <v>75.101666602328052</v>
      </c>
      <c r="U79" s="311">
        <f t="shared" ca="1" si="31"/>
        <v>0</v>
      </c>
      <c r="V79" s="306">
        <f t="shared" ca="1" si="32"/>
        <v>1.2199727462287711</v>
      </c>
      <c r="W79" s="304">
        <f t="shared" ca="1" si="33"/>
        <v>41.648451155778027</v>
      </c>
      <c r="Y79" s="314" t="str">
        <f t="shared" ca="1" si="51"/>
        <v/>
      </c>
      <c r="Z79" s="315" t="str">
        <f t="shared" ca="1" si="52"/>
        <v/>
      </c>
      <c r="AA79" s="316" t="str">
        <f t="shared" ca="1" si="53"/>
        <v/>
      </c>
      <c r="AC79" s="310" t="e">
        <f t="shared" ca="1" si="54"/>
        <v>#N/A</v>
      </c>
      <c r="AD79" s="323" t="e">
        <f t="shared" ca="1" si="55"/>
        <v>#N/A</v>
      </c>
      <c r="AE79" s="324">
        <f t="shared" ca="1" si="34"/>
        <v>41.12318862435707</v>
      </c>
      <c r="AG79" s="306">
        <f t="shared" ca="1" si="56"/>
        <v>155.90116047832194</v>
      </c>
      <c r="AH79" s="304">
        <f t="shared" ca="1" si="57"/>
        <v>165.53973216746141</v>
      </c>
    </row>
    <row r="80" spans="1:34" x14ac:dyDescent="0.2">
      <c r="A80" s="347">
        <f t="shared" ca="1" si="35"/>
        <v>0.01</v>
      </c>
      <c r="B80" s="304">
        <f t="shared" ca="1" si="36"/>
        <v>0.76000000000000045</v>
      </c>
      <c r="D80" s="306">
        <f t="shared" ca="1" si="37"/>
        <v>30.819774828488043</v>
      </c>
      <c r="E80" s="307">
        <f t="shared" ca="1" si="38"/>
        <v>152.73665170065993</v>
      </c>
      <c r="F80" s="304">
        <f t="shared" ca="1" si="39"/>
        <v>155.81509327792159</v>
      </c>
      <c r="G80" s="306">
        <f t="shared" ca="1" si="40"/>
        <v>21.613692000781022</v>
      </c>
      <c r="H80" s="307">
        <f t="shared" ca="1" si="41"/>
        <v>113.89472717565022</v>
      </c>
      <c r="I80" s="304">
        <f t="shared" ca="1" si="42"/>
        <v>115.92739348540717</v>
      </c>
      <c r="J80" s="306">
        <f t="shared" ca="1" si="43"/>
        <v>7.794756909296658</v>
      </c>
      <c r="K80" s="307">
        <f t="shared" ca="1" si="44"/>
        <v>42.254499063528542</v>
      </c>
      <c r="L80" s="304">
        <f t="shared" ca="1" si="29"/>
        <v>42.967440305244651</v>
      </c>
      <c r="M80" s="306">
        <f t="shared" ca="1" si="45"/>
        <v>1.3832573113487445</v>
      </c>
      <c r="N80" s="304">
        <f t="shared" ca="1" si="46"/>
        <v>79.254805920896729</v>
      </c>
      <c r="P80" s="310">
        <f t="shared" ca="1" si="47"/>
        <v>7</v>
      </c>
      <c r="Q80" s="304">
        <f t="shared" ca="1" si="48"/>
        <v>1307.1523749999999</v>
      </c>
      <c r="R80" s="306">
        <f t="shared" ca="1" si="49"/>
        <v>0.64237617571417371</v>
      </c>
      <c r="S80" s="307">
        <f t="shared" ca="1" si="50"/>
        <v>7.6491997451060643</v>
      </c>
      <c r="T80" s="304">
        <f t="shared" ca="1" si="30"/>
        <v>75.038649499490489</v>
      </c>
      <c r="U80" s="311">
        <f t="shared" ca="1" si="31"/>
        <v>0</v>
      </c>
      <c r="V80" s="306">
        <f t="shared" ca="1" si="32"/>
        <v>1.2198347366454967</v>
      </c>
      <c r="W80" s="304">
        <f t="shared" ca="1" si="33"/>
        <v>42.786087278268923</v>
      </c>
      <c r="Y80" s="314" t="str">
        <f t="shared" ca="1" si="51"/>
        <v/>
      </c>
      <c r="Z80" s="315" t="str">
        <f t="shared" ca="1" si="52"/>
        <v/>
      </c>
      <c r="AA80" s="316" t="str">
        <f t="shared" ca="1" si="53"/>
        <v/>
      </c>
      <c r="AC80" s="310" t="e">
        <f t="shared" ca="1" si="54"/>
        <v>#N/A</v>
      </c>
      <c r="AD80" s="323" t="e">
        <f t="shared" ca="1" si="55"/>
        <v>#N/A</v>
      </c>
      <c r="AE80" s="324">
        <f t="shared" ca="1" si="34"/>
        <v>42.254499063528542</v>
      </c>
      <c r="AG80" s="306">
        <f t="shared" ca="1" si="56"/>
        <v>155.80437617589092</v>
      </c>
      <c r="AH80" s="304">
        <f t="shared" ca="1" si="57"/>
        <v>165.44265622739002</v>
      </c>
    </row>
    <row r="81" spans="1:34" x14ac:dyDescent="0.2">
      <c r="A81" s="347">
        <f t="shared" ca="1" si="35"/>
        <v>0.01</v>
      </c>
      <c r="B81" s="304">
        <f t="shared" ca="1" si="36"/>
        <v>0.77000000000000046</v>
      </c>
      <c r="D81" s="306">
        <f t="shared" ca="1" si="37"/>
        <v>30.826902875767292</v>
      </c>
      <c r="E81" s="307">
        <f t="shared" ca="1" si="38"/>
        <v>152.634328927187</v>
      </c>
      <c r="F81" s="304">
        <f t="shared" ca="1" si="39"/>
        <v>155.7162043846584</v>
      </c>
      <c r="G81" s="306">
        <f t="shared" ca="1" si="40"/>
        <v>21.921961029538696</v>
      </c>
      <c r="H81" s="307">
        <f t="shared" ca="1" si="41"/>
        <v>115.42107046492208</v>
      </c>
      <c r="I81" s="304">
        <f t="shared" ca="1" si="42"/>
        <v>117.48444953545606</v>
      </c>
      <c r="J81" s="306">
        <f t="shared" ca="1" si="43"/>
        <v>8.0124351744482567</v>
      </c>
      <c r="K81" s="307">
        <f t="shared" ca="1" si="44"/>
        <v>43.401078051731403</v>
      </c>
      <c r="L81" s="304">
        <f t="shared" ca="1" si="29"/>
        <v>44.134484175950412</v>
      </c>
      <c r="M81" s="306">
        <f t="shared" ca="1" si="45"/>
        <v>1.3831016318194278</v>
      </c>
      <c r="N81" s="304">
        <f t="shared" ca="1" si="46"/>
        <v>79.245886140910301</v>
      </c>
      <c r="P81" s="310">
        <f t="shared" ca="1" si="47"/>
        <v>7</v>
      </c>
      <c r="Q81" s="304">
        <f t="shared" ca="1" si="48"/>
        <v>1306.469625</v>
      </c>
      <c r="R81" s="306">
        <f t="shared" ca="1" si="49"/>
        <v>0.64204065068866256</v>
      </c>
      <c r="S81" s="307">
        <f t="shared" ca="1" si="50"/>
        <v>7.642779338599178</v>
      </c>
      <c r="T81" s="304">
        <f t="shared" ca="1" si="30"/>
        <v>74.975665311657934</v>
      </c>
      <c r="U81" s="311">
        <f t="shared" ca="1" si="31"/>
        <v>0</v>
      </c>
      <c r="V81" s="306">
        <f t="shared" ca="1" si="32"/>
        <v>1.2196948803342973</v>
      </c>
      <c r="W81" s="304">
        <f t="shared" ca="1" si="33"/>
        <v>43.93811360168224</v>
      </c>
      <c r="Y81" s="314" t="str">
        <f t="shared" ca="1" si="51"/>
        <v/>
      </c>
      <c r="Z81" s="315" t="str">
        <f t="shared" ca="1" si="52"/>
        <v/>
      </c>
      <c r="AA81" s="316" t="str">
        <f t="shared" ca="1" si="53"/>
        <v/>
      </c>
      <c r="AC81" s="310" t="e">
        <f t="shared" ca="1" si="54"/>
        <v>#N/A</v>
      </c>
      <c r="AD81" s="323" t="e">
        <f t="shared" ca="1" si="55"/>
        <v>#N/A</v>
      </c>
      <c r="AE81" s="324">
        <f t="shared" ca="1" si="34"/>
        <v>43.401078051731403</v>
      </c>
      <c r="AG81" s="306">
        <f t="shared" ca="1" si="56"/>
        <v>155.70546263655476</v>
      </c>
      <c r="AH81" s="304">
        <f t="shared" ca="1" si="57"/>
        <v>165.34345448646013</v>
      </c>
    </row>
    <row r="82" spans="1:34" x14ac:dyDescent="0.2">
      <c r="A82" s="347">
        <f t="shared" ca="1" si="35"/>
        <v>0.01</v>
      </c>
      <c r="B82" s="304">
        <f t="shared" ca="1" si="36"/>
        <v>0.78000000000000047</v>
      </c>
      <c r="D82" s="306">
        <f t="shared" ca="1" si="37"/>
        <v>30.833284953604515</v>
      </c>
      <c r="E82" s="307">
        <f t="shared" ca="1" si="38"/>
        <v>152.52998183372807</v>
      </c>
      <c r="F82" s="304">
        <f t="shared" ca="1" si="39"/>
        <v>155.61518826653005</v>
      </c>
      <c r="G82" s="306">
        <f t="shared" ca="1" si="40"/>
        <v>22.230293879074743</v>
      </c>
      <c r="H82" s="307">
        <f t="shared" ca="1" si="41"/>
        <v>116.94637028325936</v>
      </c>
      <c r="I82" s="304">
        <f t="shared" ca="1" si="42"/>
        <v>119.04049516185337</v>
      </c>
      <c r="J82" s="306">
        <f t="shared" ca="1" si="43"/>
        <v>8.2331964489913236</v>
      </c>
      <c r="K82" s="307">
        <f t="shared" ca="1" si="44"/>
        <v>44.562915255472312</v>
      </c>
      <c r="L82" s="304">
        <f t="shared" ca="1" si="29"/>
        <v>45.317093241227312</v>
      </c>
      <c r="M82" s="306">
        <f t="shared" ca="1" si="45"/>
        <v>1.382947861222811</v>
      </c>
      <c r="N82" s="304">
        <f t="shared" ca="1" si="46"/>
        <v>79.237075734710956</v>
      </c>
      <c r="P82" s="310">
        <f t="shared" ca="1" si="47"/>
        <v>7</v>
      </c>
      <c r="Q82" s="304">
        <f t="shared" ca="1" si="48"/>
        <v>1305.786875</v>
      </c>
      <c r="R82" s="306">
        <f t="shared" ca="1" si="49"/>
        <v>0.64170512566315141</v>
      </c>
      <c r="S82" s="307">
        <f t="shared" ca="1" si="50"/>
        <v>7.6363622873425463</v>
      </c>
      <c r="T82" s="304">
        <f t="shared" ca="1" si="30"/>
        <v>74.912714038830387</v>
      </c>
      <c r="U82" s="311">
        <f t="shared" ca="1" si="31"/>
        <v>0</v>
      </c>
      <c r="V82" s="306">
        <f t="shared" ca="1" si="32"/>
        <v>1.2195531791919088</v>
      </c>
      <c r="W82" s="304">
        <f t="shared" ca="1" si="33"/>
        <v>45.104474345900101</v>
      </c>
      <c r="Y82" s="314" t="str">
        <f t="shared" ca="1" si="51"/>
        <v/>
      </c>
      <c r="Z82" s="315" t="str">
        <f t="shared" ca="1" si="52"/>
        <v/>
      </c>
      <c r="AA82" s="316" t="str">
        <f t="shared" ca="1" si="53"/>
        <v/>
      </c>
      <c r="AC82" s="310" t="e">
        <f t="shared" ca="1" si="54"/>
        <v>#N/A</v>
      </c>
      <c r="AD82" s="323" t="e">
        <f t="shared" ca="1" si="55"/>
        <v>#N/A</v>
      </c>
      <c r="AE82" s="324">
        <f t="shared" ca="1" si="34"/>
        <v>44.562915255472312</v>
      </c>
      <c r="AG82" s="306">
        <f t="shared" ca="1" si="56"/>
        <v>155.60442190174686</v>
      </c>
      <c r="AH82" s="304">
        <f t="shared" ca="1" si="57"/>
        <v>165.24212889818787</v>
      </c>
    </row>
    <row r="83" spans="1:34" x14ac:dyDescent="0.2">
      <c r="A83" s="347">
        <f t="shared" ca="1" si="35"/>
        <v>0.01</v>
      </c>
      <c r="B83" s="304">
        <f t="shared" ca="1" si="36"/>
        <v>0.79000000000000048</v>
      </c>
      <c r="D83" s="306">
        <f t="shared" ca="1" si="37"/>
        <v>30.838929362893776</v>
      </c>
      <c r="E83" s="307">
        <f t="shared" ca="1" si="38"/>
        <v>152.42361112679822</v>
      </c>
      <c r="F83" s="304">
        <f t="shared" ca="1" si="39"/>
        <v>155.51204709984034</v>
      </c>
      <c r="G83" s="306">
        <f t="shared" ca="1" si="40"/>
        <v>22.538683172703681</v>
      </c>
      <c r="H83" s="307">
        <f t="shared" ca="1" si="41"/>
        <v>118.47060639452734</v>
      </c>
      <c r="I83" s="304">
        <f t="shared" ca="1" si="42"/>
        <v>120.59550911475326</v>
      </c>
      <c r="J83" s="306">
        <f t="shared" ca="1" si="43"/>
        <v>8.4570413342502153</v>
      </c>
      <c r="K83" s="307">
        <f t="shared" ca="1" si="44"/>
        <v>45.740000138861248</v>
      </c>
      <c r="L83" s="304">
        <f t="shared" ca="1" si="29"/>
        <v>46.5152572908314</v>
      </c>
      <c r="M83" s="306">
        <f t="shared" ca="1" si="45"/>
        <v>1.3827959505269776</v>
      </c>
      <c r="N83" s="304">
        <f t="shared" ca="1" si="46"/>
        <v>79.228371892976796</v>
      </c>
      <c r="P83" s="310">
        <f t="shared" ca="1" si="47"/>
        <v>7</v>
      </c>
      <c r="Q83" s="304">
        <f t="shared" ca="1" si="48"/>
        <v>1305.1041249999998</v>
      </c>
      <c r="R83" s="306">
        <f t="shared" ca="1" si="49"/>
        <v>0.64136960063764015</v>
      </c>
      <c r="S83" s="307">
        <f t="shared" ca="1" si="50"/>
        <v>7.62994859133617</v>
      </c>
      <c r="T83" s="304">
        <f t="shared" ca="1" si="30"/>
        <v>74.849795681007834</v>
      </c>
      <c r="U83" s="311">
        <f t="shared" ca="1" si="31"/>
        <v>0</v>
      </c>
      <c r="V83" s="306">
        <f t="shared" ca="1" si="32"/>
        <v>1.2194096351474464</v>
      </c>
      <c r="W83" s="304">
        <f t="shared" ca="1" si="33"/>
        <v>46.285112820308306</v>
      </c>
      <c r="Y83" s="314" t="str">
        <f t="shared" ca="1" si="51"/>
        <v/>
      </c>
      <c r="Z83" s="315" t="str">
        <f t="shared" ca="1" si="52"/>
        <v/>
      </c>
      <c r="AA83" s="316" t="str">
        <f t="shared" ca="1" si="53"/>
        <v/>
      </c>
      <c r="AC83" s="310" t="e">
        <f t="shared" ca="1" si="54"/>
        <v>#N/A</v>
      </c>
      <c r="AD83" s="323" t="e">
        <f t="shared" ca="1" si="55"/>
        <v>#N/A</v>
      </c>
      <c r="AE83" s="324">
        <f t="shared" ca="1" si="34"/>
        <v>45.740000138861248</v>
      </c>
      <c r="AG83" s="306">
        <f t="shared" ca="1" si="56"/>
        <v>155.50125614170901</v>
      </c>
      <c r="AH83" s="304">
        <f t="shared" ca="1" si="57"/>
        <v>165.13868154823916</v>
      </c>
    </row>
    <row r="84" spans="1:34" x14ac:dyDescent="0.2">
      <c r="A84" s="347">
        <f t="shared" ca="1" si="35"/>
        <v>0.01</v>
      </c>
      <c r="B84" s="304">
        <f t="shared" ca="1" si="36"/>
        <v>0.80000000000000049</v>
      </c>
      <c r="D84" s="306">
        <f t="shared" ca="1" si="37"/>
        <v>30.843844115779834</v>
      </c>
      <c r="E84" s="307">
        <f t="shared" ca="1" si="38"/>
        <v>152.31521769506622</v>
      </c>
      <c r="F84" s="304">
        <f t="shared" ca="1" si="39"/>
        <v>155.40678318958263</v>
      </c>
      <c r="G84" s="306">
        <f t="shared" ca="1" si="40"/>
        <v>22.847121613861479</v>
      </c>
      <c r="H84" s="307">
        <f t="shared" ca="1" si="41"/>
        <v>119.993758571478</v>
      </c>
      <c r="I84" s="304">
        <f t="shared" ca="1" si="42"/>
        <v>122.14947016728614</v>
      </c>
      <c r="J84" s="306">
        <f t="shared" ca="1" si="43"/>
        <v>8.683970358183041</v>
      </c>
      <c r="K84" s="307">
        <f t="shared" ca="1" si="44"/>
        <v>46.932321963691273</v>
      </c>
      <c r="L84" s="304">
        <f t="shared" ca="1" si="29"/>
        <v>47.728965902116293</v>
      </c>
      <c r="M84" s="306">
        <f t="shared" ca="1" si="45"/>
        <v>1.3826458525548306</v>
      </c>
      <c r="N84" s="304">
        <f t="shared" ca="1" si="46"/>
        <v>79.219771912659311</v>
      </c>
      <c r="P84" s="310">
        <f t="shared" ca="1" si="47"/>
        <v>7</v>
      </c>
      <c r="Q84" s="304">
        <f t="shared" ca="1" si="48"/>
        <v>1304.4213749999999</v>
      </c>
      <c r="R84" s="306">
        <f t="shared" ca="1" si="49"/>
        <v>0.64103407561212911</v>
      </c>
      <c r="S84" s="307">
        <f t="shared" ca="1" si="50"/>
        <v>7.6235382505800491</v>
      </c>
      <c r="T84" s="304">
        <f t="shared" ca="1" si="30"/>
        <v>74.786910238190288</v>
      </c>
      <c r="U84" s="311">
        <f t="shared" ca="1" si="31"/>
        <v>0</v>
      </c>
      <c r="V84" s="306">
        <f t="shared" ca="1" si="32"/>
        <v>1.2192642501623523</v>
      </c>
      <c r="W84" s="304">
        <f t="shared" ca="1" si="33"/>
        <v>47.479971428808284</v>
      </c>
      <c r="Y84" s="314" t="str">
        <f t="shared" ca="1" si="51"/>
        <v/>
      </c>
      <c r="Z84" s="315" t="str">
        <f t="shared" ca="1" si="52"/>
        <v/>
      </c>
      <c r="AA84" s="316" t="str">
        <f t="shared" ca="1" si="53"/>
        <v/>
      </c>
      <c r="AC84" s="310" t="e">
        <f t="shared" ca="1" si="54"/>
        <v>#N/A</v>
      </c>
      <c r="AD84" s="323" t="e">
        <f t="shared" ca="1" si="55"/>
        <v>#N/A</v>
      </c>
      <c r="AE84" s="324">
        <f t="shared" ca="1" si="34"/>
        <v>46.932321963691273</v>
      </c>
      <c r="AG84" s="306">
        <f t="shared" ca="1" si="56"/>
        <v>155.39596765556638</v>
      </c>
      <c r="AH84" s="304">
        <f t="shared" ca="1" si="57"/>
        <v>165.03311465433578</v>
      </c>
    </row>
    <row r="85" spans="1:34" x14ac:dyDescent="0.2">
      <c r="A85" s="347">
        <f t="shared" ca="1" si="35"/>
        <v>0.01</v>
      </c>
      <c r="B85" s="304">
        <f t="shared" ca="1" si="36"/>
        <v>0.8100000000000005</v>
      </c>
      <c r="D85" s="306">
        <f t="shared" ca="1" si="37"/>
        <v>30.827599458817183</v>
      </c>
      <c r="E85" s="307">
        <f t="shared" ca="1" si="38"/>
        <v>152.09746428886075</v>
      </c>
      <c r="F85" s="304">
        <f t="shared" ca="1" si="39"/>
        <v>155.19013993000502</v>
      </c>
      <c r="G85" s="306">
        <f t="shared" ca="1" si="40"/>
        <v>23.15539760844965</v>
      </c>
      <c r="H85" s="307">
        <f t="shared" ca="1" si="41"/>
        <v>121.5147332143666</v>
      </c>
      <c r="I85" s="304">
        <f t="shared" ca="1" si="42"/>
        <v>123.70126445014249</v>
      </c>
      <c r="J85" s="306">
        <f t="shared" ca="1" si="43"/>
        <v>8.9139829542945961</v>
      </c>
      <c r="K85" s="307">
        <f t="shared" ca="1" si="44"/>
        <v>48.139864422620498</v>
      </c>
      <c r="L85" s="304">
        <f t="shared" ca="1" si="29"/>
        <v>48.958202977006188</v>
      </c>
      <c r="M85" s="306">
        <f t="shared" ca="1" si="45"/>
        <v>1.3824975205809693</v>
      </c>
      <c r="N85" s="304">
        <f t="shared" ca="1" si="46"/>
        <v>79.211273116590206</v>
      </c>
      <c r="P85" s="310">
        <f t="shared" ca="1" si="47"/>
        <v>8</v>
      </c>
      <c r="Q85" s="304">
        <f t="shared" ca="1" si="48"/>
        <v>1302.9069999999999</v>
      </c>
      <c r="R85" s="306">
        <f t="shared" ca="1" si="49"/>
        <v>0.64028986365971829</v>
      </c>
      <c r="S85" s="307">
        <f t="shared" ca="1" si="50"/>
        <v>7.6171353519434515</v>
      </c>
      <c r="T85" s="304">
        <f t="shared" ca="1" si="30"/>
        <v>74.724097802565268</v>
      </c>
      <c r="U85" s="311">
        <f t="shared" ca="1" si="31"/>
        <v>0</v>
      </c>
      <c r="V85" s="306">
        <f t="shared" ca="1" si="32"/>
        <v>1.2191170268846376</v>
      </c>
      <c r="W85" s="304">
        <f t="shared" ca="1" si="33"/>
        <v>48.688131562174469</v>
      </c>
      <c r="Y85" s="314" t="str">
        <f t="shared" ca="1" si="51"/>
        <v/>
      </c>
      <c r="Z85" s="315" t="str">
        <f t="shared" ca="1" si="52"/>
        <v/>
      </c>
      <c r="AA85" s="316" t="str">
        <f t="shared" ca="1" si="53"/>
        <v/>
      </c>
      <c r="AC85" s="310" t="e">
        <f t="shared" ca="1" si="54"/>
        <v>#N/A</v>
      </c>
      <c r="AD85" s="323" t="e">
        <f t="shared" ca="1" si="55"/>
        <v>#N/A</v>
      </c>
      <c r="AE85" s="324">
        <f t="shared" ca="1" si="34"/>
        <v>48.139864422620498</v>
      </c>
      <c r="AG85" s="306">
        <f t="shared" ca="1" si="56"/>
        <v>155.17929219955857</v>
      </c>
      <c r="AH85" s="304">
        <f t="shared" ca="1" si="57"/>
        <v>164.81616389432799</v>
      </c>
    </row>
    <row r="86" spans="1:34" x14ac:dyDescent="0.2">
      <c r="A86" s="347">
        <f t="shared" ca="1" si="35"/>
        <v>0.01</v>
      </c>
      <c r="B86" s="304">
        <f t="shared" ca="1" si="36"/>
        <v>0.82000000000000051</v>
      </c>
      <c r="D86" s="306">
        <f t="shared" ca="1" si="37"/>
        <v>30.790108413414014</v>
      </c>
      <c r="E86" s="307">
        <f t="shared" ca="1" si="38"/>
        <v>151.77011504549299</v>
      </c>
      <c r="F86" s="304">
        <f t="shared" ca="1" si="39"/>
        <v>154.86186940958697</v>
      </c>
      <c r="G86" s="306">
        <f t="shared" ca="1" si="40"/>
        <v>23.463298692583791</v>
      </c>
      <c r="H86" s="307">
        <f t="shared" ca="1" si="41"/>
        <v>123.03243436482153</v>
      </c>
      <c r="I86" s="304">
        <f t="shared" ca="1" si="42"/>
        <v>125.24977561365738</v>
      </c>
      <c r="J86" s="306">
        <f t="shared" ca="1" si="43"/>
        <v>9.1470764357997627</v>
      </c>
      <c r="K86" s="307">
        <f t="shared" ca="1" si="44"/>
        <v>49.362600260516437</v>
      </c>
      <c r="L86" s="304">
        <f t="shared" ca="1" si="29"/>
        <v>50.20294126644275</v>
      </c>
      <c r="M86" s="306">
        <f t="shared" ca="1" si="45"/>
        <v>1.382350908365549</v>
      </c>
      <c r="N86" s="304">
        <f t="shared" ca="1" si="46"/>
        <v>79.20287285542156</v>
      </c>
      <c r="P86" s="310">
        <f t="shared" ca="1" si="47"/>
        <v>8</v>
      </c>
      <c r="Q86" s="304">
        <f t="shared" ca="1" si="48"/>
        <v>1300.5609999999999</v>
      </c>
      <c r="R86" s="306">
        <f t="shared" ca="1" si="49"/>
        <v>0.63913696478040782</v>
      </c>
      <c r="S86" s="307">
        <f t="shared" ca="1" si="50"/>
        <v>7.6107439822956477</v>
      </c>
      <c r="T86" s="304">
        <f t="shared" ca="1" si="30"/>
        <v>74.661398466320307</v>
      </c>
      <c r="U86" s="311">
        <f t="shared" ca="1" si="31"/>
        <v>0</v>
      </c>
      <c r="V86" s="306">
        <f t="shared" ca="1" si="32"/>
        <v>1.2189679693040871</v>
      </c>
      <c r="W86" s="304">
        <f t="shared" ca="1" si="33"/>
        <v>49.908629086349229</v>
      </c>
      <c r="Y86" s="314" t="str">
        <f t="shared" ca="1" si="51"/>
        <v/>
      </c>
      <c r="Z86" s="315" t="str">
        <f t="shared" ca="1" si="52"/>
        <v/>
      </c>
      <c r="AA86" s="316" t="str">
        <f t="shared" ca="1" si="53"/>
        <v/>
      </c>
      <c r="AC86" s="310" t="e">
        <f t="shared" ca="1" si="54"/>
        <v>#N/A</v>
      </c>
      <c r="AD86" s="323" t="e">
        <f t="shared" ca="1" si="55"/>
        <v>#N/A</v>
      </c>
      <c r="AE86" s="324">
        <f t="shared" ca="1" si="34"/>
        <v>49.362600260516437</v>
      </c>
      <c r="AG86" s="306">
        <f t="shared" ca="1" si="56"/>
        <v>154.85098173840547</v>
      </c>
      <c r="AH86" s="304">
        <f t="shared" ca="1" si="57"/>
        <v>164.48758115500556</v>
      </c>
    </row>
    <row r="87" spans="1:34" x14ac:dyDescent="0.2">
      <c r="A87" s="347">
        <f t="shared" ca="1" si="35"/>
        <v>0.01</v>
      </c>
      <c r="B87" s="304">
        <f t="shared" ca="1" si="36"/>
        <v>0.83000000000000052</v>
      </c>
      <c r="D87" s="306">
        <f t="shared" ca="1" si="37"/>
        <v>30.751789595433412</v>
      </c>
      <c r="E87" s="307">
        <f t="shared" ca="1" si="38"/>
        <v>151.44045265680518</v>
      </c>
      <c r="F87" s="304">
        <f t="shared" ca="1" si="39"/>
        <v>154.53117246762821</v>
      </c>
      <c r="G87" s="306">
        <f t="shared" ca="1" si="40"/>
        <v>23.770816588538125</v>
      </c>
      <c r="H87" s="307">
        <f t="shared" ca="1" si="41"/>
        <v>124.54683889138958</v>
      </c>
      <c r="I87" s="304">
        <f t="shared" ca="1" si="42"/>
        <v>126.79497939241787</v>
      </c>
      <c r="J87" s="306">
        <f t="shared" ca="1" si="43"/>
        <v>9.3832470122053717</v>
      </c>
      <c r="K87" s="307">
        <f t="shared" ca="1" si="44"/>
        <v>50.600496626797494</v>
      </c>
      <c r="L87" s="304">
        <f t="shared" ca="1" si="29"/>
        <v>51.463147818323407</v>
      </c>
      <c r="M87" s="306">
        <f t="shared" ca="1" si="45"/>
        <v>1.3822059714334662</v>
      </c>
      <c r="N87" s="304">
        <f t="shared" ca="1" si="46"/>
        <v>79.194568580917647</v>
      </c>
      <c r="P87" s="310">
        <f t="shared" ca="1" si="47"/>
        <v>8</v>
      </c>
      <c r="Q87" s="304">
        <f t="shared" ca="1" si="48"/>
        <v>1298.2149999999999</v>
      </c>
      <c r="R87" s="306">
        <f t="shared" ca="1" si="49"/>
        <v>0.63798406590109746</v>
      </c>
      <c r="S87" s="307">
        <f t="shared" ca="1" si="50"/>
        <v>7.604364141636637</v>
      </c>
      <c r="T87" s="304">
        <f t="shared" ca="1" si="30"/>
        <v>74.598812229455419</v>
      </c>
      <c r="U87" s="311">
        <f t="shared" ca="1" si="31"/>
        <v>0</v>
      </c>
      <c r="V87" s="306">
        <f t="shared" ca="1" si="32"/>
        <v>1.2188170820990369</v>
      </c>
      <c r="W87" s="304">
        <f t="shared" ca="1" si="33"/>
        <v>51.141337392396096</v>
      </c>
      <c r="Y87" s="314" t="str">
        <f t="shared" ca="1" si="51"/>
        <v/>
      </c>
      <c r="Z87" s="315" t="str">
        <f t="shared" ca="1" si="52"/>
        <v/>
      </c>
      <c r="AA87" s="316" t="str">
        <f t="shared" ca="1" si="53"/>
        <v/>
      </c>
      <c r="AC87" s="310" t="e">
        <f t="shared" ca="1" si="54"/>
        <v>#N/A</v>
      </c>
      <c r="AD87" s="323" t="e">
        <f t="shared" ca="1" si="55"/>
        <v>#N/A</v>
      </c>
      <c r="AE87" s="324">
        <f t="shared" ca="1" si="34"/>
        <v>50.600496626797494</v>
      </c>
      <c r="AG87" s="306">
        <f t="shared" ca="1" si="56"/>
        <v>154.52024469875417</v>
      </c>
      <c r="AH87" s="304">
        <f t="shared" ca="1" si="57"/>
        <v>164.15657478561855</v>
      </c>
    </row>
    <row r="88" spans="1:34" x14ac:dyDescent="0.2">
      <c r="A88" s="347">
        <f t="shared" ca="1" si="35"/>
        <v>0.01</v>
      </c>
      <c r="B88" s="304">
        <f t="shared" ca="1" si="36"/>
        <v>0.84000000000000052</v>
      </c>
      <c r="D88" s="306">
        <f t="shared" ca="1" si="37"/>
        <v>30.712653080795718</v>
      </c>
      <c r="E88" s="307">
        <f t="shared" ca="1" si="38"/>
        <v>151.10848763098167</v>
      </c>
      <c r="F88" s="304">
        <f t="shared" ca="1" si="39"/>
        <v>154.19806125040563</v>
      </c>
      <c r="G88" s="306">
        <f t="shared" ca="1" si="40"/>
        <v>24.077943119346081</v>
      </c>
      <c r="H88" s="307">
        <f t="shared" ca="1" si="41"/>
        <v>126.05792376769941</v>
      </c>
      <c r="I88" s="304">
        <f t="shared" ca="1" si="42"/>
        <v>128.33685164239296</v>
      </c>
      <c r="J88" s="306">
        <f t="shared" ca="1" si="43"/>
        <v>9.6224908107447931</v>
      </c>
      <c r="K88" s="307">
        <f t="shared" ca="1" si="44"/>
        <v>51.853520440092936</v>
      </c>
      <c r="L88" s="304">
        <f t="shared" ca="1" si="29"/>
        <v>52.73878943845795</v>
      </c>
      <c r="M88" s="306">
        <f t="shared" ca="1" si="45"/>
        <v>1.382062666985149</v>
      </c>
      <c r="N88" s="304">
        <f t="shared" ca="1" si="46"/>
        <v>79.186357840843613</v>
      </c>
      <c r="P88" s="310">
        <f t="shared" ca="1" si="47"/>
        <v>8</v>
      </c>
      <c r="Q88" s="304">
        <f t="shared" ca="1" si="48"/>
        <v>1295.8689999999997</v>
      </c>
      <c r="R88" s="306">
        <f t="shared" ca="1" si="49"/>
        <v>0.63683116702178688</v>
      </c>
      <c r="S88" s="307">
        <f t="shared" ca="1" si="50"/>
        <v>7.5979958299664192</v>
      </c>
      <c r="T88" s="304">
        <f t="shared" ca="1" si="30"/>
        <v>74.536339091970575</v>
      </c>
      <c r="U88" s="311">
        <f t="shared" ca="1" si="31"/>
        <v>0</v>
      </c>
      <c r="V88" s="306">
        <f t="shared" ca="1" si="32"/>
        <v>1.2186643699821202</v>
      </c>
      <c r="W88" s="304">
        <f t="shared" ca="1" si="33"/>
        <v>52.386129188563807</v>
      </c>
      <c r="Y88" s="314" t="str">
        <f t="shared" ca="1" si="51"/>
        <v/>
      </c>
      <c r="Z88" s="315" t="str">
        <f t="shared" ca="1" si="52"/>
        <v/>
      </c>
      <c r="AA88" s="316" t="str">
        <f t="shared" ca="1" si="53"/>
        <v/>
      </c>
      <c r="AC88" s="310" t="e">
        <f t="shared" ca="1" si="54"/>
        <v>#N/A</v>
      </c>
      <c r="AD88" s="323" t="e">
        <f t="shared" ca="1" si="55"/>
        <v>#N/A</v>
      </c>
      <c r="AE88" s="324">
        <f t="shared" ca="1" si="34"/>
        <v>51.853520440092936</v>
      </c>
      <c r="AG88" s="306">
        <f t="shared" ca="1" si="56"/>
        <v>154.18709322017111</v>
      </c>
      <c r="AH88" s="304">
        <f t="shared" ca="1" si="57"/>
        <v>163.82315685123308</v>
      </c>
    </row>
    <row r="89" spans="1:34" x14ac:dyDescent="0.2">
      <c r="A89" s="347">
        <f t="shared" ca="1" si="35"/>
        <v>0.01</v>
      </c>
      <c r="B89" s="304">
        <f t="shared" ca="1" si="36"/>
        <v>0.85000000000000053</v>
      </c>
      <c r="D89" s="306">
        <f t="shared" ca="1" si="37"/>
        <v>30.672708676482557</v>
      </c>
      <c r="E89" s="307">
        <f t="shared" ca="1" si="38"/>
        <v>150.77423067634112</v>
      </c>
      <c r="F89" s="304">
        <f t="shared" ca="1" si="39"/>
        <v>153.86254805375768</v>
      </c>
      <c r="G89" s="306">
        <f t="shared" ca="1" si="40"/>
        <v>24.384670206110908</v>
      </c>
      <c r="H89" s="307">
        <f t="shared" ca="1" si="41"/>
        <v>127.56566607446281</v>
      </c>
      <c r="I89" s="304">
        <f t="shared" ca="1" si="42"/>
        <v>129.87536834243107</v>
      </c>
      <c r="J89" s="306">
        <f t="shared" ca="1" si="43"/>
        <v>9.8648038773720774</v>
      </c>
      <c r="K89" s="307">
        <f t="shared" ca="1" si="44"/>
        <v>53.121638389303747</v>
      </c>
      <c r="L89" s="304">
        <f t="shared" ca="1" si="29"/>
        <v>54.029832691791349</v>
      </c>
      <c r="M89" s="306">
        <f t="shared" ca="1" si="45"/>
        <v>1.3819209538129296</v>
      </c>
      <c r="N89" s="304">
        <f t="shared" ca="1" si="46"/>
        <v>79.178238274174035</v>
      </c>
      <c r="P89" s="310">
        <f t="shared" ca="1" si="47"/>
        <v>8</v>
      </c>
      <c r="Q89" s="304">
        <f t="shared" ca="1" si="48"/>
        <v>1293.5229999999997</v>
      </c>
      <c r="R89" s="306">
        <f t="shared" ca="1" si="49"/>
        <v>0.63567826814247652</v>
      </c>
      <c r="S89" s="307">
        <f t="shared" ca="1" si="50"/>
        <v>7.5916390472849944</v>
      </c>
      <c r="T89" s="304">
        <f t="shared" ca="1" si="30"/>
        <v>74.473979053865804</v>
      </c>
      <c r="U89" s="311">
        <f t="shared" ca="1" si="31"/>
        <v>0</v>
      </c>
      <c r="V89" s="306">
        <f t="shared" ca="1" si="32"/>
        <v>1.2185098377000496</v>
      </c>
      <c r="W89" s="304">
        <f t="shared" ca="1" si="33"/>
        <v>53.642876515393539</v>
      </c>
      <c r="Y89" s="314" t="str">
        <f t="shared" ca="1" si="51"/>
        <v/>
      </c>
      <c r="Z89" s="315" t="str">
        <f t="shared" ca="1" si="52"/>
        <v/>
      </c>
      <c r="AA89" s="316" t="str">
        <f t="shared" ca="1" si="53"/>
        <v/>
      </c>
      <c r="AC89" s="310" t="e">
        <f t="shared" ca="1" si="54"/>
        <v>#N/A</v>
      </c>
      <c r="AD89" s="323" t="e">
        <f t="shared" ca="1" si="55"/>
        <v>#N/A</v>
      </c>
      <c r="AE89" s="324">
        <f t="shared" ca="1" si="34"/>
        <v>53.121638389303747</v>
      </c>
      <c r="AG89" s="306">
        <f t="shared" ca="1" si="56"/>
        <v>153.85153959190728</v>
      </c>
      <c r="AH89" s="304">
        <f t="shared" ca="1" si="57"/>
        <v>163.48733956935229</v>
      </c>
    </row>
    <row r="90" spans="1:34" x14ac:dyDescent="0.2">
      <c r="A90" s="347">
        <f t="shared" ca="1" si="35"/>
        <v>0.01</v>
      </c>
      <c r="B90" s="304">
        <f t="shared" ca="1" si="36"/>
        <v>0.86000000000000054</v>
      </c>
      <c r="D90" s="306">
        <f t="shared" ca="1" si="37"/>
        <v>30.6319659353546</v>
      </c>
      <c r="E90" s="307">
        <f t="shared" ca="1" si="38"/>
        <v>150.43769269729583</v>
      </c>
      <c r="F90" s="304">
        <f t="shared" ca="1" si="39"/>
        <v>153.52464532169009</v>
      </c>
      <c r="G90" s="306">
        <f t="shared" ca="1" si="40"/>
        <v>24.690989865464452</v>
      </c>
      <c r="H90" s="307">
        <f t="shared" ca="1" si="41"/>
        <v>129.07004300143578</v>
      </c>
      <c r="I90" s="304">
        <f t="shared" ca="1" si="42"/>
        <v>131.41050559574356</v>
      </c>
      <c r="J90" s="306">
        <f t="shared" ca="1" si="43"/>
        <v>10.110182177729953</v>
      </c>
      <c r="K90" s="307">
        <f t="shared" ca="1" si="44"/>
        <v>54.40481693468324</v>
      </c>
      <c r="L90" s="304">
        <f t="shared" ca="1" si="29"/>
        <v>55.336243903641353</v>
      </c>
      <c r="M90" s="306">
        <f t="shared" ca="1" si="45"/>
        <v>1.3817807922225822</v>
      </c>
      <c r="N90" s="304">
        <f t="shared" ca="1" si="46"/>
        <v>79.170207606597288</v>
      </c>
      <c r="P90" s="310">
        <f t="shared" ca="1" si="47"/>
        <v>8</v>
      </c>
      <c r="Q90" s="304">
        <f t="shared" ca="1" si="48"/>
        <v>1291.1769999999997</v>
      </c>
      <c r="R90" s="306">
        <f t="shared" ca="1" si="49"/>
        <v>0.63452536926316605</v>
      </c>
      <c r="S90" s="307">
        <f t="shared" ca="1" si="50"/>
        <v>7.5852937935923626</v>
      </c>
      <c r="T90" s="304">
        <f t="shared" ca="1" si="30"/>
        <v>74.411732115141078</v>
      </c>
      <c r="U90" s="311">
        <f t="shared" ca="1" si="31"/>
        <v>0</v>
      </c>
      <c r="V90" s="306">
        <f t="shared" ca="1" si="32"/>
        <v>1.2183534900334008</v>
      </c>
      <c r="W90" s="304">
        <f t="shared" ca="1" si="33"/>
        <v>54.911450760900138</v>
      </c>
      <c r="Y90" s="314" t="str">
        <f t="shared" ca="1" si="51"/>
        <v/>
      </c>
      <c r="Z90" s="315" t="str">
        <f t="shared" ca="1" si="52"/>
        <v/>
      </c>
      <c r="AA90" s="316" t="str">
        <f t="shared" ca="1" si="53"/>
        <v/>
      </c>
      <c r="AC90" s="310" t="e">
        <f t="shared" ca="1" si="54"/>
        <v>#N/A</v>
      </c>
      <c r="AD90" s="323" t="e">
        <f t="shared" ca="1" si="55"/>
        <v>#N/A</v>
      </c>
      <c r="AE90" s="324">
        <f t="shared" ca="1" si="34"/>
        <v>54.40481693468324</v>
      </c>
      <c r="AG90" s="306">
        <f t="shared" ca="1" si="56"/>
        <v>153.51359625149641</v>
      </c>
      <c r="AH90" s="304">
        <f t="shared" ca="1" si="57"/>
        <v>163.14913530837879</v>
      </c>
    </row>
    <row r="91" spans="1:34" x14ac:dyDescent="0.2">
      <c r="A91" s="347">
        <f t="shared" ca="1" si="35"/>
        <v>0.01</v>
      </c>
      <c r="B91" s="304">
        <f t="shared" ca="1" si="36"/>
        <v>0.87000000000000055</v>
      </c>
      <c r="D91" s="306">
        <f t="shared" ca="1" si="37"/>
        <v>30.590434170032015</v>
      </c>
      <c r="E91" s="307">
        <f t="shared" ca="1" si="38"/>
        <v>150.09888479044585</v>
      </c>
      <c r="F91" s="304">
        <f t="shared" ca="1" si="39"/>
        <v>153.18436564495281</v>
      </c>
      <c r="G91" s="306">
        <f t="shared" ca="1" si="40"/>
        <v>24.996894207164772</v>
      </c>
      <c r="H91" s="307">
        <f t="shared" ca="1" si="41"/>
        <v>130.57103184934024</v>
      </c>
      <c r="I91" s="304">
        <f t="shared" ca="1" si="42"/>
        <v>132.94223963137378</v>
      </c>
      <c r="J91" s="306">
        <f t="shared" ca="1" si="43"/>
        <v>10.3586215980931</v>
      </c>
      <c r="K91" s="307">
        <f t="shared" ca="1" si="44"/>
        <v>55.703022308937122</v>
      </c>
      <c r="L91" s="304">
        <f t="shared" ca="1" si="29"/>
        <v>56.657989160950883</v>
      </c>
      <c r="M91" s="306">
        <f t="shared" ca="1" si="45"/>
        <v>1.3816421439596502</v>
      </c>
      <c r="N91" s="304">
        <f t="shared" ca="1" si="46"/>
        <v>79.162263646294463</v>
      </c>
      <c r="P91" s="310">
        <f t="shared" ca="1" si="47"/>
        <v>8</v>
      </c>
      <c r="Q91" s="304">
        <f t="shared" ca="1" si="48"/>
        <v>1288.8309999999997</v>
      </c>
      <c r="R91" s="306">
        <f t="shared" ca="1" si="49"/>
        <v>0.63337247038385569</v>
      </c>
      <c r="S91" s="307">
        <f t="shared" ca="1" si="50"/>
        <v>7.5789600688885237</v>
      </c>
      <c r="T91" s="304">
        <f t="shared" ca="1" si="30"/>
        <v>74.349598275796424</v>
      </c>
      <c r="U91" s="311">
        <f t="shared" ca="1" si="31"/>
        <v>0</v>
      </c>
      <c r="V91" s="306">
        <f t="shared" ca="1" si="32"/>
        <v>1.2181953317963927</v>
      </c>
      <c r="W91" s="304">
        <f t="shared" ca="1" si="33"/>
        <v>56.191722675824082</v>
      </c>
      <c r="Y91" s="314" t="str">
        <f t="shared" ca="1" si="51"/>
        <v/>
      </c>
      <c r="Z91" s="315" t="str">
        <f t="shared" ca="1" si="52"/>
        <v/>
      </c>
      <c r="AA91" s="316" t="str">
        <f t="shared" ca="1" si="53"/>
        <v/>
      </c>
      <c r="AC91" s="310" t="e">
        <f t="shared" ca="1" si="54"/>
        <v>#N/A</v>
      </c>
      <c r="AD91" s="323" t="e">
        <f t="shared" ca="1" si="55"/>
        <v>#N/A</v>
      </c>
      <c r="AE91" s="324">
        <f t="shared" ca="1" si="34"/>
        <v>55.703022308937122</v>
      </c>
      <c r="AG91" s="306">
        <f t="shared" ca="1" si="56"/>
        <v>153.17327578332362</v>
      </c>
      <c r="AH91" s="304">
        <f t="shared" ca="1" si="57"/>
        <v>162.80855658605645</v>
      </c>
    </row>
    <row r="92" spans="1:34" x14ac:dyDescent="0.2">
      <c r="A92" s="347">
        <f t="shared" ca="1" si="35"/>
        <v>0.01</v>
      </c>
      <c r="B92" s="304">
        <f t="shared" ca="1" si="36"/>
        <v>0.88000000000000056</v>
      </c>
      <c r="D92" s="306">
        <f t="shared" ca="1" si="37"/>
        <v>30.548122465905234</v>
      </c>
      <c r="E92" s="307">
        <f t="shared" ca="1" si="38"/>
        <v>149.75781824079544</v>
      </c>
      <c r="F92" s="304">
        <f t="shared" ca="1" si="39"/>
        <v>152.84172175958719</v>
      </c>
      <c r="G92" s="306">
        <f t="shared" ca="1" si="40"/>
        <v>25.302375431823823</v>
      </c>
      <c r="H92" s="307">
        <f t="shared" ca="1" si="41"/>
        <v>132.06861003174819</v>
      </c>
      <c r="I92" s="304">
        <f t="shared" ca="1" si="42"/>
        <v>134.47054680565162</v>
      </c>
      <c r="J92" s="306">
        <f t="shared" ca="1" si="43"/>
        <v>10.610117946288042</v>
      </c>
      <c r="K92" s="307">
        <f t="shared" ca="1" si="44"/>
        <v>57.016220518342564</v>
      </c>
      <c r="L92" s="304">
        <f t="shared" ca="1" si="29"/>
        <v>57.99503431355491</v>
      </c>
      <c r="M92" s="306">
        <f t="shared" ca="1" si="45"/>
        <v>1.3815049721402115</v>
      </c>
      <c r="N92" s="304">
        <f t="shared" ca="1" si="46"/>
        <v>79.154404279972496</v>
      </c>
      <c r="P92" s="310">
        <f t="shared" ca="1" si="47"/>
        <v>8</v>
      </c>
      <c r="Q92" s="304">
        <f t="shared" ca="1" si="48"/>
        <v>1286.4849999999997</v>
      </c>
      <c r="R92" s="306">
        <f t="shared" ca="1" si="49"/>
        <v>0.63221957150454522</v>
      </c>
      <c r="S92" s="307">
        <f t="shared" ca="1" si="50"/>
        <v>7.5726378731734778</v>
      </c>
      <c r="T92" s="304">
        <f t="shared" ca="1" si="30"/>
        <v>74.287577535831815</v>
      </c>
      <c r="U92" s="311">
        <f t="shared" ca="1" si="31"/>
        <v>0</v>
      </c>
      <c r="V92" s="306">
        <f t="shared" ca="1" si="32"/>
        <v>1.2180353678366656</v>
      </c>
      <c r="W92" s="304">
        <f t="shared" ca="1" si="33"/>
        <v>57.483562388951157</v>
      </c>
      <c r="Y92" s="314" t="str">
        <f t="shared" ca="1" si="51"/>
        <v/>
      </c>
      <c r="Z92" s="315" t="str">
        <f t="shared" ca="1" si="52"/>
        <v/>
      </c>
      <c r="AA92" s="316" t="str">
        <f t="shared" ca="1" si="53"/>
        <v/>
      </c>
      <c r="AC92" s="310" t="e">
        <f t="shared" ca="1" si="54"/>
        <v>#N/A</v>
      </c>
      <c r="AD92" s="323" t="e">
        <f t="shared" ca="1" si="55"/>
        <v>#N/A</v>
      </c>
      <c r="AE92" s="324">
        <f t="shared" ca="1" si="34"/>
        <v>57.016220518342564</v>
      </c>
      <c r="AG92" s="306">
        <f t="shared" ca="1" si="56"/>
        <v>152.83059091716612</v>
      </c>
      <c r="AH92" s="304">
        <f t="shared" ca="1" si="57"/>
        <v>162.46561606789135</v>
      </c>
    </row>
    <row r="93" spans="1:34" x14ac:dyDescent="0.2">
      <c r="A93" s="347">
        <f t="shared" ca="1" si="35"/>
        <v>0.01</v>
      </c>
      <c r="B93" s="304">
        <f t="shared" ca="1" si="36"/>
        <v>0.89000000000000057</v>
      </c>
      <c r="D93" s="306">
        <f t="shared" ca="1" si="37"/>
        <v>30.50503969333964</v>
      </c>
      <c r="E93" s="307">
        <f t="shared" ca="1" si="38"/>
        <v>149.41450451808336</v>
      </c>
      <c r="F93" s="304">
        <f t="shared" ca="1" si="39"/>
        <v>152.49672654544617</v>
      </c>
      <c r="G93" s="306">
        <f t="shared" ca="1" si="40"/>
        <v>25.607425828757219</v>
      </c>
      <c r="H93" s="307">
        <f t="shared" ca="1" si="41"/>
        <v>133.56275507692902</v>
      </c>
      <c r="I93" s="304">
        <f t="shared" ca="1" si="42"/>
        <v>135.99540360363298</v>
      </c>
      <c r="J93" s="306">
        <f t="shared" ca="1" si="43"/>
        <v>10.864666952590948</v>
      </c>
      <c r="K93" s="307">
        <f t="shared" ca="1" si="44"/>
        <v>58.344377343885952</v>
      </c>
      <c r="L93" s="304">
        <f t="shared" ca="1" si="29"/>
        <v>59.34734497546183</v>
      </c>
      <c r="M93" s="306">
        <f t="shared" ca="1" si="45"/>
        <v>1.3813692411857699</v>
      </c>
      <c r="N93" s="304">
        <f t="shared" ca="1" si="46"/>
        <v>79.146627469133705</v>
      </c>
      <c r="P93" s="310">
        <f t="shared" ca="1" si="47"/>
        <v>8</v>
      </c>
      <c r="Q93" s="304">
        <f t="shared" ca="1" si="48"/>
        <v>1284.1389999999997</v>
      </c>
      <c r="R93" s="306">
        <f t="shared" ca="1" si="49"/>
        <v>0.63106667262523486</v>
      </c>
      <c r="S93" s="307">
        <f t="shared" ca="1" si="50"/>
        <v>7.5663272064472258</v>
      </c>
      <c r="T93" s="304">
        <f t="shared" ca="1" si="30"/>
        <v>74.225669895247293</v>
      </c>
      <c r="U93" s="311">
        <f t="shared" ca="1" si="31"/>
        <v>0</v>
      </c>
      <c r="V93" s="306">
        <f t="shared" ca="1" si="32"/>
        <v>1.2178736030350554</v>
      </c>
      <c r="W93" s="304">
        <f t="shared" ca="1" si="33"/>
        <v>58.786839422495994</v>
      </c>
      <c r="Y93" s="314" t="str">
        <f t="shared" ca="1" si="51"/>
        <v/>
      </c>
      <c r="Z93" s="315" t="str">
        <f t="shared" ca="1" si="52"/>
        <v/>
      </c>
      <c r="AA93" s="316" t="str">
        <f t="shared" ca="1" si="53"/>
        <v/>
      </c>
      <c r="AC93" s="310" t="e">
        <f t="shared" ca="1" si="54"/>
        <v>#N/A</v>
      </c>
      <c r="AD93" s="323" t="e">
        <f t="shared" ca="1" si="55"/>
        <v>#N/A</v>
      </c>
      <c r="AE93" s="324">
        <f t="shared" ca="1" si="34"/>
        <v>58.344377343885952</v>
      </c>
      <c r="AG93" s="306">
        <f t="shared" ca="1" si="56"/>
        <v>152.48555452670627</v>
      </c>
      <c r="AH93" s="304">
        <f t="shared" ca="1" si="57"/>
        <v>162.12032656555246</v>
      </c>
    </row>
    <row r="94" spans="1:34" x14ac:dyDescent="0.2">
      <c r="A94" s="347">
        <f t="shared" ca="1" si="35"/>
        <v>0.01</v>
      </c>
      <c r="B94" s="304">
        <f t="shared" ca="1" si="36"/>
        <v>0.90000000000000058</v>
      </c>
      <c r="D94" s="306">
        <f t="shared" ca="1" si="37"/>
        <v>30.461194519130654</v>
      </c>
      <c r="E94" s="307">
        <f t="shared" ca="1" si="38"/>
        <v>149.06895527321711</v>
      </c>
      <c r="F94" s="304">
        <f t="shared" ca="1" si="39"/>
        <v>152.14939302468716</v>
      </c>
      <c r="G94" s="306">
        <f t="shared" ca="1" si="40"/>
        <v>25.912037773948526</v>
      </c>
      <c r="H94" s="307">
        <f t="shared" ca="1" si="41"/>
        <v>135.05344462966119</v>
      </c>
      <c r="I94" s="304">
        <f t="shared" ca="1" si="42"/>
        <v>137.51678664052434</v>
      </c>
      <c r="J94" s="306">
        <f t="shared" ca="1" si="43"/>
        <v>11.122264270604477</v>
      </c>
      <c r="K94" s="307">
        <f t="shared" ca="1" si="44"/>
        <v>59.687458342418907</v>
      </c>
      <c r="L94" s="304">
        <f t="shared" ca="1" si="29"/>
        <v>60.714886526149066</v>
      </c>
      <c r="M94" s="306">
        <f t="shared" ca="1" si="45"/>
        <v>1.3812349167619746</v>
      </c>
      <c r="N94" s="304">
        <f t="shared" ca="1" si="46"/>
        <v>79.138931246564709</v>
      </c>
      <c r="P94" s="310">
        <f t="shared" ca="1" si="47"/>
        <v>8</v>
      </c>
      <c r="Q94" s="304">
        <f t="shared" ca="1" si="48"/>
        <v>1281.7929999999997</v>
      </c>
      <c r="R94" s="306">
        <f t="shared" ca="1" si="49"/>
        <v>0.62991377374592439</v>
      </c>
      <c r="S94" s="307">
        <f t="shared" ca="1" si="50"/>
        <v>7.5600280687097667</v>
      </c>
      <c r="T94" s="304">
        <f t="shared" ca="1" si="30"/>
        <v>74.163875354042816</v>
      </c>
      <c r="U94" s="311">
        <f t="shared" ca="1" si="31"/>
        <v>0</v>
      </c>
      <c r="V94" s="306">
        <f t="shared" ca="1" si="32"/>
        <v>1.2177100423053648</v>
      </c>
      <c r="W94" s="304">
        <f t="shared" ca="1" si="33"/>
        <v>60.101422707546917</v>
      </c>
      <c r="Y94" s="314" t="str">
        <f t="shared" ca="1" si="51"/>
        <v/>
      </c>
      <c r="Z94" s="315" t="str">
        <f t="shared" ca="1" si="52"/>
        <v/>
      </c>
      <c r="AA94" s="316" t="str">
        <f t="shared" ca="1" si="53"/>
        <v/>
      </c>
      <c r="AC94" s="310" t="e">
        <f t="shared" ca="1" si="54"/>
        <v>#N/A</v>
      </c>
      <c r="AD94" s="323" t="e">
        <f t="shared" ca="1" si="55"/>
        <v>#N/A</v>
      </c>
      <c r="AE94" s="324">
        <f t="shared" ca="1" si="34"/>
        <v>59.687458342418907</v>
      </c>
      <c r="AG94" s="306">
        <f t="shared" ca="1" si="56"/>
        <v>152.13817962801832</v>
      </c>
      <c r="AH94" s="304">
        <f t="shared" ca="1" si="57"/>
        <v>161.77270103525265</v>
      </c>
    </row>
    <row r="95" spans="1:34" x14ac:dyDescent="0.2">
      <c r="A95" s="347">
        <f t="shared" ca="1" si="35"/>
        <v>0.01</v>
      </c>
      <c r="B95" s="304">
        <f t="shared" ca="1" si="36"/>
        <v>0.91000000000000059</v>
      </c>
      <c r="D95" s="306">
        <f t="shared" ca="1" si="37"/>
        <v>30.40748326565868</v>
      </c>
      <c r="E95" s="307">
        <f t="shared" ca="1" si="38"/>
        <v>148.67368983448753</v>
      </c>
      <c r="F95" s="304">
        <f t="shared" ca="1" si="39"/>
        <v>151.7513791948947</v>
      </c>
      <c r="G95" s="306">
        <f t="shared" ca="1" si="40"/>
        <v>26.216112606605112</v>
      </c>
      <c r="H95" s="307">
        <f t="shared" ca="1" si="41"/>
        <v>136.54018152800606</v>
      </c>
      <c r="I95" s="304">
        <f t="shared" ca="1" si="42"/>
        <v>139.03418907557611</v>
      </c>
      <c r="J95" s="306">
        <f t="shared" ca="1" si="43"/>
        <v>11.382905022507245</v>
      </c>
      <c r="K95" s="307">
        <f t="shared" ca="1" si="44"/>
        <v>61.045426473207243</v>
      </c>
      <c r="L95" s="304">
        <f t="shared" ca="1" si="29"/>
        <v>62.097621693968058</v>
      </c>
      <c r="M95" s="306">
        <f t="shared" ca="1" si="45"/>
        <v>1.3811019652584766</v>
      </c>
      <c r="N95" s="304">
        <f t="shared" ca="1" si="46"/>
        <v>79.131313686534355</v>
      </c>
      <c r="P95" s="310">
        <f t="shared" ca="1" si="47"/>
        <v>9</v>
      </c>
      <c r="Q95" s="304">
        <f t="shared" ca="1" si="48"/>
        <v>1279.0819999999997</v>
      </c>
      <c r="R95" s="306">
        <f t="shared" ca="1" si="49"/>
        <v>0.62858150227882692</v>
      </c>
      <c r="S95" s="307">
        <f t="shared" ca="1" si="50"/>
        <v>7.5537422536869787</v>
      </c>
      <c r="T95" s="304">
        <f t="shared" ca="1" si="30"/>
        <v>74.102211508669271</v>
      </c>
      <c r="U95" s="311">
        <f t="shared" ca="1" si="31"/>
        <v>0</v>
      </c>
      <c r="V95" s="306">
        <f t="shared" ca="1" si="32"/>
        <v>1.2175446908832583</v>
      </c>
      <c r="W95" s="304">
        <f t="shared" ca="1" si="33"/>
        <v>61.426753305406194</v>
      </c>
      <c r="Y95" s="314" t="str">
        <f t="shared" ca="1" si="51"/>
        <v/>
      </c>
      <c r="Z95" s="315" t="str">
        <f t="shared" ca="1" si="52"/>
        <v/>
      </c>
      <c r="AA95" s="316" t="str">
        <f t="shared" ca="1" si="53"/>
        <v/>
      </c>
      <c r="AC95" s="310" t="e">
        <f t="shared" ca="1" si="54"/>
        <v>#N/A</v>
      </c>
      <c r="AD95" s="323" t="e">
        <f t="shared" ca="1" si="55"/>
        <v>#N/A</v>
      </c>
      <c r="AE95" s="324">
        <f t="shared" ca="1" si="34"/>
        <v>61.045426473207243</v>
      </c>
      <c r="AG95" s="306">
        <f t="shared" ca="1" si="56"/>
        <v>151.74012062604925</v>
      </c>
      <c r="AH95" s="304">
        <f t="shared" ca="1" si="57"/>
        <v>161.37439382412987</v>
      </c>
    </row>
    <row r="96" spans="1:34" x14ac:dyDescent="0.2">
      <c r="A96" s="347">
        <f t="shared" ca="1" si="35"/>
        <v>0.01</v>
      </c>
      <c r="B96" s="304">
        <f t="shared" ca="1" si="36"/>
        <v>0.9200000000000006</v>
      </c>
      <c r="D96" s="306">
        <f t="shared" ca="1" si="37"/>
        <v>30.343876131652202</v>
      </c>
      <c r="E96" s="307">
        <f t="shared" ca="1" si="38"/>
        <v>148.22862370637134</v>
      </c>
      <c r="F96" s="304">
        <f t="shared" ca="1" si="39"/>
        <v>151.3025964898755</v>
      </c>
      <c r="G96" s="306">
        <f t="shared" ca="1" si="40"/>
        <v>26.519551367921633</v>
      </c>
      <c r="H96" s="307">
        <f t="shared" ca="1" si="41"/>
        <v>138.02246776506976</v>
      </c>
      <c r="I96" s="304">
        <f t="shared" ca="1" si="42"/>
        <v>140.54710318151547</v>
      </c>
      <c r="J96" s="306">
        <f t="shared" ca="1" si="43"/>
        <v>11.646583342379879</v>
      </c>
      <c r="K96" s="307">
        <f t="shared" ca="1" si="44"/>
        <v>62.41823971967262</v>
      </c>
      <c r="L96" s="304">
        <f t="shared" ca="1" si="29"/>
        <v>63.4955081344619</v>
      </c>
      <c r="M96" s="306">
        <f t="shared" ca="1" si="45"/>
        <v>1.3809703537716289</v>
      </c>
      <c r="N96" s="304">
        <f t="shared" ca="1" si="46"/>
        <v>79.123772903802546</v>
      </c>
      <c r="P96" s="310">
        <f t="shared" ca="1" si="47"/>
        <v>9</v>
      </c>
      <c r="Q96" s="304">
        <f t="shared" ca="1" si="48"/>
        <v>1276.0059999999996</v>
      </c>
      <c r="R96" s="306">
        <f t="shared" ca="1" si="49"/>
        <v>0.62706985822394257</v>
      </c>
      <c r="S96" s="307">
        <f t="shared" ca="1" si="50"/>
        <v>7.5474715551047389</v>
      </c>
      <c r="T96" s="304">
        <f t="shared" ca="1" si="30"/>
        <v>74.04069595557749</v>
      </c>
      <c r="U96" s="311">
        <f t="shared" ca="1" si="31"/>
        <v>0</v>
      </c>
      <c r="V96" s="306">
        <f t="shared" ca="1" si="32"/>
        <v>1.2173775546155032</v>
      </c>
      <c r="W96" s="304">
        <f t="shared" ca="1" si="33"/>
        <v>62.76225246699088</v>
      </c>
      <c r="Y96" s="314" t="str">
        <f t="shared" ca="1" si="51"/>
        <v/>
      </c>
      <c r="Z96" s="315" t="str">
        <f t="shared" ca="1" si="52"/>
        <v/>
      </c>
      <c r="AA96" s="316" t="str">
        <f t="shared" ca="1" si="53"/>
        <v/>
      </c>
      <c r="AC96" s="310" t="e">
        <f t="shared" ca="1" si="54"/>
        <v>#N/A</v>
      </c>
      <c r="AD96" s="323" t="e">
        <f t="shared" ca="1" si="55"/>
        <v>#N/A</v>
      </c>
      <c r="AE96" s="324">
        <f t="shared" ca="1" si="34"/>
        <v>62.41823971967262</v>
      </c>
      <c r="AG96" s="306">
        <f t="shared" ca="1" si="56"/>
        <v>151.29128886901847</v>
      </c>
      <c r="AH96" s="304">
        <f t="shared" ca="1" si="57"/>
        <v>160.92531622369768</v>
      </c>
    </row>
    <row r="97" spans="1:34" x14ac:dyDescent="0.2">
      <c r="A97" s="347">
        <f t="shared" ca="1" si="35"/>
        <v>0.01</v>
      </c>
      <c r="B97" s="304">
        <f t="shared" ca="1" si="36"/>
        <v>0.9300000000000006</v>
      </c>
      <c r="D97" s="306">
        <f t="shared" ca="1" si="37"/>
        <v>30.279483971917919</v>
      </c>
      <c r="E97" s="307">
        <f t="shared" ca="1" si="38"/>
        <v>147.78124437950547</v>
      </c>
      <c r="F97" s="304">
        <f t="shared" ca="1" si="39"/>
        <v>150.85139488901237</v>
      </c>
      <c r="G97" s="306">
        <f t="shared" ca="1" si="40"/>
        <v>26.822346207640813</v>
      </c>
      <c r="H97" s="307">
        <f t="shared" ca="1" si="41"/>
        <v>139.50028020886481</v>
      </c>
      <c r="I97" s="304">
        <f t="shared" ca="1" si="42"/>
        <v>142.05550476639172</v>
      </c>
      <c r="J97" s="306">
        <f t="shared" ca="1" si="43"/>
        <v>11.91329283025769</v>
      </c>
      <c r="K97" s="307">
        <f t="shared" ca="1" si="44"/>
        <v>63.805853459542291</v>
      </c>
      <c r="L97" s="304">
        <f t="shared" ca="1" si="29"/>
        <v>64.908500843572511</v>
      </c>
      <c r="M97" s="306">
        <f t="shared" ca="1" si="45"/>
        <v>1.3808400505315139</v>
      </c>
      <c r="N97" s="304">
        <f t="shared" ca="1" si="46"/>
        <v>79.116307078087075</v>
      </c>
      <c r="P97" s="310">
        <f t="shared" ca="1" si="47"/>
        <v>9</v>
      </c>
      <c r="Q97" s="304">
        <f t="shared" ca="1" si="48"/>
        <v>1272.9299999999996</v>
      </c>
      <c r="R97" s="306">
        <f t="shared" ca="1" si="49"/>
        <v>0.6255582141690581</v>
      </c>
      <c r="S97" s="307">
        <f t="shared" ca="1" si="50"/>
        <v>7.5412159729630481</v>
      </c>
      <c r="T97" s="304">
        <f t="shared" ca="1" si="30"/>
        <v>73.979328694767503</v>
      </c>
      <c r="U97" s="311">
        <f t="shared" ca="1" si="31"/>
        <v>0</v>
      </c>
      <c r="V97" s="306">
        <f t="shared" ca="1" si="32"/>
        <v>1.2172086396709763</v>
      </c>
      <c r="W97" s="304">
        <f t="shared" ca="1" si="33"/>
        <v>64.107758962855442</v>
      </c>
      <c r="Y97" s="314" t="str">
        <f t="shared" ca="1" si="51"/>
        <v/>
      </c>
      <c r="Z97" s="315" t="str">
        <f t="shared" ca="1" si="52"/>
        <v/>
      </c>
      <c r="AA97" s="316" t="str">
        <f t="shared" ca="1" si="53"/>
        <v/>
      </c>
      <c r="AC97" s="310" t="e">
        <f t="shared" ca="1" si="54"/>
        <v>#N/A</v>
      </c>
      <c r="AD97" s="323" t="e">
        <f t="shared" ca="1" si="55"/>
        <v>#N/A</v>
      </c>
      <c r="AE97" s="324">
        <f t="shared" ca="1" si="34"/>
        <v>63.805853459542291</v>
      </c>
      <c r="AG97" s="306">
        <f t="shared" ca="1" si="56"/>
        <v>150.84003789007184</v>
      </c>
      <c r="AH97" s="304">
        <f t="shared" ca="1" si="57"/>
        <v>160.47382171147621</v>
      </c>
    </row>
    <row r="98" spans="1:34" x14ac:dyDescent="0.2">
      <c r="A98" s="347">
        <f t="shared" ca="1" si="35"/>
        <v>0.01</v>
      </c>
      <c r="B98" s="304">
        <f t="shared" ca="1" si="36"/>
        <v>0.94000000000000061</v>
      </c>
      <c r="D98" s="306">
        <f t="shared" ca="1" si="37"/>
        <v>30.214316060893928</v>
      </c>
      <c r="E98" s="307">
        <f t="shared" ca="1" si="38"/>
        <v>147.33156860793997</v>
      </c>
      <c r="F98" s="304">
        <f t="shared" ca="1" si="39"/>
        <v>150.39779254863987</v>
      </c>
      <c r="G98" s="306">
        <f t="shared" ca="1" si="40"/>
        <v>27.124489368249751</v>
      </c>
      <c r="H98" s="307">
        <f t="shared" ca="1" si="41"/>
        <v>140.9735958949442</v>
      </c>
      <c r="I98" s="304">
        <f t="shared" ca="1" si="42"/>
        <v>143.55936981973457</v>
      </c>
      <c r="J98" s="306">
        <f t="shared" ca="1" si="43"/>
        <v>12.183027008137143</v>
      </c>
      <c r="K98" s="307">
        <f t="shared" ca="1" si="44"/>
        <v>65.208222840061339</v>
      </c>
      <c r="L98" s="304">
        <f t="shared" ca="1" si="29"/>
        <v>66.336554576191972</v>
      </c>
      <c r="M98" s="306">
        <f t="shared" ca="1" si="45"/>
        <v>1.38071102485005</v>
      </c>
      <c r="N98" s="304">
        <f t="shared" ca="1" si="46"/>
        <v>79.108914451090399</v>
      </c>
      <c r="P98" s="310">
        <f t="shared" ca="1" si="47"/>
        <v>9</v>
      </c>
      <c r="Q98" s="304">
        <f t="shared" ca="1" si="48"/>
        <v>1269.8539999999998</v>
      </c>
      <c r="R98" s="306">
        <f t="shared" ca="1" si="49"/>
        <v>0.62404657011417375</v>
      </c>
      <c r="S98" s="307">
        <f t="shared" ca="1" si="50"/>
        <v>7.5349755072619065</v>
      </c>
      <c r="T98" s="304">
        <f t="shared" ca="1" si="30"/>
        <v>73.918109726239308</v>
      </c>
      <c r="U98" s="311">
        <f t="shared" ca="1" si="31"/>
        <v>0</v>
      </c>
      <c r="V98" s="306">
        <f t="shared" ca="1" si="32"/>
        <v>1.2170379522512855</v>
      </c>
      <c r="W98" s="304">
        <f t="shared" ca="1" si="33"/>
        <v>65.4631112093155</v>
      </c>
      <c r="Y98" s="314" t="str">
        <f t="shared" ca="1" si="51"/>
        <v/>
      </c>
      <c r="Z98" s="315" t="str">
        <f t="shared" ca="1" si="52"/>
        <v/>
      </c>
      <c r="AA98" s="316" t="str">
        <f t="shared" ca="1" si="53"/>
        <v/>
      </c>
      <c r="AC98" s="310" t="e">
        <f t="shared" ca="1" si="54"/>
        <v>#N/A</v>
      </c>
      <c r="AD98" s="323" t="e">
        <f t="shared" ca="1" si="55"/>
        <v>#N/A</v>
      </c>
      <c r="AE98" s="324">
        <f t="shared" ca="1" si="34"/>
        <v>65.208222840061339</v>
      </c>
      <c r="AG98" s="306">
        <f t="shared" ca="1" si="56"/>
        <v>150.38638583814895</v>
      </c>
      <c r="AH98" s="304">
        <f t="shared" ca="1" si="57"/>
        <v>160.01992838265957</v>
      </c>
    </row>
    <row r="99" spans="1:34" x14ac:dyDescent="0.2">
      <c r="A99" s="347">
        <f t="shared" ca="1" si="35"/>
        <v>0.01</v>
      </c>
      <c r="B99" s="304">
        <f t="shared" ca="1" si="36"/>
        <v>0.95000000000000062</v>
      </c>
      <c r="D99" s="306">
        <f t="shared" ca="1" si="37"/>
        <v>30.148381499748332</v>
      </c>
      <c r="E99" s="307">
        <f t="shared" ca="1" si="38"/>
        <v>146.8796133133134</v>
      </c>
      <c r="F99" s="304">
        <f t="shared" ca="1" si="39"/>
        <v>149.94180775928652</v>
      </c>
      <c r="G99" s="306">
        <f t="shared" ca="1" si="40"/>
        <v>27.425973183247233</v>
      </c>
      <c r="H99" s="307">
        <f t="shared" ca="1" si="41"/>
        <v>142.44239202807734</v>
      </c>
      <c r="I99" s="304">
        <f t="shared" ca="1" si="42"/>
        <v>145.05867451389685</v>
      </c>
      <c r="J99" s="306">
        <f t="shared" ca="1" si="43"/>
        <v>12.455779320894628</v>
      </c>
      <c r="K99" s="307">
        <f t="shared" ca="1" si="44"/>
        <v>66.625302779676446</v>
      </c>
      <c r="L99" s="304">
        <f t="shared" ca="1" si="29"/>
        <v>67.779623847985377</v>
      </c>
      <c r="M99" s="306">
        <f t="shared" ca="1" si="45"/>
        <v>1.3805832470720414</v>
      </c>
      <c r="N99" s="304">
        <f t="shared" ca="1" si="46"/>
        <v>79.101593323694942</v>
      </c>
      <c r="P99" s="310">
        <f t="shared" ca="1" si="47"/>
        <v>9</v>
      </c>
      <c r="Q99" s="304">
        <f t="shared" ca="1" si="48"/>
        <v>1266.7779999999998</v>
      </c>
      <c r="R99" s="306">
        <f t="shared" ca="1" si="49"/>
        <v>0.6225349260592894</v>
      </c>
      <c r="S99" s="307">
        <f t="shared" ca="1" si="50"/>
        <v>7.5287501580013139</v>
      </c>
      <c r="T99" s="304">
        <f t="shared" ca="1" si="30"/>
        <v>73.857039049992892</v>
      </c>
      <c r="U99" s="311">
        <f t="shared" ca="1" si="31"/>
        <v>0</v>
      </c>
      <c r="V99" s="306">
        <f t="shared" ca="1" si="32"/>
        <v>1.2168654985904581</v>
      </c>
      <c r="W99" s="304">
        <f t="shared" ca="1" si="33"/>
        <v>66.828147288446061</v>
      </c>
      <c r="Y99" s="314" t="str">
        <f t="shared" ca="1" si="51"/>
        <v/>
      </c>
      <c r="Z99" s="315" t="str">
        <f t="shared" ca="1" si="52"/>
        <v/>
      </c>
      <c r="AA99" s="316" t="str">
        <f t="shared" ca="1" si="53"/>
        <v/>
      </c>
      <c r="AC99" s="310" t="e">
        <f t="shared" ca="1" si="54"/>
        <v>#N/A</v>
      </c>
      <c r="AD99" s="323" t="e">
        <f t="shared" ca="1" si="55"/>
        <v>#N/A</v>
      </c>
      <c r="AE99" s="324">
        <f t="shared" ca="1" si="34"/>
        <v>66.625302779676446</v>
      </c>
      <c r="AG99" s="306">
        <f t="shared" ca="1" si="56"/>
        <v>149.93035099641236</v>
      </c>
      <c r="AH99" s="304">
        <f t="shared" ca="1" si="57"/>
        <v>159.56365446845987</v>
      </c>
    </row>
    <row r="100" spans="1:34" x14ac:dyDescent="0.2">
      <c r="A100" s="347">
        <f t="shared" ca="1" si="35"/>
        <v>0.01</v>
      </c>
      <c r="B100" s="304">
        <f t="shared" ca="1" si="36"/>
        <v>0.96000000000000063</v>
      </c>
      <c r="D100" s="306">
        <f t="shared" ca="1" si="37"/>
        <v>30.081689225145968</v>
      </c>
      <c r="E100" s="307">
        <f t="shared" ca="1" si="38"/>
        <v>146.42539558087253</v>
      </c>
      <c r="F100" s="304">
        <f t="shared" ca="1" si="39"/>
        <v>149.48345894330004</v>
      </c>
      <c r="G100" s="306">
        <f t="shared" ca="1" si="40"/>
        <v>27.726790075498695</v>
      </c>
      <c r="H100" s="307">
        <f t="shared" ca="1" si="41"/>
        <v>143.90664598388605</v>
      </c>
      <c r="I100" s="304">
        <f t="shared" ca="1" si="42"/>
        <v>146.55339520537314</v>
      </c>
      <c r="J100" s="306">
        <f t="shared" ca="1" si="43"/>
        <v>12.731543137188357</v>
      </c>
      <c r="K100" s="307">
        <f t="shared" ca="1" si="44"/>
        <v>68.05704796973626</v>
      </c>
      <c r="L100" s="304">
        <f t="shared" ca="1" si="29"/>
        <v>69.237662937227086</v>
      </c>
      <c r="M100" s="306">
        <f t="shared" ca="1" si="45"/>
        <v>1.3804566885289715</v>
      </c>
      <c r="N100" s="304">
        <f t="shared" ca="1" si="46"/>
        <v>79.094342053315714</v>
      </c>
      <c r="P100" s="310">
        <f t="shared" ca="1" si="47"/>
        <v>9</v>
      </c>
      <c r="Q100" s="304">
        <f t="shared" ca="1" si="48"/>
        <v>1263.7019999999998</v>
      </c>
      <c r="R100" s="306">
        <f t="shared" ca="1" si="49"/>
        <v>0.62102328200440493</v>
      </c>
      <c r="S100" s="307">
        <f t="shared" ca="1" si="50"/>
        <v>7.5225399251812695</v>
      </c>
      <c r="T100" s="304">
        <f t="shared" ca="1" si="30"/>
        <v>73.796116666028254</v>
      </c>
      <c r="U100" s="311">
        <f t="shared" ca="1" si="31"/>
        <v>0</v>
      </c>
      <c r="V100" s="306">
        <f t="shared" ca="1" si="32"/>
        <v>1.2166912849546276</v>
      </c>
      <c r="W100" s="304">
        <f t="shared" ca="1" si="33"/>
        <v>68.20270496807197</v>
      </c>
      <c r="Y100" s="314" t="str">
        <f t="shared" ca="1" si="51"/>
        <v/>
      </c>
      <c r="Z100" s="315" t="str">
        <f t="shared" ca="1" si="52"/>
        <v/>
      </c>
      <c r="AA100" s="316" t="str">
        <f t="shared" ca="1" si="53"/>
        <v/>
      </c>
      <c r="AC100" s="310" t="e">
        <f t="shared" ca="1" si="54"/>
        <v>#N/A</v>
      </c>
      <c r="AD100" s="323" t="e">
        <f t="shared" ca="1" si="55"/>
        <v>#N/A</v>
      </c>
      <c r="AE100" s="324">
        <f t="shared" ca="1" si="34"/>
        <v>68.05704796973626</v>
      </c>
      <c r="AG100" s="306">
        <f t="shared" ca="1" si="56"/>
        <v>149.4719517798668</v>
      </c>
      <c r="AH100" s="304">
        <f t="shared" ca="1" si="57"/>
        <v>159.10501833364651</v>
      </c>
    </row>
    <row r="101" spans="1:34" x14ac:dyDescent="0.2">
      <c r="A101" s="347">
        <f t="shared" ca="1" si="35"/>
        <v>0.01</v>
      </c>
      <c r="B101" s="304">
        <f t="shared" ca="1" si="36"/>
        <v>0.97000000000000064</v>
      </c>
      <c r="D101" s="306">
        <f t="shared" ca="1" si="37"/>
        <v>30.014248017494012</v>
      </c>
      <c r="E101" s="307">
        <f t="shared" ca="1" si="38"/>
        <v>145.96893265556378</v>
      </c>
      <c r="F101" s="304">
        <f t="shared" ca="1" si="39"/>
        <v>149.0227646524522</v>
      </c>
      <c r="G101" s="306">
        <f t="shared" ca="1" si="40"/>
        <v>28.026932555673636</v>
      </c>
      <c r="H101" s="307">
        <f t="shared" ca="1" si="41"/>
        <v>145.36633531044168</v>
      </c>
      <c r="I101" s="304">
        <f t="shared" ca="1" si="42"/>
        <v>148.0435084360947</v>
      </c>
      <c r="J101" s="306">
        <f t="shared" ca="1" si="43"/>
        <v>13.010311750344218</v>
      </c>
      <c r="K101" s="307">
        <f t="shared" ca="1" si="44"/>
        <v>69.503412876207904</v>
      </c>
      <c r="L101" s="304">
        <f t="shared" ca="1" si="29"/>
        <v>70.710625886649936</v>
      </c>
      <c r="M101" s="306">
        <f t="shared" ca="1" si="45"/>
        <v>1.3803313214953581</v>
      </c>
      <c r="N101" s="304">
        <f t="shared" ca="1" si="46"/>
        <v>79.087159051399581</v>
      </c>
      <c r="P101" s="310">
        <f t="shared" ca="1" si="47"/>
        <v>9</v>
      </c>
      <c r="Q101" s="304">
        <f t="shared" ca="1" si="48"/>
        <v>1260.6259999999997</v>
      </c>
      <c r="R101" s="306">
        <f t="shared" ca="1" si="49"/>
        <v>0.61951163794952047</v>
      </c>
      <c r="S101" s="307">
        <f t="shared" ca="1" si="50"/>
        <v>7.5163448088017741</v>
      </c>
      <c r="T101" s="304">
        <f t="shared" ca="1" si="30"/>
        <v>73.73534257434541</v>
      </c>
      <c r="U101" s="311">
        <f t="shared" ca="1" si="31"/>
        <v>0</v>
      </c>
      <c r="V101" s="306">
        <f t="shared" ca="1" si="32"/>
        <v>1.2165153176417181</v>
      </c>
      <c r="W101" s="304">
        <f t="shared" ca="1" si="33"/>
        <v>69.586621721746695</v>
      </c>
      <c r="Y101" s="314" t="str">
        <f t="shared" ca="1" si="51"/>
        <v/>
      </c>
      <c r="Z101" s="315" t="str">
        <f t="shared" ca="1" si="52"/>
        <v/>
      </c>
      <c r="AA101" s="316" t="str">
        <f t="shared" ca="1" si="53"/>
        <v/>
      </c>
      <c r="AC101" s="310" t="e">
        <f t="shared" ca="1" si="54"/>
        <v>#N/A</v>
      </c>
      <c r="AD101" s="323" t="e">
        <f t="shared" ca="1" si="55"/>
        <v>#N/A</v>
      </c>
      <c r="AE101" s="324">
        <f t="shared" ca="1" si="34"/>
        <v>69.503412876207904</v>
      </c>
      <c r="AG101" s="306">
        <f t="shared" ca="1" si="56"/>
        <v>149.01120673295924</v>
      </c>
      <c r="AH101" s="304">
        <f t="shared" ca="1" si="57"/>
        <v>158.64403847407038</v>
      </c>
    </row>
    <row r="102" spans="1:34" x14ac:dyDescent="0.2">
      <c r="A102" s="347">
        <f t="shared" ca="1" si="35"/>
        <v>0.01</v>
      </c>
      <c r="B102" s="304">
        <f t="shared" ca="1" si="36"/>
        <v>0.98000000000000065</v>
      </c>
      <c r="D102" s="306">
        <f t="shared" ca="1" si="37"/>
        <v>29.946066508700934</v>
      </c>
      <c r="E102" s="307">
        <f t="shared" ca="1" si="38"/>
        <v>145.51024193819154</v>
      </c>
      <c r="F102" s="304">
        <f t="shared" ca="1" si="39"/>
        <v>148.55974356552511</v>
      </c>
      <c r="G102" s="306">
        <f t="shared" ca="1" si="40"/>
        <v>28.326393220760647</v>
      </c>
      <c r="H102" s="307">
        <f t="shared" ca="1" si="41"/>
        <v>146.8214377298236</v>
      </c>
      <c r="I102" s="304">
        <f t="shared" ca="1" si="42"/>
        <v>149.52899093470009</v>
      </c>
      <c r="J102" s="306">
        <f t="shared" ca="1" si="43"/>
        <v>13.292078379226389</v>
      </c>
      <c r="K102" s="307">
        <f t="shared" ca="1" si="44"/>
        <v>70.964351741409232</v>
      </c>
      <c r="L102" s="304">
        <f t="shared" ca="1" si="29"/>
        <v>72.198466505307081</v>
      </c>
      <c r="M102" s="306">
        <f t="shared" ca="1" si="45"/>
        <v>1.3802071191474996</v>
      </c>
      <c r="N102" s="304">
        <f t="shared" ca="1" si="46"/>
        <v>79.080042781061678</v>
      </c>
      <c r="P102" s="310">
        <f t="shared" ca="1" si="47"/>
        <v>9</v>
      </c>
      <c r="Q102" s="304">
        <f t="shared" ca="1" si="48"/>
        <v>1257.5499999999997</v>
      </c>
      <c r="R102" s="306">
        <f t="shared" ca="1" si="49"/>
        <v>0.61799999389463611</v>
      </c>
      <c r="S102" s="307">
        <f t="shared" ca="1" si="50"/>
        <v>7.5101648088628279</v>
      </c>
      <c r="T102" s="304">
        <f t="shared" ca="1" si="30"/>
        <v>73.674716774944343</v>
      </c>
      <c r="U102" s="311">
        <f t="shared" ca="1" si="31"/>
        <v>0</v>
      </c>
      <c r="V102" s="306">
        <f t="shared" ca="1" si="32"/>
        <v>1.2163376029811261</v>
      </c>
      <c r="W102" s="304">
        <f t="shared" ca="1" si="33"/>
        <v>70.979734748714449</v>
      </c>
      <c r="Y102" s="314" t="str">
        <f t="shared" ca="1" si="51"/>
        <v/>
      </c>
      <c r="Z102" s="315" t="str">
        <f t="shared" ca="1" si="52"/>
        <v/>
      </c>
      <c r="AA102" s="316" t="str">
        <f t="shared" ca="1" si="53"/>
        <v/>
      </c>
      <c r="AC102" s="310" t="e">
        <f t="shared" ca="1" si="54"/>
        <v>#N/A</v>
      </c>
      <c r="AD102" s="323" t="e">
        <f t="shared" ca="1" si="55"/>
        <v>#N/A</v>
      </c>
      <c r="AE102" s="324">
        <f t="shared" ca="1" si="34"/>
        <v>70.964351741409232</v>
      </c>
      <c r="AG102" s="306">
        <f t="shared" ca="1" si="56"/>
        <v>148.54813452715987</v>
      </c>
      <c r="AH102" s="304">
        <f t="shared" ca="1" si="57"/>
        <v>158.18073351417326</v>
      </c>
    </row>
    <row r="103" spans="1:34" x14ac:dyDescent="0.2">
      <c r="A103" s="347">
        <f t="shared" ca="1" si="35"/>
        <v>0.01</v>
      </c>
      <c r="B103" s="304">
        <f t="shared" ca="1" si="36"/>
        <v>0.99000000000000066</v>
      </c>
      <c r="D103" s="306">
        <f t="shared" ca="1" si="37"/>
        <v>29.877153189480769</v>
      </c>
      <c r="E103" s="307">
        <f t="shared" ca="1" si="38"/>
        <v>145.04934098163864</v>
      </c>
      <c r="F103" s="304">
        <f t="shared" ca="1" si="39"/>
        <v>148.09441448587916</v>
      </c>
      <c r="G103" s="306">
        <f t="shared" ca="1" si="40"/>
        <v>28.625164752655454</v>
      </c>
      <c r="H103" s="307">
        <f t="shared" ca="1" si="41"/>
        <v>148.27193113963997</v>
      </c>
      <c r="I103" s="304">
        <f t="shared" ca="1" si="42"/>
        <v>151.00981961778118</v>
      </c>
      <c r="J103" s="306">
        <f t="shared" ca="1" si="43"/>
        <v>13.57683616909347</v>
      </c>
      <c r="K103" s="307">
        <f t="shared" ca="1" si="44"/>
        <v>72.439818585756555</v>
      </c>
      <c r="L103" s="304">
        <f t="shared" ca="1" si="29"/>
        <v>73.701138370446671</v>
      </c>
      <c r="M103" s="306">
        <f t="shared" ca="1" si="45"/>
        <v>1.3800840555244582</v>
      </c>
      <c r="N103" s="304">
        <f t="shared" ca="1" si="46"/>
        <v>79.072991754849824</v>
      </c>
      <c r="P103" s="310">
        <f t="shared" ca="1" si="47"/>
        <v>9</v>
      </c>
      <c r="Q103" s="304">
        <f t="shared" ca="1" si="48"/>
        <v>1254.4739999999997</v>
      </c>
      <c r="R103" s="306">
        <f t="shared" ca="1" si="49"/>
        <v>0.61648834983975165</v>
      </c>
      <c r="S103" s="307">
        <f t="shared" ca="1" si="50"/>
        <v>7.5039999253644307</v>
      </c>
      <c r="T103" s="304">
        <f t="shared" ca="1" si="30"/>
        <v>73.61423926782507</v>
      </c>
      <c r="U103" s="311">
        <f t="shared" ca="1" si="31"/>
        <v>0</v>
      </c>
      <c r="V103" s="306">
        <f t="shared" ca="1" si="32"/>
        <v>1.2161581473334013</v>
      </c>
      <c r="W103" s="304">
        <f t="shared" ca="1" si="33"/>
        <v>72.381880993851709</v>
      </c>
      <c r="Y103" s="314" t="str">
        <f t="shared" ca="1" si="51"/>
        <v/>
      </c>
      <c r="Z103" s="315" t="str">
        <f t="shared" ca="1" si="52"/>
        <v/>
      </c>
      <c r="AA103" s="316" t="str">
        <f t="shared" ca="1" si="53"/>
        <v/>
      </c>
      <c r="AC103" s="310" t="e">
        <f t="shared" ca="1" si="54"/>
        <v>#N/A</v>
      </c>
      <c r="AD103" s="323" t="e">
        <f t="shared" ca="1" si="55"/>
        <v>#N/A</v>
      </c>
      <c r="AE103" s="324">
        <f t="shared" ca="1" si="34"/>
        <v>72.439818585756555</v>
      </c>
      <c r="AG103" s="306">
        <f t="shared" ca="1" si="56"/>
        <v>148.08275395852522</v>
      </c>
      <c r="AH103" s="304">
        <f t="shared" ca="1" si="57"/>
        <v>157.71512220448338</v>
      </c>
    </row>
    <row r="104" spans="1:34" x14ac:dyDescent="0.2">
      <c r="A104" s="347">
        <f t="shared" ca="1" si="35"/>
        <v>0.01</v>
      </c>
      <c r="B104" s="304">
        <f t="shared" ca="1" si="36"/>
        <v>1.0000000000000007</v>
      </c>
      <c r="D104" s="306">
        <f t="shared" ca="1" si="37"/>
        <v>29.807516416232229</v>
      </c>
      <c r="E104" s="307">
        <f t="shared" ca="1" si="38"/>
        <v>144.58624748714428</v>
      </c>
      <c r="F104" s="304">
        <f t="shared" ca="1" si="39"/>
        <v>147.62679633900373</v>
      </c>
      <c r="G104" s="306">
        <f t="shared" ca="1" si="40"/>
        <v>28.923239916817778</v>
      </c>
      <c r="H104" s="307">
        <f t="shared" ca="1" si="41"/>
        <v>149.71779361451141</v>
      </c>
      <c r="I104" s="304">
        <f t="shared" ca="1" si="42"/>
        <v>152.48597159110483</v>
      </c>
      <c r="J104" s="306">
        <f t="shared" ca="1" si="43"/>
        <v>13.864578192440836</v>
      </c>
      <c r="K104" s="307">
        <f t="shared" ca="1" si="44"/>
        <v>73.929767209527313</v>
      </c>
      <c r="L104" s="304">
        <f t="shared" ca="1" si="29"/>
        <v>75.218594829398441</v>
      </c>
      <c r="M104" s="306">
        <f t="shared" ca="1" si="45"/>
        <v>1.3799621054911357</v>
      </c>
      <c r="N104" s="304">
        <f t="shared" ca="1" si="46"/>
        <v>79.066004532628966</v>
      </c>
      <c r="P104" s="310">
        <f t="shared" ca="1" si="47"/>
        <v>9</v>
      </c>
      <c r="Q104" s="304">
        <f t="shared" ca="1" si="48"/>
        <v>1251.3979999999997</v>
      </c>
      <c r="R104" s="306">
        <f t="shared" ca="1" si="49"/>
        <v>0.61497670578486718</v>
      </c>
      <c r="S104" s="307">
        <f t="shared" ca="1" si="50"/>
        <v>7.4978501583065817</v>
      </c>
      <c r="T104" s="304">
        <f t="shared" ca="1" si="30"/>
        <v>73.553910052987575</v>
      </c>
      <c r="U104" s="311">
        <f t="shared" ca="1" si="31"/>
        <v>0</v>
      </c>
      <c r="V104" s="306">
        <f t="shared" ca="1" si="32"/>
        <v>1.2159769570899261</v>
      </c>
      <c r="W104" s="304">
        <f t="shared" ca="1" si="33"/>
        <v>73.792897167584087</v>
      </c>
      <c r="Y104" s="314" t="str">
        <f t="shared" ca="1" si="51"/>
        <v/>
      </c>
      <c r="Z104" s="315" t="str">
        <f t="shared" ca="1" si="52"/>
        <v/>
      </c>
      <c r="AA104" s="316" t="str">
        <f t="shared" ca="1" si="53"/>
        <v/>
      </c>
      <c r="AC104" s="310">
        <f t="shared" ca="1" si="54"/>
        <v>1.0000000000000007</v>
      </c>
      <c r="AD104" s="323">
        <f t="shared" ca="1" si="55"/>
        <v>13.864578192440836</v>
      </c>
      <c r="AE104" s="324">
        <f t="shared" ca="1" si="34"/>
        <v>73.929767209527313</v>
      </c>
      <c r="AG104" s="306">
        <f t="shared" ca="1" si="56"/>
        <v>147.61508394524407</v>
      </c>
      <c r="AH104" s="304">
        <f t="shared" ca="1" si="57"/>
        <v>157.24722341909717</v>
      </c>
    </row>
    <row r="105" spans="1:34" x14ac:dyDescent="0.2">
      <c r="A105" s="347">
        <f t="shared" ca="1" si="35"/>
        <v>0.01</v>
      </c>
      <c r="B105" s="304">
        <f t="shared" ca="1" si="36"/>
        <v>1.0100000000000007</v>
      </c>
      <c r="D105" s="306">
        <f t="shared" ca="1" si="37"/>
        <v>29.735694820633508</v>
      </c>
      <c r="E105" s="307">
        <f t="shared" ca="1" si="38"/>
        <v>144.11337210296603</v>
      </c>
      <c r="F105" s="304">
        <f t="shared" ca="1" si="39"/>
        <v>147.14916094002641</v>
      </c>
      <c r="G105" s="306">
        <f t="shared" ca="1" si="40"/>
        <v>29.220596865024113</v>
      </c>
      <c r="H105" s="307">
        <f t="shared" ca="1" si="41"/>
        <v>151.15892733554108</v>
      </c>
      <c r="I105" s="304">
        <f t="shared" ca="1" si="42"/>
        <v>153.95734667231585</v>
      </c>
      <c r="J105" s="306">
        <f t="shared" ca="1" si="43"/>
        <v>14.155297376350045</v>
      </c>
      <c r="K105" s="307">
        <f t="shared" ca="1" si="44"/>
        <v>75.434150814277572</v>
      </c>
      <c r="L105" s="304">
        <f t="shared" ca="1" si="29"/>
        <v>76.750788614085764</v>
      </c>
      <c r="M105" s="306">
        <f t="shared" ca="1" si="45"/>
        <v>1.3798412446424841</v>
      </c>
      <c r="N105" s="304">
        <f t="shared" ca="1" si="46"/>
        <v>79.059079716092853</v>
      </c>
      <c r="P105" s="310">
        <f t="shared" ca="1" si="47"/>
        <v>10</v>
      </c>
      <c r="Q105" s="304">
        <f t="shared" ca="1" si="48"/>
        <v>1248.2639999999997</v>
      </c>
      <c r="R105" s="306">
        <f t="shared" ca="1" si="49"/>
        <v>0.61343655868863578</v>
      </c>
      <c r="S105" s="307">
        <f t="shared" ca="1" si="50"/>
        <v>7.4917157927196953</v>
      </c>
      <c r="T105" s="304">
        <f t="shared" ca="1" si="30"/>
        <v>73.49373192658021</v>
      </c>
      <c r="U105" s="311">
        <f t="shared" ca="1" si="31"/>
        <v>0</v>
      </c>
      <c r="V105" s="306">
        <f t="shared" ca="1" si="32"/>
        <v>1.2157940387188346</v>
      </c>
      <c r="W105" s="304">
        <f t="shared" ca="1" si="33"/>
        <v>75.212544067718085</v>
      </c>
      <c r="Y105" s="314" t="str">
        <f t="shared" ca="1" si="51"/>
        <v/>
      </c>
      <c r="Z105" s="315" t="str">
        <f t="shared" ca="1" si="52"/>
        <v/>
      </c>
      <c r="AA105" s="316" t="str">
        <f t="shared" ca="1" si="53"/>
        <v/>
      </c>
      <c r="AC105" s="310" t="e">
        <f t="shared" ca="1" si="54"/>
        <v>#N/A</v>
      </c>
      <c r="AD105" s="323" t="e">
        <f t="shared" ca="1" si="55"/>
        <v>#N/A</v>
      </c>
      <c r="AE105" s="324">
        <f t="shared" ca="1" si="34"/>
        <v>75.434150814277572</v>
      </c>
      <c r="AG105" s="306">
        <f t="shared" ca="1" si="56"/>
        <v>147.13739567569783</v>
      </c>
      <c r="AH105" s="304">
        <f t="shared" ca="1" si="57"/>
        <v>156.76930830367911</v>
      </c>
    </row>
    <row r="106" spans="1:34" x14ac:dyDescent="0.2">
      <c r="A106" s="347">
        <f t="shared" ca="1" si="35"/>
        <v>0.01</v>
      </c>
      <c r="B106" s="304">
        <f t="shared" ca="1" si="36"/>
        <v>1.0200000000000007</v>
      </c>
      <c r="D106" s="306">
        <f t="shared" ca="1" si="37"/>
        <v>29.661690954639553</v>
      </c>
      <c r="E106" s="307">
        <f t="shared" ca="1" si="38"/>
        <v>143.63071883173478</v>
      </c>
      <c r="F106" s="304">
        <f t="shared" ca="1" si="39"/>
        <v>146.66151268280782</v>
      </c>
      <c r="G106" s="306">
        <f t="shared" ca="1" si="40"/>
        <v>29.517213774570507</v>
      </c>
      <c r="H106" s="307">
        <f t="shared" ca="1" si="41"/>
        <v>152.59523452385844</v>
      </c>
      <c r="I106" s="304">
        <f t="shared" ca="1" si="42"/>
        <v>155.42384472276143</v>
      </c>
      <c r="J106" s="306">
        <f t="shared" ca="1" si="43"/>
        <v>14.448986429548018</v>
      </c>
      <c r="K106" s="307">
        <f t="shared" ca="1" si="44"/>
        <v>76.952921623574568</v>
      </c>
      <c r="L106" s="304">
        <f t="shared" ca="1" si="29"/>
        <v>78.29767145480939</v>
      </c>
      <c r="M106" s="306">
        <f t="shared" ca="1" si="45"/>
        <v>1.3797214492746446</v>
      </c>
      <c r="N106" s="304">
        <f t="shared" ca="1" si="46"/>
        <v>79.052215947110426</v>
      </c>
      <c r="P106" s="310">
        <f t="shared" ca="1" si="47"/>
        <v>10</v>
      </c>
      <c r="Q106" s="304">
        <f t="shared" ca="1" si="48"/>
        <v>1245.0719999999997</v>
      </c>
      <c r="R106" s="306">
        <f t="shared" ca="1" si="49"/>
        <v>0.61186790855105744</v>
      </c>
      <c r="S106" s="307">
        <f t="shared" ca="1" si="50"/>
        <v>7.485597113634185</v>
      </c>
      <c r="T106" s="304">
        <f t="shared" ca="1" si="30"/>
        <v>73.433707684751354</v>
      </c>
      <c r="U106" s="311">
        <f t="shared" ca="1" si="31"/>
        <v>0</v>
      </c>
      <c r="V106" s="306">
        <f t="shared" ca="1" si="32"/>
        <v>1.2156093988109771</v>
      </c>
      <c r="W106" s="304">
        <f t="shared" ca="1" si="33"/>
        <v>76.640579319484715</v>
      </c>
      <c r="Y106" s="314" t="str">
        <f t="shared" ca="1" si="51"/>
        <v/>
      </c>
      <c r="Z106" s="315" t="str">
        <f t="shared" ca="1" si="52"/>
        <v/>
      </c>
      <c r="AA106" s="316" t="str">
        <f t="shared" ca="1" si="53"/>
        <v/>
      </c>
      <c r="AC106" s="310" t="e">
        <f t="shared" ca="1" si="54"/>
        <v>#N/A</v>
      </c>
      <c r="AD106" s="323" t="e">
        <f t="shared" ca="1" si="55"/>
        <v>#N/A</v>
      </c>
      <c r="AE106" s="324">
        <f t="shared" ca="1" si="34"/>
        <v>76.952921623574568</v>
      </c>
      <c r="AG106" s="306">
        <f t="shared" ca="1" si="56"/>
        <v>146.64969352071884</v>
      </c>
      <c r="AH106" s="304">
        <f t="shared" ca="1" si="57"/>
        <v>156.28138118754913</v>
      </c>
    </row>
    <row r="107" spans="1:34" x14ac:dyDescent="0.2">
      <c r="A107" s="347">
        <f t="shared" ca="1" si="35"/>
        <v>0.01</v>
      </c>
      <c r="B107" s="304">
        <f t="shared" ca="1" si="36"/>
        <v>1.0300000000000007</v>
      </c>
      <c r="D107" s="306">
        <f t="shared" ca="1" si="37"/>
        <v>29.586981228437768</v>
      </c>
      <c r="E107" s="307">
        <f t="shared" ca="1" si="38"/>
        <v>143.14591155341529</v>
      </c>
      <c r="F107" s="304">
        <f t="shared" ca="1" si="39"/>
        <v>146.17161643995772</v>
      </c>
      <c r="G107" s="306">
        <f t="shared" ca="1" si="40"/>
        <v>29.813083586854884</v>
      </c>
      <c r="H107" s="307">
        <f t="shared" ca="1" si="41"/>
        <v>154.02669363939259</v>
      </c>
      <c r="I107" s="304">
        <f t="shared" ca="1" si="42"/>
        <v>156.88544325857674</v>
      </c>
      <c r="J107" s="306">
        <f t="shared" ca="1" si="43"/>
        <v>14.745637916355145</v>
      </c>
      <c r="K107" s="307">
        <f t="shared" ca="1" si="44"/>
        <v>78.486031264390817</v>
      </c>
      <c r="L107" s="304">
        <f t="shared" ca="1" si="29"/>
        <v>79.859194468734671</v>
      </c>
      <c r="M107" s="306">
        <f t="shared" ca="1" si="45"/>
        <v>1.379602696416228</v>
      </c>
      <c r="N107" s="304">
        <f t="shared" ca="1" si="46"/>
        <v>79.045411909518052</v>
      </c>
      <c r="P107" s="310">
        <f t="shared" ca="1" si="47"/>
        <v>10</v>
      </c>
      <c r="Q107" s="304">
        <f t="shared" ca="1" si="48"/>
        <v>1241.8799999999997</v>
      </c>
      <c r="R107" s="306">
        <f t="shared" ca="1" si="49"/>
        <v>0.6102992584134791</v>
      </c>
      <c r="S107" s="307">
        <f t="shared" ca="1" si="50"/>
        <v>7.4794941210500498</v>
      </c>
      <c r="T107" s="304">
        <f t="shared" ca="1" si="30"/>
        <v>73.373837327500993</v>
      </c>
      <c r="U107" s="311">
        <f t="shared" ca="1" si="31"/>
        <v>0</v>
      </c>
      <c r="V107" s="306">
        <f t="shared" ca="1" si="32"/>
        <v>1.2154230440333831</v>
      </c>
      <c r="W107" s="304">
        <f t="shared" ca="1" si="33"/>
        <v>78.076834661286782</v>
      </c>
      <c r="Y107" s="314" t="str">
        <f t="shared" ca="1" si="51"/>
        <v/>
      </c>
      <c r="Z107" s="315" t="str">
        <f t="shared" ca="1" si="52"/>
        <v/>
      </c>
      <c r="AA107" s="316" t="str">
        <f t="shared" ca="1" si="53"/>
        <v/>
      </c>
      <c r="AC107" s="310" t="e">
        <f t="shared" ca="1" si="54"/>
        <v>#N/A</v>
      </c>
      <c r="AD107" s="323" t="e">
        <f t="shared" ca="1" si="55"/>
        <v>#N/A</v>
      </c>
      <c r="AE107" s="324">
        <f t="shared" ca="1" si="34"/>
        <v>78.486031264390817</v>
      </c>
      <c r="AG107" s="306">
        <f t="shared" ca="1" si="56"/>
        <v>146.15974295971139</v>
      </c>
      <c r="AH107" s="304">
        <f t="shared" ca="1" si="57"/>
        <v>155.79120750975687</v>
      </c>
    </row>
    <row r="108" spans="1:34" x14ac:dyDescent="0.2">
      <c r="A108" s="347">
        <f t="shared" ca="1" si="35"/>
        <v>0.01</v>
      </c>
      <c r="B108" s="304">
        <f t="shared" ca="1" si="36"/>
        <v>1.0400000000000007</v>
      </c>
      <c r="D108" s="306">
        <f t="shared" ca="1" si="37"/>
        <v>29.511573724298358</v>
      </c>
      <c r="E108" s="307">
        <f t="shared" ca="1" si="38"/>
        <v>142.65896925660761</v>
      </c>
      <c r="F108" s="304">
        <f t="shared" ca="1" si="39"/>
        <v>145.67949235579596</v>
      </c>
      <c r="G108" s="306">
        <f t="shared" ca="1" si="40"/>
        <v>30.108199324097868</v>
      </c>
      <c r="H108" s="307">
        <f t="shared" ca="1" si="41"/>
        <v>155.45328333195866</v>
      </c>
      <c r="I108" s="304">
        <f t="shared" ca="1" si="42"/>
        <v>158.34211999725727</v>
      </c>
      <c r="J108" s="306">
        <f t="shared" ca="1" si="43"/>
        <v>15.04524433090991</v>
      </c>
      <c r="K108" s="307">
        <f t="shared" ca="1" si="44"/>
        <v>80.033431149247576</v>
      </c>
      <c r="L108" s="304">
        <f t="shared" ca="1" si="29"/>
        <v>81.435308549167601</v>
      </c>
      <c r="M108" s="306">
        <f t="shared" ca="1" si="45"/>
        <v>1.3794849637981568</v>
      </c>
      <c r="N108" s="304">
        <f t="shared" ca="1" si="46"/>
        <v>79.038666327391539</v>
      </c>
      <c r="P108" s="310">
        <f t="shared" ca="1" si="47"/>
        <v>10</v>
      </c>
      <c r="Q108" s="304">
        <f t="shared" ca="1" si="48"/>
        <v>1238.6879999999996</v>
      </c>
      <c r="R108" s="306">
        <f t="shared" ca="1" si="49"/>
        <v>0.60873060827590064</v>
      </c>
      <c r="S108" s="307">
        <f t="shared" ca="1" si="50"/>
        <v>7.4734068149672908</v>
      </c>
      <c r="T108" s="304">
        <f t="shared" ca="1" si="30"/>
        <v>73.314120854829127</v>
      </c>
      <c r="U108" s="311">
        <f t="shared" ca="1" si="31"/>
        <v>0</v>
      </c>
      <c r="V108" s="306">
        <f t="shared" ca="1" si="32"/>
        <v>1.2152349810826768</v>
      </c>
      <c r="W108" s="304">
        <f t="shared" ca="1" si="33"/>
        <v>79.5211417115258</v>
      </c>
      <c r="Y108" s="314" t="str">
        <f t="shared" ca="1" si="51"/>
        <v/>
      </c>
      <c r="Z108" s="315" t="str">
        <f t="shared" ca="1" si="52"/>
        <v/>
      </c>
      <c r="AA108" s="316" t="str">
        <f t="shared" ca="1" si="53"/>
        <v/>
      </c>
      <c r="AC108" s="310" t="e">
        <f t="shared" ca="1" si="54"/>
        <v>#N/A</v>
      </c>
      <c r="AD108" s="323" t="e">
        <f t="shared" ca="1" si="55"/>
        <v>#N/A</v>
      </c>
      <c r="AE108" s="324">
        <f t="shared" ca="1" si="34"/>
        <v>80.033431149247576</v>
      </c>
      <c r="AG108" s="306">
        <f t="shared" ca="1" si="56"/>
        <v>145.66756412929223</v>
      </c>
      <c r="AH108" s="304">
        <f t="shared" ca="1" si="57"/>
        <v>155.29880736778713</v>
      </c>
    </row>
    <row r="109" spans="1:34" x14ac:dyDescent="0.2">
      <c r="A109" s="347">
        <f t="shared" ca="1" si="35"/>
        <v>0.01</v>
      </c>
      <c r="B109" s="304">
        <f t="shared" ca="1" si="36"/>
        <v>1.0500000000000007</v>
      </c>
      <c r="D109" s="306">
        <f t="shared" ca="1" si="37"/>
        <v>29.435476416883418</v>
      </c>
      <c r="E109" s="307">
        <f t="shared" ca="1" si="38"/>
        <v>142.16991105972838</v>
      </c>
      <c r="F109" s="304">
        <f t="shared" ca="1" si="39"/>
        <v>145.18516068324607</v>
      </c>
      <c r="G109" s="306">
        <f t="shared" ca="1" si="40"/>
        <v>30.402554088266701</v>
      </c>
      <c r="H109" s="307">
        <f t="shared" ca="1" si="41"/>
        <v>156.87498244255593</v>
      </c>
      <c r="I109" s="304">
        <f t="shared" ca="1" si="42"/>
        <v>159.79385285874488</v>
      </c>
      <c r="J109" s="306">
        <f t="shared" ca="1" si="43"/>
        <v>15.347798097971733</v>
      </c>
      <c r="K109" s="307">
        <f t="shared" ca="1" si="44"/>
        <v>81.595072478120144</v>
      </c>
      <c r="L109" s="304">
        <f t="shared" ca="1" si="29"/>
        <v>83.025964367574701</v>
      </c>
      <c r="M109" s="306">
        <f t="shared" ca="1" si="45"/>
        <v>1.3793682298250443</v>
      </c>
      <c r="N109" s="304">
        <f t="shared" ca="1" si="46"/>
        <v>79.031977963406405</v>
      </c>
      <c r="P109" s="310">
        <f t="shared" ca="1" si="47"/>
        <v>10</v>
      </c>
      <c r="Q109" s="304">
        <f t="shared" ca="1" si="48"/>
        <v>1235.4959999999996</v>
      </c>
      <c r="R109" s="306">
        <f t="shared" ca="1" si="49"/>
        <v>0.6071619581383223</v>
      </c>
      <c r="S109" s="307">
        <f t="shared" ca="1" si="50"/>
        <v>7.4673351953859077</v>
      </c>
      <c r="T109" s="304">
        <f t="shared" ca="1" si="30"/>
        <v>73.254558266735756</v>
      </c>
      <c r="U109" s="311">
        <f t="shared" ca="1" si="31"/>
        <v>0</v>
      </c>
      <c r="V109" s="306">
        <f t="shared" ca="1" si="32"/>
        <v>1.2150452166847359</v>
      </c>
      <c r="W109" s="304">
        <f t="shared" ca="1" si="33"/>
        <v>80.973331988977435</v>
      </c>
      <c r="Y109" s="314" t="str">
        <f t="shared" ca="1" si="51"/>
        <v/>
      </c>
      <c r="Z109" s="315" t="str">
        <f t="shared" ca="1" si="52"/>
        <v/>
      </c>
      <c r="AA109" s="316" t="str">
        <f t="shared" ca="1" si="53"/>
        <v/>
      </c>
      <c r="AC109" s="310" t="e">
        <f t="shared" ca="1" si="54"/>
        <v>#N/A</v>
      </c>
      <c r="AD109" s="323" t="e">
        <f t="shared" ca="1" si="55"/>
        <v>#N/A</v>
      </c>
      <c r="AE109" s="324">
        <f t="shared" ca="1" si="34"/>
        <v>81.595072478120144</v>
      </c>
      <c r="AG109" s="306">
        <f t="shared" ca="1" si="56"/>
        <v>145.17317727465564</v>
      </c>
      <c r="AH109" s="304">
        <f t="shared" ca="1" si="57"/>
        <v>154.80420096887502</v>
      </c>
    </row>
    <row r="110" spans="1:34" x14ac:dyDescent="0.2">
      <c r="A110" s="347">
        <f t="shared" ca="1" si="35"/>
        <v>0.01</v>
      </c>
      <c r="B110" s="304">
        <f t="shared" ca="1" si="36"/>
        <v>1.0600000000000007</v>
      </c>
      <c r="D110" s="306">
        <f t="shared" ca="1" si="37"/>
        <v>29.358697178162224</v>
      </c>
      <c r="E110" s="307">
        <f t="shared" ca="1" si="38"/>
        <v>141.67875620742595</v>
      </c>
      <c r="F110" s="304">
        <f t="shared" ca="1" si="39"/>
        <v>144.68864178117875</v>
      </c>
      <c r="G110" s="306">
        <f t="shared" ca="1" si="40"/>
        <v>30.696141060048323</v>
      </c>
      <c r="H110" s="307">
        <f t="shared" ca="1" si="41"/>
        <v>158.29177000463019</v>
      </c>
      <c r="I110" s="304">
        <f t="shared" ca="1" si="42"/>
        <v>161.24061996648712</v>
      </c>
      <c r="J110" s="306">
        <f t="shared" ca="1" si="43"/>
        <v>15.653291573713307</v>
      </c>
      <c r="K110" s="307">
        <f t="shared" ca="1" si="44"/>
        <v>83.170906240356075</v>
      </c>
      <c r="L110" s="304">
        <f t="shared" ca="1" si="29"/>
        <v>84.631112375613881</v>
      </c>
      <c r="M110" s="306">
        <f t="shared" ca="1" si="45"/>
        <v>1.3792524735480229</v>
      </c>
      <c r="N110" s="304">
        <f t="shared" ca="1" si="46"/>
        <v>79.025345617280934</v>
      </c>
      <c r="P110" s="310">
        <f t="shared" ca="1" si="47"/>
        <v>10</v>
      </c>
      <c r="Q110" s="304">
        <f t="shared" ca="1" si="48"/>
        <v>1232.3039999999996</v>
      </c>
      <c r="R110" s="306">
        <f t="shared" ca="1" si="49"/>
        <v>0.60559330800074396</v>
      </c>
      <c r="S110" s="307">
        <f t="shared" ca="1" si="50"/>
        <v>7.4612792623058999</v>
      </c>
      <c r="T110" s="304">
        <f t="shared" ca="1" si="30"/>
        <v>73.19514956322088</v>
      </c>
      <c r="U110" s="311">
        <f t="shared" ca="1" si="31"/>
        <v>0</v>
      </c>
      <c r="V110" s="306">
        <f t="shared" ca="1" si="32"/>
        <v>1.214853757594347</v>
      </c>
      <c r="W110" s="304">
        <f t="shared" ca="1" si="33"/>
        <v>82.4332369331064</v>
      </c>
      <c r="Y110" s="314" t="str">
        <f t="shared" ca="1" si="51"/>
        <v/>
      </c>
      <c r="Z110" s="315" t="str">
        <f t="shared" ca="1" si="52"/>
        <v/>
      </c>
      <c r="AA110" s="316" t="str">
        <f t="shared" ca="1" si="53"/>
        <v/>
      </c>
      <c r="AC110" s="310" t="e">
        <f t="shared" ca="1" si="54"/>
        <v>#N/A</v>
      </c>
      <c r="AD110" s="323" t="e">
        <f t="shared" ca="1" si="55"/>
        <v>#N/A</v>
      </c>
      <c r="AE110" s="324">
        <f t="shared" ca="1" si="34"/>
        <v>83.170906240356075</v>
      </c>
      <c r="AG110" s="306">
        <f t="shared" ca="1" si="56"/>
        <v>144.67660274691252</v>
      </c>
      <c r="AH110" s="304">
        <f t="shared" ca="1" si="57"/>
        <v>154.30740862729814</v>
      </c>
    </row>
    <row r="111" spans="1:34" x14ac:dyDescent="0.2">
      <c r="A111" s="347">
        <f t="shared" ca="1" si="35"/>
        <v>0.01</v>
      </c>
      <c r="B111" s="304">
        <f t="shared" ca="1" si="36"/>
        <v>1.0700000000000007</v>
      </c>
      <c r="D111" s="306">
        <f t="shared" ca="1" si="37"/>
        <v>29.281243782048872</v>
      </c>
      <c r="E111" s="307">
        <f t="shared" ca="1" si="38"/>
        <v>141.18552406703381</v>
      </c>
      <c r="F111" s="304">
        <f t="shared" ca="1" si="39"/>
        <v>144.18995611174435</v>
      </c>
      <c r="G111" s="306">
        <f t="shared" ca="1" si="40"/>
        <v>30.98895349786881</v>
      </c>
      <c r="H111" s="307">
        <f t="shared" ca="1" si="41"/>
        <v>159.70362524530054</v>
      </c>
      <c r="I111" s="304">
        <f t="shared" ca="1" si="42"/>
        <v>162.68239964846987</v>
      </c>
      <c r="J111" s="306">
        <f t="shared" ca="1" si="43"/>
        <v>15.961717046502892</v>
      </c>
      <c r="K111" s="307">
        <f t="shared" ca="1" si="44"/>
        <v>84.760883216605734</v>
      </c>
      <c r="L111" s="304">
        <f t="shared" ca="1" si="29"/>
        <v>86.250702807175415</v>
      </c>
      <c r="M111" s="306">
        <f t="shared" ca="1" si="45"/>
        <v>1.3791376746389281</v>
      </c>
      <c r="N111" s="304">
        <f t="shared" ca="1" si="46"/>
        <v>79.018768124297097</v>
      </c>
      <c r="P111" s="310">
        <f t="shared" ca="1" si="47"/>
        <v>10</v>
      </c>
      <c r="Q111" s="304">
        <f t="shared" ca="1" si="48"/>
        <v>1229.1119999999999</v>
      </c>
      <c r="R111" s="306">
        <f t="shared" ca="1" si="49"/>
        <v>0.60402465786316573</v>
      </c>
      <c r="S111" s="307">
        <f t="shared" ca="1" si="50"/>
        <v>7.4552390157272681</v>
      </c>
      <c r="T111" s="304">
        <f t="shared" ca="1" si="30"/>
        <v>73.135894744284499</v>
      </c>
      <c r="U111" s="311">
        <f t="shared" ca="1" si="31"/>
        <v>0</v>
      </c>
      <c r="V111" s="306">
        <f t="shared" ca="1" si="32"/>
        <v>1.2146606105948612</v>
      </c>
      <c r="W111" s="304">
        <f t="shared" ca="1" si="33"/>
        <v>83.900687924317026</v>
      </c>
      <c r="Y111" s="314" t="str">
        <f t="shared" ca="1" si="51"/>
        <v/>
      </c>
      <c r="Z111" s="315" t="str">
        <f t="shared" ca="1" si="52"/>
        <v/>
      </c>
      <c r="AA111" s="316" t="str">
        <f t="shared" ca="1" si="53"/>
        <v/>
      </c>
      <c r="AC111" s="310" t="e">
        <f t="shared" ca="1" si="54"/>
        <v>#N/A</v>
      </c>
      <c r="AD111" s="323" t="e">
        <f t="shared" ca="1" si="55"/>
        <v>#N/A</v>
      </c>
      <c r="AE111" s="324">
        <f t="shared" ca="1" si="34"/>
        <v>84.760883216605734</v>
      </c>
      <c r="AG111" s="306">
        <f t="shared" ca="1" si="56"/>
        <v>144.17786100041877</v>
      </c>
      <c r="AH111" s="304">
        <f t="shared" ca="1" si="57"/>
        <v>153.80845076165991</v>
      </c>
    </row>
    <row r="112" spans="1:34" x14ac:dyDescent="0.2">
      <c r="A112" s="347">
        <f t="shared" ca="1" si="35"/>
        <v>0.01</v>
      </c>
      <c r="B112" s="304">
        <f t="shared" ca="1" si="36"/>
        <v>1.0800000000000007</v>
      </c>
      <c r="D112" s="306">
        <f t="shared" ca="1" si="37"/>
        <v>29.20312390877983</v>
      </c>
      <c r="E112" s="307">
        <f t="shared" ca="1" si="38"/>
        <v>140.69023412505985</v>
      </c>
      <c r="F112" s="304">
        <f t="shared" ca="1" si="39"/>
        <v>143.68912423769484</v>
      </c>
      <c r="G112" s="306">
        <f t="shared" ca="1" si="40"/>
        <v>31.280984736956608</v>
      </c>
      <c r="H112" s="307">
        <f t="shared" ca="1" si="41"/>
        <v>161.11052758655114</v>
      </c>
      <c r="I112" s="304">
        <f t="shared" ca="1" si="42"/>
        <v>164.11917043822322</v>
      </c>
      <c r="J112" s="306">
        <f t="shared" ca="1" si="43"/>
        <v>16.27306673767702</v>
      </c>
      <c r="K112" s="307">
        <f t="shared" ca="1" si="44"/>
        <v>86.364953980764994</v>
      </c>
      <c r="L112" s="304">
        <f t="shared" ca="1" si="29"/>
        <v>87.884685680433236</v>
      </c>
      <c r="M112" s="306">
        <f t="shared" ca="1" si="45"/>
        <v>1.3790238133657637</v>
      </c>
      <c r="N112" s="304">
        <f t="shared" ca="1" si="46"/>
        <v>79.012244353894786</v>
      </c>
      <c r="P112" s="310">
        <f t="shared" ca="1" si="47"/>
        <v>10</v>
      </c>
      <c r="Q112" s="304">
        <f t="shared" ca="1" si="48"/>
        <v>1225.9199999999998</v>
      </c>
      <c r="R112" s="306">
        <f t="shared" ca="1" si="49"/>
        <v>0.60245600772558727</v>
      </c>
      <c r="S112" s="307">
        <f t="shared" ca="1" si="50"/>
        <v>7.4492144556500124</v>
      </c>
      <c r="T112" s="304">
        <f t="shared" ca="1" si="30"/>
        <v>73.076793809926627</v>
      </c>
      <c r="U112" s="311">
        <f t="shared" ca="1" si="31"/>
        <v>0</v>
      </c>
      <c r="V112" s="306">
        <f t="shared" ca="1" si="32"/>
        <v>1.214465782497846</v>
      </c>
      <c r="W112" s="304">
        <f t="shared" ca="1" si="33"/>
        <v>85.375516304135274</v>
      </c>
      <c r="Y112" s="314" t="str">
        <f t="shared" ca="1" si="51"/>
        <v/>
      </c>
      <c r="Z112" s="315" t="str">
        <f t="shared" ca="1" si="52"/>
        <v/>
      </c>
      <c r="AA112" s="316" t="str">
        <f t="shared" ca="1" si="53"/>
        <v/>
      </c>
      <c r="AC112" s="310" t="e">
        <f t="shared" ca="1" si="54"/>
        <v>#N/A</v>
      </c>
      <c r="AD112" s="323" t="e">
        <f t="shared" ca="1" si="55"/>
        <v>#N/A</v>
      </c>
      <c r="AE112" s="324">
        <f t="shared" ca="1" si="34"/>
        <v>86.364953980764994</v>
      </c>
      <c r="AG112" s="306">
        <f t="shared" ca="1" si="56"/>
        <v>143.67697259009344</v>
      </c>
      <c r="AH112" s="304">
        <f t="shared" ca="1" si="57"/>
        <v>153.30734789216524</v>
      </c>
    </row>
    <row r="113" spans="1:34" x14ac:dyDescent="0.2">
      <c r="A113" s="347">
        <f t="shared" ca="1" si="35"/>
        <v>0.01</v>
      </c>
      <c r="B113" s="304">
        <f t="shared" ca="1" si="36"/>
        <v>1.0900000000000007</v>
      </c>
      <c r="D113" s="306">
        <f t="shared" ca="1" si="37"/>
        <v>29.124345149045745</v>
      </c>
      <c r="E113" s="307">
        <f t="shared" ca="1" si="38"/>
        <v>140.19290598371015</v>
      </c>
      <c r="F113" s="304">
        <f t="shared" ca="1" si="39"/>
        <v>143.18616681969712</v>
      </c>
      <c r="G113" s="306">
        <f t="shared" ca="1" si="40"/>
        <v>31.572228188447067</v>
      </c>
      <c r="H113" s="307">
        <f t="shared" ca="1" si="41"/>
        <v>162.51245664638824</v>
      </c>
      <c r="I113" s="304">
        <f t="shared" ca="1" si="42"/>
        <v>165.55091107580046</v>
      </c>
      <c r="J113" s="306">
        <f t="shared" ca="1" si="43"/>
        <v>16.58733280230404</v>
      </c>
      <c r="K113" s="307">
        <f t="shared" ca="1" si="44"/>
        <v>87.983068901929698</v>
      </c>
      <c r="L113" s="304">
        <f t="shared" ca="1" si="29"/>
        <v>89.53301079990608</v>
      </c>
      <c r="M113" s="306">
        <f t="shared" ca="1" si="45"/>
        <v>1.3789108705693667</v>
      </c>
      <c r="N113" s="304">
        <f t="shared" ca="1" si="46"/>
        <v>79.00577320833483</v>
      </c>
      <c r="P113" s="310">
        <f t="shared" ca="1" si="47"/>
        <v>10</v>
      </c>
      <c r="Q113" s="304">
        <f t="shared" ca="1" si="48"/>
        <v>1222.7279999999998</v>
      </c>
      <c r="R113" s="306">
        <f t="shared" ca="1" si="49"/>
        <v>0.60088735758800893</v>
      </c>
      <c r="S113" s="307">
        <f t="shared" ca="1" si="50"/>
        <v>7.4432055820741327</v>
      </c>
      <c r="T113" s="304">
        <f t="shared" ca="1" si="30"/>
        <v>73.017846760147251</v>
      </c>
      <c r="U113" s="311">
        <f t="shared" ca="1" si="31"/>
        <v>0</v>
      </c>
      <c r="V113" s="306">
        <f t="shared" ca="1" si="32"/>
        <v>1.2142692801427422</v>
      </c>
      <c r="W113" s="304">
        <f t="shared" ca="1" si="33"/>
        <v>86.857553395318348</v>
      </c>
      <c r="Y113" s="314" t="str">
        <f t="shared" ca="1" si="51"/>
        <v/>
      </c>
      <c r="Z113" s="315" t="str">
        <f t="shared" ca="1" si="52"/>
        <v/>
      </c>
      <c r="AA113" s="316" t="str">
        <f t="shared" ca="1" si="53"/>
        <v/>
      </c>
      <c r="AC113" s="310" t="e">
        <f t="shared" ca="1" si="54"/>
        <v>#N/A</v>
      </c>
      <c r="AD113" s="323" t="e">
        <f t="shared" ca="1" si="55"/>
        <v>#N/A</v>
      </c>
      <c r="AE113" s="324">
        <f t="shared" ca="1" si="34"/>
        <v>87.983068901929698</v>
      </c>
      <c r="AG113" s="306">
        <f t="shared" ca="1" si="56"/>
        <v>143.17395816872767</v>
      </c>
      <c r="AH113" s="304">
        <f t="shared" ca="1" si="57"/>
        <v>152.80412063788899</v>
      </c>
    </row>
    <row r="114" spans="1:34" x14ac:dyDescent="0.2">
      <c r="A114" s="347">
        <f t="shared" ca="1" si="35"/>
        <v>0.01</v>
      </c>
      <c r="B114" s="304">
        <f t="shared" ca="1" si="36"/>
        <v>1.1000000000000008</v>
      </c>
      <c r="D114" s="306">
        <f t="shared" ca="1" si="37"/>
        <v>29.044915007893195</v>
      </c>
      <c r="E114" s="307">
        <f t="shared" ca="1" si="38"/>
        <v>139.69355935744431</v>
      </c>
      <c r="F114" s="304">
        <f t="shared" ca="1" si="39"/>
        <v>142.68110461363676</v>
      </c>
      <c r="G114" s="306">
        <f t="shared" ca="1" si="40"/>
        <v>31.862677338525998</v>
      </c>
      <c r="H114" s="307">
        <f t="shared" ca="1" si="41"/>
        <v>163.9093922399627</v>
      </c>
      <c r="I114" s="304">
        <f t="shared" ca="1" si="42"/>
        <v>166.97760050872981</v>
      </c>
      <c r="J114" s="306">
        <f t="shared" ca="1" si="43"/>
        <v>16.904507329938905</v>
      </c>
      <c r="K114" s="307">
        <f t="shared" ca="1" si="44"/>
        <v>89.615178146361458</v>
      </c>
      <c r="L114" s="304">
        <f t="shared" ca="1" si="29"/>
        <v>91.195627758528303</v>
      </c>
      <c r="M114" s="306">
        <f t="shared" ca="1" si="45"/>
        <v>1.3787988276412084</v>
      </c>
      <c r="N114" s="304">
        <f t="shared" ca="1" si="46"/>
        <v>78.999353621427076</v>
      </c>
      <c r="P114" s="310">
        <f t="shared" ca="1" si="47"/>
        <v>10</v>
      </c>
      <c r="Q114" s="304">
        <f t="shared" ca="1" si="48"/>
        <v>1219.5359999999998</v>
      </c>
      <c r="R114" s="306">
        <f t="shared" ca="1" si="49"/>
        <v>0.59931870745043059</v>
      </c>
      <c r="S114" s="307">
        <f t="shared" ca="1" si="50"/>
        <v>7.4372123949996283</v>
      </c>
      <c r="T114" s="304">
        <f t="shared" ca="1" si="30"/>
        <v>72.959053594946354</v>
      </c>
      <c r="U114" s="311">
        <f t="shared" ca="1" si="31"/>
        <v>0</v>
      </c>
      <c r="V114" s="306">
        <f t="shared" ca="1" si="32"/>
        <v>1.2140711103965085</v>
      </c>
      <c r="W114" s="304">
        <f t="shared" ca="1" si="33"/>
        <v>88.346630521886652</v>
      </c>
      <c r="Y114" s="314" t="str">
        <f t="shared" ca="1" si="51"/>
        <v/>
      </c>
      <c r="Z114" s="315" t="str">
        <f t="shared" ca="1" si="52"/>
        <v/>
      </c>
      <c r="AA114" s="316" t="str">
        <f t="shared" ca="1" si="53"/>
        <v/>
      </c>
      <c r="AC114" s="310" t="e">
        <f t="shared" ca="1" si="54"/>
        <v>#N/A</v>
      </c>
      <c r="AD114" s="323" t="e">
        <f t="shared" ca="1" si="55"/>
        <v>#N/A</v>
      </c>
      <c r="AE114" s="324">
        <f t="shared" ca="1" si="34"/>
        <v>89.615178146361458</v>
      </c>
      <c r="AG114" s="306">
        <f t="shared" ca="1" si="56"/>
        <v>142.66883848428489</v>
      </c>
      <c r="AH114" s="304">
        <f t="shared" ca="1" si="57"/>
        <v>152.2987897140375</v>
      </c>
    </row>
    <row r="115" spans="1:34" x14ac:dyDescent="0.2">
      <c r="A115" s="347">
        <f t="shared" ca="1" si="35"/>
        <v>0.01</v>
      </c>
      <c r="B115" s="304">
        <f t="shared" ca="1" si="36"/>
        <v>1.1100000000000008</v>
      </c>
      <c r="D115" s="306">
        <f t="shared" ca="1" si="37"/>
        <v>28.981891051180639</v>
      </c>
      <c r="E115" s="307">
        <f t="shared" ca="1" si="38"/>
        <v>139.27992416716958</v>
      </c>
      <c r="F115" s="304">
        <f t="shared" ca="1" si="39"/>
        <v>142.26330266416218</v>
      </c>
      <c r="G115" s="306">
        <f t="shared" ca="1" si="40"/>
        <v>32.152496249037803</v>
      </c>
      <c r="H115" s="307">
        <f t="shared" ca="1" si="41"/>
        <v>165.3021914816344</v>
      </c>
      <c r="I115" s="304">
        <f t="shared" ca="1" si="42"/>
        <v>168.40011141230079</v>
      </c>
      <c r="J115" s="306">
        <f t="shared" ca="1" si="43"/>
        <v>17.224583197876726</v>
      </c>
      <c r="K115" s="307">
        <f t="shared" ca="1" si="44"/>
        <v>91.261236064969438</v>
      </c>
      <c r="L115" s="304">
        <f t="shared" ca="1" si="29"/>
        <v>92.872490407260301</v>
      </c>
      <c r="M115" s="306">
        <f t="shared" ca="1" si="45"/>
        <v>1.3786876670920725</v>
      </c>
      <c r="N115" s="304">
        <f t="shared" ca="1" si="46"/>
        <v>78.992984591113228</v>
      </c>
      <c r="P115" s="310">
        <f t="shared" ca="1" si="47"/>
        <v>11</v>
      </c>
      <c r="Q115" s="304">
        <f t="shared" ca="1" si="48"/>
        <v>1217.0074999999999</v>
      </c>
      <c r="R115" s="306">
        <f t="shared" ca="1" si="49"/>
        <v>0.59807612227722673</v>
      </c>
      <c r="S115" s="307">
        <f t="shared" ca="1" si="50"/>
        <v>7.4312316337768562</v>
      </c>
      <c r="T115" s="304">
        <f t="shared" ca="1" si="30"/>
        <v>72.900382327350968</v>
      </c>
      <c r="U115" s="311">
        <f t="shared" ca="1" si="31"/>
        <v>0</v>
      </c>
      <c r="V115" s="306">
        <f t="shared" ca="1" si="32"/>
        <v>1.2138712796209221</v>
      </c>
      <c r="W115" s="304">
        <f t="shared" ca="1" si="33"/>
        <v>89.843532394301505</v>
      </c>
      <c r="Y115" s="314" t="str">
        <f t="shared" ca="1" si="51"/>
        <v/>
      </c>
      <c r="Z115" s="315" t="str">
        <f t="shared" ca="1" si="52"/>
        <v/>
      </c>
      <c r="AA115" s="316" t="str">
        <f t="shared" ca="1" si="53"/>
        <v/>
      </c>
      <c r="AC115" s="310" t="e">
        <f t="shared" ca="1" si="54"/>
        <v>#N/A</v>
      </c>
      <c r="AD115" s="323" t="e">
        <f t="shared" ca="1" si="55"/>
        <v>#N/A</v>
      </c>
      <c r="AE115" s="324">
        <f t="shared" ca="1" si="34"/>
        <v>91.261236064969438</v>
      </c>
      <c r="AG115" s="306">
        <f t="shared" ca="1" si="56"/>
        <v>142.25098631388656</v>
      </c>
      <c r="AH115" s="304">
        <f t="shared" ca="1" si="57"/>
        <v>151.88072786589771</v>
      </c>
    </row>
    <row r="116" spans="1:34" x14ac:dyDescent="0.2">
      <c r="A116" s="347">
        <f t="shared" ca="1" si="35"/>
        <v>0.01</v>
      </c>
      <c r="B116" s="304">
        <f t="shared" ca="1" si="36"/>
        <v>1.1200000000000008</v>
      </c>
      <c r="D116" s="306">
        <f t="shared" ca="1" si="37"/>
        <v>28.935338986803252</v>
      </c>
      <c r="E116" s="307">
        <f t="shared" ca="1" si="38"/>
        <v>138.95216480161136</v>
      </c>
      <c r="F116" s="304">
        <f t="shared" ca="1" si="39"/>
        <v>141.93293467456868</v>
      </c>
      <c r="G116" s="306">
        <f t="shared" ca="1" si="40"/>
        <v>32.441849638905836</v>
      </c>
      <c r="H116" s="307">
        <f t="shared" ca="1" si="41"/>
        <v>166.69171312965051</v>
      </c>
      <c r="I116" s="304">
        <f t="shared" ca="1" si="42"/>
        <v>169.81931820052475</v>
      </c>
      <c r="J116" s="306">
        <f t="shared" ca="1" si="43"/>
        <v>17.547554927316444</v>
      </c>
      <c r="K116" s="307">
        <f t="shared" ca="1" si="44"/>
        <v>92.921205588025856</v>
      </c>
      <c r="L116" s="304">
        <f t="shared" ca="1" si="29"/>
        <v>94.563561332361814</v>
      </c>
      <c r="M116" s="306">
        <f t="shared" ca="1" si="45"/>
        <v>1.3785773724953507</v>
      </c>
      <c r="N116" s="304">
        <f t="shared" ca="1" si="46"/>
        <v>78.986665176217969</v>
      </c>
      <c r="P116" s="310">
        <f t="shared" ca="1" si="47"/>
        <v>11</v>
      </c>
      <c r="Q116" s="304">
        <f t="shared" ca="1" si="48"/>
        <v>1215.1424999999999</v>
      </c>
      <c r="R116" s="306">
        <f t="shared" ca="1" si="49"/>
        <v>0.59715960206839724</v>
      </c>
      <c r="S116" s="307">
        <f t="shared" ca="1" si="50"/>
        <v>7.4252600377561722</v>
      </c>
      <c r="T116" s="304">
        <f t="shared" ca="1" si="30"/>
        <v>72.84180097038805</v>
      </c>
      <c r="U116" s="311">
        <f t="shared" ca="1" si="31"/>
        <v>0</v>
      </c>
      <c r="V116" s="306">
        <f t="shared" ca="1" si="32"/>
        <v>1.2136697931395186</v>
      </c>
      <c r="W116" s="304">
        <f t="shared" ca="1" si="33"/>
        <v>91.349076797661283</v>
      </c>
      <c r="Y116" s="314" t="str">
        <f t="shared" ca="1" si="51"/>
        <v/>
      </c>
      <c r="Z116" s="315" t="str">
        <f t="shared" ca="1" si="52"/>
        <v/>
      </c>
      <c r="AA116" s="316" t="str">
        <f t="shared" ca="1" si="53"/>
        <v/>
      </c>
      <c r="AC116" s="310" t="e">
        <f t="shared" ca="1" si="54"/>
        <v>#N/A</v>
      </c>
      <c r="AD116" s="323" t="e">
        <f t="shared" ca="1" si="55"/>
        <v>#N/A</v>
      </c>
      <c r="AE116" s="324">
        <f t="shared" ca="1" si="34"/>
        <v>92.921205588025856</v>
      </c>
      <c r="AG116" s="306">
        <f t="shared" ca="1" si="56"/>
        <v>141.92057553066249</v>
      </c>
      <c r="AH116" s="304">
        <f t="shared" ca="1" si="57"/>
        <v>151.55010893675728</v>
      </c>
    </row>
    <row r="117" spans="1:34" x14ac:dyDescent="0.2">
      <c r="A117" s="347">
        <f t="shared" ca="1" si="35"/>
        <v>0.01</v>
      </c>
      <c r="B117" s="304">
        <f t="shared" ca="1" si="36"/>
        <v>1.1300000000000008</v>
      </c>
      <c r="D117" s="306">
        <f t="shared" ca="1" si="37"/>
        <v>28.888225982989422</v>
      </c>
      <c r="E117" s="307">
        <f t="shared" ca="1" si="38"/>
        <v>138.6225934550321</v>
      </c>
      <c r="F117" s="304">
        <f t="shared" ca="1" si="39"/>
        <v>141.60068155430389</v>
      </c>
      <c r="G117" s="306">
        <f t="shared" ca="1" si="40"/>
        <v>32.730731898735733</v>
      </c>
      <c r="H117" s="307">
        <f t="shared" ca="1" si="41"/>
        <v>168.07793906420082</v>
      </c>
      <c r="I117" s="304">
        <f t="shared" ca="1" si="42"/>
        <v>171.23520201960847</v>
      </c>
      <c r="J117" s="306">
        <f t="shared" ca="1" si="43"/>
        <v>17.873417835004652</v>
      </c>
      <c r="K117" s="307">
        <f t="shared" ca="1" si="44"/>
        <v>94.595053848995107</v>
      </c>
      <c r="L117" s="304">
        <f t="shared" ca="1" si="29"/>
        <v>96.268807397821988</v>
      </c>
      <c r="M117" s="306">
        <f t="shared" ca="1" si="45"/>
        <v>1.3784679278616774</v>
      </c>
      <c r="N117" s="304">
        <f t="shared" ca="1" si="46"/>
        <v>78.980394460618129</v>
      </c>
      <c r="P117" s="310">
        <f t="shared" ca="1" si="47"/>
        <v>11</v>
      </c>
      <c r="Q117" s="304">
        <f t="shared" ca="1" si="48"/>
        <v>1213.2774999999999</v>
      </c>
      <c r="R117" s="306">
        <f t="shared" ca="1" si="49"/>
        <v>0.59624308185956776</v>
      </c>
      <c r="S117" s="307">
        <f t="shared" ca="1" si="50"/>
        <v>7.4192976069375769</v>
      </c>
      <c r="T117" s="304">
        <f t="shared" ca="1" si="30"/>
        <v>72.783309524057628</v>
      </c>
      <c r="U117" s="311">
        <f t="shared" ca="1" si="31"/>
        <v>0</v>
      </c>
      <c r="V117" s="306">
        <f t="shared" ca="1" si="32"/>
        <v>1.2134666557694256</v>
      </c>
      <c r="W117" s="304">
        <f t="shared" ca="1" si="33"/>
        <v>92.86314370782938</v>
      </c>
      <c r="Y117" s="314" t="str">
        <f t="shared" ca="1" si="51"/>
        <v/>
      </c>
      <c r="Z117" s="315" t="str">
        <f t="shared" ca="1" si="52"/>
        <v/>
      </c>
      <c r="AA117" s="316" t="str">
        <f t="shared" ca="1" si="53"/>
        <v/>
      </c>
      <c r="AC117" s="310" t="e">
        <f t="shared" ca="1" si="54"/>
        <v>#N/A</v>
      </c>
      <c r="AD117" s="323" t="e">
        <f t="shared" ca="1" si="55"/>
        <v>#N/A</v>
      </c>
      <c r="AE117" s="324">
        <f t="shared" ca="1" si="34"/>
        <v>94.595053848995107</v>
      </c>
      <c r="AG117" s="306">
        <f t="shared" ca="1" si="56"/>
        <v>141.58827935451549</v>
      </c>
      <c r="AH117" s="304">
        <f t="shared" ca="1" si="57"/>
        <v>151.21760611857042</v>
      </c>
    </row>
    <row r="118" spans="1:34" x14ac:dyDescent="0.2">
      <c r="A118" s="347">
        <f t="shared" ca="1" si="35"/>
        <v>0.01</v>
      </c>
      <c r="B118" s="304">
        <f t="shared" ca="1" si="36"/>
        <v>1.1400000000000008</v>
      </c>
      <c r="D118" s="306">
        <f t="shared" ca="1" si="37"/>
        <v>28.840557115764504</v>
      </c>
      <c r="E118" s="307">
        <f t="shared" ca="1" si="38"/>
        <v>138.29122231542004</v>
      </c>
      <c r="F118" s="304">
        <f t="shared" ca="1" si="39"/>
        <v>141.26655621285812</v>
      </c>
      <c r="G118" s="306">
        <f t="shared" ca="1" si="40"/>
        <v>33.01913746989338</v>
      </c>
      <c r="H118" s="307">
        <f t="shared" ca="1" si="41"/>
        <v>169.46085128735501</v>
      </c>
      <c r="I118" s="304">
        <f t="shared" ca="1" si="42"/>
        <v>172.64774414480709</v>
      </c>
      <c r="J118" s="306">
        <f t="shared" ca="1" si="43"/>
        <v>18.202167181847798</v>
      </c>
      <c r="K118" s="307">
        <f t="shared" ca="1" si="44"/>
        <v>96.282747800752887</v>
      </c>
      <c r="L118" s="304">
        <f t="shared" ca="1" si="29"/>
        <v>97.9881952797342</v>
      </c>
      <c r="M118" s="306">
        <f t="shared" ca="1" si="45"/>
        <v>1.3783593176234232</v>
      </c>
      <c r="N118" s="304">
        <f t="shared" ca="1" si="46"/>
        <v>78.974171552354264</v>
      </c>
      <c r="P118" s="310">
        <f t="shared" ca="1" si="47"/>
        <v>11</v>
      </c>
      <c r="Q118" s="304">
        <f t="shared" ca="1" si="48"/>
        <v>1211.4124999999999</v>
      </c>
      <c r="R118" s="306">
        <f t="shared" ca="1" si="49"/>
        <v>0.59532656165073827</v>
      </c>
      <c r="S118" s="307">
        <f t="shared" ca="1" si="50"/>
        <v>7.4133443413210696</v>
      </c>
      <c r="T118" s="304">
        <f t="shared" ca="1" si="30"/>
        <v>72.724907988359689</v>
      </c>
      <c r="U118" s="311">
        <f t="shared" ca="1" si="31"/>
        <v>0</v>
      </c>
      <c r="V118" s="306">
        <f t="shared" ca="1" si="32"/>
        <v>1.2132618723535995</v>
      </c>
      <c r="W118" s="304">
        <f t="shared" ca="1" si="33"/>
        <v>94.385612799092343</v>
      </c>
      <c r="Y118" s="314" t="str">
        <f t="shared" ca="1" si="51"/>
        <v/>
      </c>
      <c r="Z118" s="315" t="str">
        <f t="shared" ca="1" si="52"/>
        <v/>
      </c>
      <c r="AA118" s="316" t="str">
        <f t="shared" ca="1" si="53"/>
        <v/>
      </c>
      <c r="AC118" s="310" t="e">
        <f t="shared" ca="1" si="54"/>
        <v>#N/A</v>
      </c>
      <c r="AD118" s="323" t="e">
        <f t="shared" ca="1" si="55"/>
        <v>#N/A</v>
      </c>
      <c r="AE118" s="324">
        <f t="shared" ca="1" si="34"/>
        <v>96.282747800752887</v>
      </c>
      <c r="AG118" s="306">
        <f t="shared" ca="1" si="56"/>
        <v>141.25411069063651</v>
      </c>
      <c r="AH118" s="304">
        <f t="shared" ca="1" si="57"/>
        <v>150.88323228930756</v>
      </c>
    </row>
    <row r="119" spans="1:34" x14ac:dyDescent="0.2">
      <c r="A119" s="347">
        <f t="shared" ca="1" si="35"/>
        <v>0.01</v>
      </c>
      <c r="B119" s="304">
        <f t="shared" ca="1" si="36"/>
        <v>1.1500000000000008</v>
      </c>
      <c r="D119" s="306">
        <f t="shared" ca="1" si="37"/>
        <v>28.792337410889797</v>
      </c>
      <c r="E119" s="307">
        <f t="shared" ca="1" si="38"/>
        <v>137.95806367673723</v>
      </c>
      <c r="F119" s="304">
        <f t="shared" ca="1" si="39"/>
        <v>140.930571655043</v>
      </c>
      <c r="G119" s="306">
        <f t="shared" ca="1" si="40"/>
        <v>33.30706084400228</v>
      </c>
      <c r="H119" s="307">
        <f t="shared" ca="1" si="41"/>
        <v>170.84043192412238</v>
      </c>
      <c r="I119" s="304">
        <f t="shared" ca="1" si="42"/>
        <v>174.05692598137762</v>
      </c>
      <c r="J119" s="306">
        <f t="shared" ca="1" si="43"/>
        <v>18.533798173417278</v>
      </c>
      <c r="K119" s="307">
        <f t="shared" ca="1" si="44"/>
        <v>97.984254216810271</v>
      </c>
      <c r="L119" s="304">
        <f t="shared" ca="1" si="29"/>
        <v>99.721691467591285</v>
      </c>
      <c r="M119" s="306">
        <f t="shared" ca="1" si="45"/>
        <v>1.3782515266198732</v>
      </c>
      <c r="N119" s="304">
        <f t="shared" ca="1" si="46"/>
        <v>78.96799558278137</v>
      </c>
      <c r="P119" s="310">
        <f t="shared" ca="1" si="47"/>
        <v>11</v>
      </c>
      <c r="Q119" s="304">
        <f t="shared" ca="1" si="48"/>
        <v>1209.5474999999999</v>
      </c>
      <c r="R119" s="306">
        <f t="shared" ca="1" si="49"/>
        <v>0.59441004144190879</v>
      </c>
      <c r="S119" s="307">
        <f t="shared" ca="1" si="50"/>
        <v>7.4074002409066502</v>
      </c>
      <c r="T119" s="304">
        <f t="shared" ca="1" si="30"/>
        <v>72.666596363294246</v>
      </c>
      <c r="U119" s="311">
        <f t="shared" ca="1" si="31"/>
        <v>0</v>
      </c>
      <c r="V119" s="306">
        <f t="shared" ca="1" si="32"/>
        <v>1.2130554477605973</v>
      </c>
      <c r="W119" s="304">
        <f t="shared" ca="1" si="33"/>
        <v>95.916363457219958</v>
      </c>
      <c r="Y119" s="314" t="str">
        <f t="shared" ca="1" si="51"/>
        <v/>
      </c>
      <c r="Z119" s="315" t="str">
        <f t="shared" ca="1" si="52"/>
        <v/>
      </c>
      <c r="AA119" s="316" t="str">
        <f t="shared" ca="1" si="53"/>
        <v/>
      </c>
      <c r="AC119" s="310" t="e">
        <f t="shared" ca="1" si="54"/>
        <v>#N/A</v>
      </c>
      <c r="AD119" s="323" t="e">
        <f t="shared" ca="1" si="55"/>
        <v>#N/A</v>
      </c>
      <c r="AE119" s="324">
        <f t="shared" ca="1" si="34"/>
        <v>97.984254216810271</v>
      </c>
      <c r="AG119" s="306">
        <f t="shared" ca="1" si="56"/>
        <v>140.91808253954832</v>
      </c>
      <c r="AH119" s="304">
        <f t="shared" ca="1" si="57"/>
        <v>150.54700042297353</v>
      </c>
    </row>
    <row r="120" spans="1:34" x14ac:dyDescent="0.2">
      <c r="A120" s="347">
        <f t="shared" ca="1" si="35"/>
        <v>0.01</v>
      </c>
      <c r="B120" s="304">
        <f t="shared" ca="1" si="36"/>
        <v>1.1600000000000008</v>
      </c>
      <c r="D120" s="306">
        <f t="shared" ca="1" si="37"/>
        <v>28.743571846116417</v>
      </c>
      <c r="E120" s="307">
        <f t="shared" ca="1" si="38"/>
        <v>137.6231299369766</v>
      </c>
      <c r="F120" s="304">
        <f t="shared" ca="1" si="39"/>
        <v>140.59274097947875</v>
      </c>
      <c r="G120" s="306">
        <f t="shared" ca="1" si="40"/>
        <v>33.594496562463441</v>
      </c>
      <c r="H120" s="307">
        <f t="shared" ca="1" si="41"/>
        <v>172.21666322349216</v>
      </c>
      <c r="I120" s="304">
        <f t="shared" ca="1" si="42"/>
        <v>175.46272906551718</v>
      </c>
      <c r="J120" s="306">
        <f t="shared" ca="1" si="43"/>
        <v>18.868305960449607</v>
      </c>
      <c r="K120" s="307">
        <f t="shared" ca="1" si="44"/>
        <v>99.699539692548342</v>
      </c>
      <c r="L120" s="304">
        <f t="shared" ca="1" si="29"/>
        <v>101.46926226559036</v>
      </c>
      <c r="M120" s="306">
        <f t="shared" ca="1" si="45"/>
        <v>1.3781445400830512</v>
      </c>
      <c r="N120" s="304">
        <f t="shared" ca="1" si="46"/>
        <v>78.96186570575675</v>
      </c>
      <c r="P120" s="310">
        <f t="shared" ca="1" si="47"/>
        <v>11</v>
      </c>
      <c r="Q120" s="304">
        <f t="shared" ca="1" si="48"/>
        <v>1207.6824999999999</v>
      </c>
      <c r="R120" s="306">
        <f t="shared" ca="1" si="49"/>
        <v>0.5934935212330793</v>
      </c>
      <c r="S120" s="307">
        <f t="shared" ca="1" si="50"/>
        <v>7.4014653056943196</v>
      </c>
      <c r="T120" s="304">
        <f t="shared" ca="1" si="30"/>
        <v>72.608374648861286</v>
      </c>
      <c r="U120" s="311">
        <f t="shared" ca="1" si="31"/>
        <v>0</v>
      </c>
      <c r="V120" s="306">
        <f t="shared" ca="1" si="32"/>
        <v>1.2128473868843475</v>
      </c>
      <c r="W120" s="304">
        <f t="shared" ca="1" si="33"/>
        <v>97.455274792528442</v>
      </c>
      <c r="Y120" s="314" t="str">
        <f t="shared" ca="1" si="51"/>
        <v/>
      </c>
      <c r="Z120" s="315" t="str">
        <f t="shared" ca="1" si="52"/>
        <v/>
      </c>
      <c r="AA120" s="316" t="str">
        <f t="shared" ca="1" si="53"/>
        <v/>
      </c>
      <c r="AC120" s="310" t="e">
        <f t="shared" ca="1" si="54"/>
        <v>#N/A</v>
      </c>
      <c r="AD120" s="323" t="e">
        <f t="shared" ca="1" si="55"/>
        <v>#N/A</v>
      </c>
      <c r="AE120" s="324">
        <f t="shared" ca="1" si="34"/>
        <v>99.699539692548342</v>
      </c>
      <c r="AG120" s="306">
        <f t="shared" ca="1" si="56"/>
        <v>140.58020799559097</v>
      </c>
      <c r="AH120" s="304">
        <f t="shared" ca="1" si="57"/>
        <v>150.20892358806876</v>
      </c>
    </row>
    <row r="121" spans="1:34" x14ac:dyDescent="0.2">
      <c r="A121" s="347">
        <f t="shared" ca="1" si="35"/>
        <v>0.01</v>
      </c>
      <c r="B121" s="304">
        <f t="shared" ca="1" si="36"/>
        <v>1.1700000000000008</v>
      </c>
      <c r="D121" s="306">
        <f t="shared" ca="1" si="37"/>
        <v>28.69426535332514</v>
      </c>
      <c r="E121" s="307">
        <f t="shared" ca="1" si="38"/>
        <v>137.28643359622805</v>
      </c>
      <c r="F121" s="304">
        <f t="shared" ca="1" si="39"/>
        <v>140.25307737707067</v>
      </c>
      <c r="G121" s="306">
        <f t="shared" ca="1" si="40"/>
        <v>33.881439215996693</v>
      </c>
      <c r="H121" s="307">
        <f t="shared" ca="1" si="41"/>
        <v>173.58952755945444</v>
      </c>
      <c r="I121" s="304">
        <f t="shared" ca="1" si="42"/>
        <v>176.86513506528604</v>
      </c>
      <c r="J121" s="306">
        <f t="shared" ca="1" si="43"/>
        <v>19.205685639341908</v>
      </c>
      <c r="K121" s="307">
        <f t="shared" ca="1" si="44"/>
        <v>101.42857064646307</v>
      </c>
      <c r="L121" s="304">
        <f t="shared" ca="1" si="29"/>
        <v>103.23087379394681</v>
      </c>
      <c r="M121" s="306">
        <f t="shared" ca="1" si="45"/>
        <v>1.378038343624159</v>
      </c>
      <c r="N121" s="304">
        <f t="shared" ca="1" si="46"/>
        <v>78.955781096862992</v>
      </c>
      <c r="P121" s="310">
        <f t="shared" ca="1" si="47"/>
        <v>11</v>
      </c>
      <c r="Q121" s="304">
        <f t="shared" ca="1" si="48"/>
        <v>1205.8174999999999</v>
      </c>
      <c r="R121" s="306">
        <f t="shared" ca="1" si="49"/>
        <v>0.59257700102424982</v>
      </c>
      <c r="S121" s="307">
        <f t="shared" ca="1" si="50"/>
        <v>7.395539535684077</v>
      </c>
      <c r="T121" s="304">
        <f t="shared" ca="1" si="30"/>
        <v>72.550242845060794</v>
      </c>
      <c r="U121" s="311">
        <f t="shared" ca="1" si="31"/>
        <v>0</v>
      </c>
      <c r="V121" s="306">
        <f t="shared" ca="1" si="32"/>
        <v>1.2126376946439168</v>
      </c>
      <c r="W121" s="304">
        <f t="shared" ca="1" si="33"/>
        <v>99.002225652943551</v>
      </c>
      <c r="Y121" s="314" t="str">
        <f t="shared" ca="1" si="51"/>
        <v/>
      </c>
      <c r="Z121" s="315" t="str">
        <f t="shared" ca="1" si="52"/>
        <v/>
      </c>
      <c r="AA121" s="316" t="str">
        <f t="shared" ca="1" si="53"/>
        <v/>
      </c>
      <c r="AC121" s="310" t="e">
        <f t="shared" ca="1" si="54"/>
        <v>#N/A</v>
      </c>
      <c r="AD121" s="323" t="e">
        <f t="shared" ca="1" si="55"/>
        <v>#N/A</v>
      </c>
      <c r="AE121" s="324">
        <f t="shared" ca="1" si="34"/>
        <v>101.42857064646307</v>
      </c>
      <c r="AG121" s="306">
        <f t="shared" ca="1" si="56"/>
        <v>140.24050024539662</v>
      </c>
      <c r="AH121" s="304">
        <f t="shared" ca="1" si="57"/>
        <v>149.86901494604066</v>
      </c>
    </row>
    <row r="122" spans="1:34" x14ac:dyDescent="0.2">
      <c r="A122" s="347">
        <f t="shared" ca="1" si="35"/>
        <v>0.01</v>
      </c>
      <c r="B122" s="304">
        <f t="shared" ca="1" si="36"/>
        <v>1.1800000000000008</v>
      </c>
      <c r="D122" s="306">
        <f t="shared" ca="1" si="37"/>
        <v>28.644422820558159</v>
      </c>
      <c r="E122" s="307">
        <f t="shared" ca="1" si="38"/>
        <v>136.94798725475349</v>
      </c>
      <c r="F122" s="304">
        <f t="shared" ca="1" si="39"/>
        <v>139.91159412947533</v>
      </c>
      <c r="G122" s="306">
        <f t="shared" ca="1" si="40"/>
        <v>34.167883444202275</v>
      </c>
      <c r="H122" s="307">
        <f t="shared" ca="1" si="41"/>
        <v>174.95900743200198</v>
      </c>
      <c r="I122" s="304">
        <f t="shared" ca="1" si="42"/>
        <v>178.26412578151533</v>
      </c>
      <c r="J122" s="306">
        <f t="shared" ca="1" si="43"/>
        <v>19.545932252642903</v>
      </c>
      <c r="K122" s="307">
        <f t="shared" ca="1" si="44"/>
        <v>103.17131332142036</v>
      </c>
      <c r="L122" s="304">
        <f t="shared" ca="1" si="29"/>
        <v>105.00649199021743</v>
      </c>
      <c r="M122" s="306">
        <f t="shared" ca="1" si="45"/>
        <v>1.3779329232205961</v>
      </c>
      <c r="N122" s="304">
        <f t="shared" ca="1" si="46"/>
        <v>78.949740952664271</v>
      </c>
      <c r="P122" s="310">
        <f t="shared" ca="1" si="47"/>
        <v>11</v>
      </c>
      <c r="Q122" s="304">
        <f t="shared" ca="1" si="48"/>
        <v>1203.9524999999999</v>
      </c>
      <c r="R122" s="306">
        <f t="shared" ca="1" si="49"/>
        <v>0.59166048081542044</v>
      </c>
      <c r="S122" s="307">
        <f t="shared" ca="1" si="50"/>
        <v>7.3896229308759231</v>
      </c>
      <c r="T122" s="304">
        <f t="shared" ca="1" si="30"/>
        <v>72.492200951892812</v>
      </c>
      <c r="U122" s="311">
        <f t="shared" ca="1" si="31"/>
        <v>0</v>
      </c>
      <c r="V122" s="306">
        <f t="shared" ca="1" si="32"/>
        <v>1.2124263759832767</v>
      </c>
      <c r="W122" s="304">
        <f t="shared" ca="1" si="33"/>
        <v>100.55709463706199</v>
      </c>
      <c r="Y122" s="314" t="str">
        <f t="shared" ca="1" si="51"/>
        <v/>
      </c>
      <c r="Z122" s="315" t="str">
        <f t="shared" ca="1" si="52"/>
        <v/>
      </c>
      <c r="AA122" s="316" t="str">
        <f t="shared" ca="1" si="53"/>
        <v/>
      </c>
      <c r="AC122" s="310" t="e">
        <f t="shared" ca="1" si="54"/>
        <v>#N/A</v>
      </c>
      <c r="AD122" s="323" t="e">
        <f t="shared" ca="1" si="55"/>
        <v>#N/A</v>
      </c>
      <c r="AE122" s="324">
        <f t="shared" ca="1" si="34"/>
        <v>103.17131332142036</v>
      </c>
      <c r="AG122" s="306">
        <f t="shared" ca="1" si="56"/>
        <v>139.89897256635373</v>
      </c>
      <c r="AH122" s="304">
        <f t="shared" ca="1" si="57"/>
        <v>149.52728774972582</v>
      </c>
    </row>
    <row r="123" spans="1:34" x14ac:dyDescent="0.2">
      <c r="A123" s="347">
        <f t="shared" ca="1" si="35"/>
        <v>0.01</v>
      </c>
      <c r="B123" s="304">
        <f t="shared" ca="1" si="36"/>
        <v>1.1900000000000008</v>
      </c>
      <c r="D123" s="306">
        <f t="shared" ca="1" si="37"/>
        <v>28.594049093948389</v>
      </c>
      <c r="E123" s="307">
        <f t="shared" ca="1" si="38"/>
        <v>136.60780361107024</v>
      </c>
      <c r="F123" s="304">
        <f t="shared" ca="1" si="39"/>
        <v>139.56830460755717</v>
      </c>
      <c r="G123" s="306">
        <f t="shared" ca="1" si="40"/>
        <v>34.453823935141756</v>
      </c>
      <c r="H123" s="307">
        <f t="shared" ca="1" si="41"/>
        <v>176.32508546811269</v>
      </c>
      <c r="I123" s="304">
        <f t="shared" ca="1" si="42"/>
        <v>179.6596831486992</v>
      </c>
      <c r="J123" s="306">
        <f t="shared" ca="1" si="43"/>
        <v>19.889040789539624</v>
      </c>
      <c r="K123" s="307">
        <f t="shared" ca="1" si="44"/>
        <v>104.92773378592094</v>
      </c>
      <c r="L123" s="304">
        <f t="shared" ca="1" si="29"/>
        <v>106.79608261063261</v>
      </c>
      <c r="M123" s="306">
        <f t="shared" ca="1" si="45"/>
        <v>1.3778282652035334</v>
      </c>
      <c r="N123" s="304">
        <f t="shared" ca="1" si="46"/>
        <v>78.943744489994373</v>
      </c>
      <c r="P123" s="310">
        <f t="shared" ca="1" si="47"/>
        <v>11</v>
      </c>
      <c r="Q123" s="304">
        <f t="shared" ca="1" si="48"/>
        <v>1202.0874999999999</v>
      </c>
      <c r="R123" s="306">
        <f t="shared" ca="1" si="49"/>
        <v>0.59074396060659096</v>
      </c>
      <c r="S123" s="307">
        <f t="shared" ca="1" si="50"/>
        <v>7.3837154912698573</v>
      </c>
      <c r="T123" s="304">
        <f t="shared" ca="1" si="30"/>
        <v>72.434248969357299</v>
      </c>
      <c r="U123" s="311">
        <f t="shared" ca="1" si="31"/>
        <v>0</v>
      </c>
      <c r="V123" s="306">
        <f t="shared" ca="1" si="32"/>
        <v>1.2122134358710728</v>
      </c>
      <c r="W123" s="304">
        <f t="shared" ca="1" si="33"/>
        <v>102.11976010720822</v>
      </c>
      <c r="Y123" s="314" t="str">
        <f t="shared" ca="1" si="51"/>
        <v/>
      </c>
      <c r="Z123" s="315" t="str">
        <f t="shared" ca="1" si="52"/>
        <v/>
      </c>
      <c r="AA123" s="316" t="str">
        <f t="shared" ca="1" si="53"/>
        <v/>
      </c>
      <c r="AC123" s="310" t="e">
        <f t="shared" ca="1" si="54"/>
        <v>#N/A</v>
      </c>
      <c r="AD123" s="323" t="e">
        <f t="shared" ca="1" si="55"/>
        <v>#N/A</v>
      </c>
      <c r="AE123" s="324">
        <f t="shared" ca="1" si="34"/>
        <v>104.92773378592094</v>
      </c>
      <c r="AG123" s="306">
        <f t="shared" ca="1" si="56"/>
        <v>139.55563832506209</v>
      </c>
      <c r="AH123" s="304">
        <f t="shared" ca="1" si="57"/>
        <v>149.18375534178332</v>
      </c>
    </row>
    <row r="124" spans="1:34" x14ac:dyDescent="0.2">
      <c r="A124" s="347">
        <f t="shared" ca="1" si="35"/>
        <v>0.01</v>
      </c>
      <c r="B124" s="304">
        <f t="shared" ca="1" si="36"/>
        <v>1.2000000000000008</v>
      </c>
      <c r="D124" s="306">
        <f t="shared" ca="1" si="37"/>
        <v>28.543148979551248</v>
      </c>
      <c r="E124" s="307">
        <f t="shared" ca="1" si="38"/>
        <v>136.26589546004166</v>
      </c>
      <c r="F124" s="304">
        <f t="shared" ca="1" si="39"/>
        <v>139.22322226983493</v>
      </c>
      <c r="G124" s="306">
        <f t="shared" ca="1" si="40"/>
        <v>34.739255424937269</v>
      </c>
      <c r="H124" s="307">
        <f t="shared" ca="1" si="41"/>
        <v>177.68774442271311</v>
      </c>
      <c r="I124" s="304">
        <f t="shared" ca="1" si="42"/>
        <v>181.05178923587152</v>
      </c>
      <c r="J124" s="306">
        <f t="shared" ca="1" si="43"/>
        <v>20.235006186340019</v>
      </c>
      <c r="K124" s="307">
        <f t="shared" ca="1" si="44"/>
        <v>106.69779793537506</v>
      </c>
      <c r="L124" s="304">
        <f t="shared" ca="1" si="29"/>
        <v>108.59961123143741</v>
      </c>
      <c r="M124" s="306">
        <f t="shared" ca="1" si="45"/>
        <v>1.3777243562460093</v>
      </c>
      <c r="N124" s="304">
        <f t="shared" ca="1" si="46"/>
        <v>78.937790945274628</v>
      </c>
      <c r="P124" s="310">
        <f t="shared" ca="1" si="47"/>
        <v>11</v>
      </c>
      <c r="Q124" s="304">
        <f t="shared" ca="1" si="48"/>
        <v>1200.2224999999999</v>
      </c>
      <c r="R124" s="306">
        <f t="shared" ca="1" si="49"/>
        <v>0.58982744039776147</v>
      </c>
      <c r="S124" s="307">
        <f t="shared" ca="1" si="50"/>
        <v>7.3778172168658793</v>
      </c>
      <c r="T124" s="304">
        <f t="shared" ca="1" si="30"/>
        <v>72.376386897454282</v>
      </c>
      <c r="U124" s="311">
        <f t="shared" ca="1" si="31"/>
        <v>0</v>
      </c>
      <c r="V124" s="306">
        <f t="shared" ca="1" si="32"/>
        <v>1.2119988793003835</v>
      </c>
      <c r="W124" s="304">
        <f t="shared" ca="1" si="33"/>
        <v>103.69010020248371</v>
      </c>
      <c r="Y124" s="314" t="str">
        <f t="shared" ca="1" si="51"/>
        <v/>
      </c>
      <c r="Z124" s="315" t="str">
        <f t="shared" ca="1" si="52"/>
        <v/>
      </c>
      <c r="AA124" s="316" t="str">
        <f t="shared" ca="1" si="53"/>
        <v/>
      </c>
      <c r="AC124" s="310" t="e">
        <f t="shared" ca="1" si="54"/>
        <v>#N/A</v>
      </c>
      <c r="AD124" s="323" t="e">
        <f t="shared" ca="1" si="55"/>
        <v>#N/A</v>
      </c>
      <c r="AE124" s="324">
        <f t="shared" ca="1" si="34"/>
        <v>106.69779793537506</v>
      </c>
      <c r="AG124" s="306">
        <f t="shared" ca="1" si="56"/>
        <v>139.21051097577771</v>
      </c>
      <c r="AH124" s="304">
        <f t="shared" ca="1" si="57"/>
        <v>148.83843115311944</v>
      </c>
    </row>
    <row r="125" spans="1:34" x14ac:dyDescent="0.2">
      <c r="A125" s="347">
        <f t="shared" ca="1" si="35"/>
        <v>0.01</v>
      </c>
      <c r="B125" s="304">
        <f t="shared" ca="1" si="36"/>
        <v>1.2100000000000009</v>
      </c>
      <c r="D125" s="306">
        <f t="shared" ca="1" si="37"/>
        <v>28.463245154193107</v>
      </c>
      <c r="E125" s="307">
        <f t="shared" ca="1" si="38"/>
        <v>135.77659270425116</v>
      </c>
      <c r="F125" s="304">
        <f t="shared" ca="1" si="39"/>
        <v>138.72793320410926</v>
      </c>
      <c r="G125" s="306">
        <f t="shared" ca="1" si="40"/>
        <v>35.023887876479201</v>
      </c>
      <c r="H125" s="307">
        <f t="shared" ca="1" si="41"/>
        <v>179.04551034975563</v>
      </c>
      <c r="I125" s="304">
        <f t="shared" ca="1" si="42"/>
        <v>182.43894183640901</v>
      </c>
      <c r="J125" s="306">
        <f t="shared" ca="1" si="43"/>
        <v>20.583821902847102</v>
      </c>
      <c r="K125" s="307">
        <f t="shared" ca="1" si="44"/>
        <v>108.4814642092374</v>
      </c>
      <c r="L125" s="304">
        <f t="shared" ca="1" si="29"/>
        <v>110.41703582830044</v>
      </c>
      <c r="M125" s="306">
        <f t="shared" ca="1" si="45"/>
        <v>1.3776211825120614</v>
      </c>
      <c r="N125" s="304">
        <f t="shared" ca="1" si="46"/>
        <v>78.93187952576281</v>
      </c>
      <c r="P125" s="310">
        <f t="shared" ca="1" si="47"/>
        <v>12</v>
      </c>
      <c r="Q125" s="304">
        <f t="shared" ca="1" si="48"/>
        <v>1197.2639999999997</v>
      </c>
      <c r="R125" s="306">
        <f t="shared" ca="1" si="49"/>
        <v>0.58837353957319194</v>
      </c>
      <c r="S125" s="307">
        <f t="shared" ca="1" si="50"/>
        <v>7.3719334814701476</v>
      </c>
      <c r="T125" s="304">
        <f t="shared" ca="1" si="30"/>
        <v>72.318667453222147</v>
      </c>
      <c r="U125" s="311">
        <f t="shared" ca="1" si="31"/>
        <v>0</v>
      </c>
      <c r="V125" s="306">
        <f t="shared" ca="1" si="32"/>
        <v>1.2117827121711955</v>
      </c>
      <c r="W125" s="304">
        <f t="shared" ca="1" si="33"/>
        <v>105.26627992726098</v>
      </c>
      <c r="Y125" s="314" t="str">
        <f t="shared" ca="1" si="51"/>
        <v/>
      </c>
      <c r="Z125" s="315" t="str">
        <f t="shared" ca="1" si="52"/>
        <v/>
      </c>
      <c r="AA125" s="316" t="str">
        <f t="shared" ca="1" si="53"/>
        <v/>
      </c>
      <c r="AC125" s="310" t="e">
        <f t="shared" ca="1" si="54"/>
        <v>#N/A</v>
      </c>
      <c r="AD125" s="323" t="e">
        <f t="shared" ca="1" si="55"/>
        <v>#N/A</v>
      </c>
      <c r="AE125" s="324">
        <f t="shared" ca="1" si="34"/>
        <v>108.4814642092374</v>
      </c>
      <c r="AG125" s="306">
        <f t="shared" ca="1" si="56"/>
        <v>138.71516295226974</v>
      </c>
      <c r="AH125" s="304">
        <f t="shared" ca="1" si="57"/>
        <v>148.342887594725</v>
      </c>
    </row>
    <row r="126" spans="1:34" x14ac:dyDescent="0.2">
      <c r="A126" s="347">
        <f t="shared" ca="1" si="35"/>
        <v>0.01</v>
      </c>
      <c r="B126" s="304">
        <f t="shared" ca="1" si="36"/>
        <v>1.2200000000000009</v>
      </c>
      <c r="D126" s="306">
        <f t="shared" ca="1" si="37"/>
        <v>28.354253364634012</v>
      </c>
      <c r="E126" s="307">
        <f t="shared" ca="1" si="38"/>
        <v>135.13969211189453</v>
      </c>
      <c r="F126" s="304">
        <f t="shared" ca="1" si="39"/>
        <v>138.08222212856913</v>
      </c>
      <c r="G126" s="306">
        <f t="shared" ca="1" si="40"/>
        <v>35.307430410125541</v>
      </c>
      <c r="H126" s="307">
        <f t="shared" ca="1" si="41"/>
        <v>180.39690727087458</v>
      </c>
      <c r="I126" s="304">
        <f t="shared" ca="1" si="42"/>
        <v>183.81963658723291</v>
      </c>
      <c r="J126" s="306">
        <f t="shared" ca="1" si="43"/>
        <v>20.935478494280126</v>
      </c>
      <c r="K126" s="307">
        <f t="shared" ca="1" si="44"/>
        <v>110.27867629734055</v>
      </c>
      <c r="L126" s="304">
        <f t="shared" ca="1" si="29"/>
        <v>112.2482993442577</v>
      </c>
      <c r="M126" s="306">
        <f t="shared" ca="1" si="45"/>
        <v>1.377518729692663</v>
      </c>
      <c r="N126" s="304">
        <f t="shared" ca="1" si="46"/>
        <v>78.926009411612071</v>
      </c>
      <c r="P126" s="310">
        <f t="shared" ca="1" si="47"/>
        <v>12</v>
      </c>
      <c r="Q126" s="304">
        <f t="shared" ca="1" si="48"/>
        <v>1193.2119999999995</v>
      </c>
      <c r="R126" s="306">
        <f t="shared" ca="1" si="49"/>
        <v>0.58638225813288247</v>
      </c>
      <c r="S126" s="307">
        <f t="shared" ca="1" si="50"/>
        <v>7.3660696588888186</v>
      </c>
      <c r="T126" s="304">
        <f t="shared" ca="1" si="30"/>
        <v>72.26114335369931</v>
      </c>
      <c r="U126" s="311">
        <f t="shared" ca="1" si="31"/>
        <v>0</v>
      </c>
      <c r="V126" s="306">
        <f t="shared" ca="1" si="32"/>
        <v>1.2115649421732315</v>
      </c>
      <c r="W126" s="304">
        <f t="shared" ca="1" si="33"/>
        <v>106.84641088522274</v>
      </c>
      <c r="Y126" s="314" t="str">
        <f t="shared" ca="1" si="51"/>
        <v/>
      </c>
      <c r="Z126" s="315" t="str">
        <f t="shared" ca="1" si="52"/>
        <v/>
      </c>
      <c r="AA126" s="316" t="str">
        <f t="shared" ca="1" si="53"/>
        <v/>
      </c>
      <c r="AC126" s="310" t="e">
        <f t="shared" ca="1" si="54"/>
        <v>#N/A</v>
      </c>
      <c r="AD126" s="323" t="e">
        <f t="shared" ca="1" si="55"/>
        <v>#N/A</v>
      </c>
      <c r="AE126" s="324">
        <f t="shared" ca="1" si="34"/>
        <v>110.27867629734055</v>
      </c>
      <c r="AG126" s="306">
        <f t="shared" ca="1" si="56"/>
        <v>138.06937860851073</v>
      </c>
      <c r="AH126" s="304">
        <f t="shared" ca="1" si="57"/>
        <v>147.69690899676567</v>
      </c>
    </row>
    <row r="127" spans="1:34" x14ac:dyDescent="0.2">
      <c r="A127" s="347">
        <f t="shared" ca="1" si="35"/>
        <v>0.01</v>
      </c>
      <c r="B127" s="304">
        <f t="shared" ca="1" si="36"/>
        <v>1.2300000000000009</v>
      </c>
      <c r="D127" s="306">
        <f t="shared" ca="1" si="37"/>
        <v>28.24464918749781</v>
      </c>
      <c r="E127" s="307">
        <f t="shared" ca="1" si="38"/>
        <v>134.50090853086272</v>
      </c>
      <c r="F127" s="304">
        <f t="shared" ca="1" si="39"/>
        <v>137.43454661529728</v>
      </c>
      <c r="G127" s="306">
        <f t="shared" ca="1" si="40"/>
        <v>35.589876902000519</v>
      </c>
      <c r="H127" s="307">
        <f t="shared" ca="1" si="41"/>
        <v>181.7419163561832</v>
      </c>
      <c r="I127" s="304">
        <f t="shared" ca="1" si="42"/>
        <v>185.1938538362368</v>
      </c>
      <c r="J127" s="306">
        <f t="shared" ca="1" si="43"/>
        <v>21.289965030840758</v>
      </c>
      <c r="K127" s="307">
        <f t="shared" ca="1" si="44"/>
        <v>112.08937041547584</v>
      </c>
      <c r="L127" s="304">
        <f t="shared" ca="1" si="29"/>
        <v>114.09333710235745</v>
      </c>
      <c r="M127" s="306">
        <f t="shared" ca="1" si="45"/>
        <v>1.3774169838559849</v>
      </c>
      <c r="N127" s="304">
        <f t="shared" ca="1" si="46"/>
        <v>78.920179804587377</v>
      </c>
      <c r="P127" s="310">
        <f t="shared" ca="1" si="47"/>
        <v>12</v>
      </c>
      <c r="Q127" s="304">
        <f t="shared" ca="1" si="48"/>
        <v>1189.1599999999996</v>
      </c>
      <c r="R127" s="306">
        <f t="shared" ca="1" si="49"/>
        <v>0.58439097669257312</v>
      </c>
      <c r="S127" s="307">
        <f t="shared" ca="1" si="50"/>
        <v>7.3602257491218932</v>
      </c>
      <c r="T127" s="304">
        <f t="shared" ca="1" si="30"/>
        <v>72.203814598885771</v>
      </c>
      <c r="U127" s="311">
        <f t="shared" ca="1" si="31"/>
        <v>0</v>
      </c>
      <c r="V127" s="306">
        <f t="shared" ca="1" si="32"/>
        <v>1.2113455779029165</v>
      </c>
      <c r="W127" s="304">
        <f t="shared" ca="1" si="33"/>
        <v>108.43029283793039</v>
      </c>
      <c r="Y127" s="314" t="str">
        <f t="shared" ca="1" si="51"/>
        <v/>
      </c>
      <c r="Z127" s="315" t="str">
        <f t="shared" ca="1" si="52"/>
        <v/>
      </c>
      <c r="AA127" s="316" t="str">
        <f t="shared" ca="1" si="53"/>
        <v/>
      </c>
      <c r="AC127" s="310" t="e">
        <f t="shared" ca="1" si="54"/>
        <v>#N/A</v>
      </c>
      <c r="AD127" s="323" t="e">
        <f t="shared" ca="1" si="55"/>
        <v>#N/A</v>
      </c>
      <c r="AE127" s="324">
        <f t="shared" ca="1" si="34"/>
        <v>112.08937041547584</v>
      </c>
      <c r="AG127" s="306">
        <f t="shared" ca="1" si="56"/>
        <v>137.42162904205679</v>
      </c>
      <c r="AH127" s="304">
        <f t="shared" ca="1" si="57"/>
        <v>147.04896643202849</v>
      </c>
    </row>
    <row r="128" spans="1:34" x14ac:dyDescent="0.2">
      <c r="A128" s="347">
        <f t="shared" ca="1" si="35"/>
        <v>0.01</v>
      </c>
      <c r="B128" s="304">
        <f t="shared" ca="1" si="36"/>
        <v>1.2400000000000009</v>
      </c>
      <c r="D128" s="306">
        <f t="shared" ca="1" si="37"/>
        <v>28.134440761360501</v>
      </c>
      <c r="E128" s="307">
        <f t="shared" ca="1" si="38"/>
        <v>133.86026875812976</v>
      </c>
      <c r="F128" s="304">
        <f t="shared" ca="1" si="39"/>
        <v>136.78493451017636</v>
      </c>
      <c r="G128" s="306">
        <f t="shared" ca="1" si="40"/>
        <v>35.871221309614121</v>
      </c>
      <c r="H128" s="307">
        <f t="shared" ca="1" si="41"/>
        <v>183.0805190437645</v>
      </c>
      <c r="I128" s="304">
        <f t="shared" ca="1" si="42"/>
        <v>186.56157420963603</v>
      </c>
      <c r="J128" s="306">
        <f t="shared" ca="1" si="43"/>
        <v>21.647270521898832</v>
      </c>
      <c r="K128" s="307">
        <f t="shared" ca="1" si="44"/>
        <v>113.91348259247557</v>
      </c>
      <c r="L128" s="304">
        <f t="shared" ca="1" si="29"/>
        <v>115.95208423048939</v>
      </c>
      <c r="M128" s="306">
        <f t="shared" ca="1" si="45"/>
        <v>1.3773159314340002</v>
      </c>
      <c r="N128" s="304">
        <f t="shared" ca="1" si="46"/>
        <v>78.914389927298089</v>
      </c>
      <c r="P128" s="310">
        <f t="shared" ca="1" si="47"/>
        <v>12</v>
      </c>
      <c r="Q128" s="304">
        <f t="shared" ca="1" si="48"/>
        <v>1185.1079999999995</v>
      </c>
      <c r="R128" s="306">
        <f t="shared" ca="1" si="49"/>
        <v>0.58239969525226365</v>
      </c>
      <c r="S128" s="307">
        <f t="shared" ca="1" si="50"/>
        <v>7.3544017521693705</v>
      </c>
      <c r="T128" s="304">
        <f t="shared" ca="1" si="30"/>
        <v>72.146681188781528</v>
      </c>
      <c r="U128" s="311">
        <f t="shared" ca="1" si="31"/>
        <v>0</v>
      </c>
      <c r="V128" s="306">
        <f t="shared" ca="1" si="32"/>
        <v>1.211124627979876</v>
      </c>
      <c r="W128" s="304">
        <f t="shared" ca="1" si="33"/>
        <v>110.01772613738208</v>
      </c>
      <c r="Y128" s="314" t="str">
        <f t="shared" ca="1" si="51"/>
        <v/>
      </c>
      <c r="Z128" s="315" t="str">
        <f t="shared" ca="1" si="52"/>
        <v/>
      </c>
      <c r="AA128" s="316" t="str">
        <f t="shared" ca="1" si="53"/>
        <v/>
      </c>
      <c r="AC128" s="310" t="e">
        <f t="shared" ca="1" si="54"/>
        <v>#N/A</v>
      </c>
      <c r="AD128" s="323" t="e">
        <f t="shared" ca="1" si="55"/>
        <v>#N/A</v>
      </c>
      <c r="AE128" s="324">
        <f t="shared" ca="1" si="34"/>
        <v>113.91348259247557</v>
      </c>
      <c r="AG128" s="306">
        <f t="shared" ca="1" si="56"/>
        <v>136.77194208538842</v>
      </c>
      <c r="AH128" s="304">
        <f t="shared" ca="1" si="57"/>
        <v>146.3990877088643</v>
      </c>
    </row>
    <row r="129" spans="1:34" x14ac:dyDescent="0.2">
      <c r="A129" s="347">
        <f t="shared" ca="1" si="35"/>
        <v>0.01</v>
      </c>
      <c r="B129" s="304">
        <f t="shared" ca="1" si="36"/>
        <v>1.2500000000000009</v>
      </c>
      <c r="D129" s="306">
        <f t="shared" ca="1" si="37"/>
        <v>28.023636163786286</v>
      </c>
      <c r="E129" s="307">
        <f t="shared" ca="1" si="38"/>
        <v>133.21779964128285</v>
      </c>
      <c r="F129" s="304">
        <f t="shared" ca="1" si="39"/>
        <v>136.13341369812647</v>
      </c>
      <c r="G129" s="306">
        <f t="shared" ca="1" si="40"/>
        <v>36.151457671251983</v>
      </c>
      <c r="H129" s="307">
        <f t="shared" ca="1" si="41"/>
        <v>184.41269704017733</v>
      </c>
      <c r="I129" s="304">
        <f t="shared" ca="1" si="42"/>
        <v>187.92277861235596</v>
      </c>
      <c r="J129" s="306">
        <f t="shared" ca="1" si="43"/>
        <v>22.007383916803164</v>
      </c>
      <c r="K129" s="307">
        <f t="shared" ca="1" si="44"/>
        <v>115.75094867289528</v>
      </c>
      <c r="L129" s="304">
        <f t="shared" ca="1" si="29"/>
        <v>117.82447566417092</v>
      </c>
      <c r="M129" s="306">
        <f t="shared" ca="1" si="45"/>
        <v>1.3772155592096769</v>
      </c>
      <c r="N129" s="304">
        <f t="shared" ca="1" si="46"/>
        <v>78.908639022464016</v>
      </c>
      <c r="P129" s="310">
        <f t="shared" ca="1" si="47"/>
        <v>12</v>
      </c>
      <c r="Q129" s="304">
        <f t="shared" ca="1" si="48"/>
        <v>1181.0559999999996</v>
      </c>
      <c r="R129" s="306">
        <f t="shared" ca="1" si="49"/>
        <v>0.5804084138119544</v>
      </c>
      <c r="S129" s="307">
        <f t="shared" ca="1" si="50"/>
        <v>7.3485976680312506</v>
      </c>
      <c r="T129" s="304">
        <f t="shared" ca="1" si="30"/>
        <v>72.089743123386569</v>
      </c>
      <c r="U129" s="311">
        <f t="shared" ca="1" si="31"/>
        <v>0</v>
      </c>
      <c r="V129" s="306">
        <f t="shared" ca="1" si="32"/>
        <v>1.2109021010464784</v>
      </c>
      <c r="W129" s="304">
        <f t="shared" ca="1" si="33"/>
        <v>111.60851174904595</v>
      </c>
      <c r="Y129" s="314" t="str">
        <f t="shared" ca="1" si="51"/>
        <v/>
      </c>
      <c r="Z129" s="315" t="str">
        <f t="shared" ca="1" si="52"/>
        <v/>
      </c>
      <c r="AA129" s="316" t="str">
        <f t="shared" ca="1" si="53"/>
        <v/>
      </c>
      <c r="AC129" s="310" t="e">
        <f t="shared" ca="1" si="54"/>
        <v>#N/A</v>
      </c>
      <c r="AD129" s="323" t="e">
        <f t="shared" ca="1" si="55"/>
        <v>#N/A</v>
      </c>
      <c r="AE129" s="324">
        <f t="shared" ca="1" si="34"/>
        <v>115.75094867289528</v>
      </c>
      <c r="AG129" s="306">
        <f t="shared" ca="1" si="56"/>
        <v>136.1203456098084</v>
      </c>
      <c r="AH129" s="304">
        <f t="shared" ca="1" si="57"/>
        <v>145.747300675063</v>
      </c>
    </row>
    <row r="130" spans="1:34" x14ac:dyDescent="0.2">
      <c r="A130" s="347">
        <f t="shared" ca="1" si="35"/>
        <v>0.01</v>
      </c>
      <c r="B130" s="304">
        <f t="shared" ca="1" si="36"/>
        <v>1.2600000000000009</v>
      </c>
      <c r="D130" s="306">
        <f t="shared" ca="1" si="37"/>
        <v>27.912243413175279</v>
      </c>
      <c r="E130" s="307">
        <f t="shared" ca="1" si="38"/>
        <v>132.57352807441063</v>
      </c>
      <c r="F130" s="304">
        <f t="shared" ca="1" si="39"/>
        <v>135.4800120993975</v>
      </c>
      <c r="G130" s="306">
        <f t="shared" ca="1" si="40"/>
        <v>36.430580105383733</v>
      </c>
      <c r="H130" s="307">
        <f t="shared" ca="1" si="41"/>
        <v>185.73843232092145</v>
      </c>
      <c r="I130" s="304">
        <f t="shared" ca="1" si="42"/>
        <v>189.27744822838324</v>
      </c>
      <c r="J130" s="306">
        <f t="shared" ca="1" si="43"/>
        <v>22.370294105686341</v>
      </c>
      <c r="K130" s="307">
        <f t="shared" ca="1" si="44"/>
        <v>117.60170431970077</v>
      </c>
      <c r="L130" s="304">
        <f t="shared" ca="1" si="29"/>
        <v>119.71044614933666</v>
      </c>
      <c r="M130" s="306">
        <f t="shared" ca="1" si="45"/>
        <v>1.3771158543047322</v>
      </c>
      <c r="N130" s="304">
        <f t="shared" ca="1" si="46"/>
        <v>78.902926352213939</v>
      </c>
      <c r="P130" s="310">
        <f t="shared" ca="1" si="47"/>
        <v>12</v>
      </c>
      <c r="Q130" s="304">
        <f t="shared" ca="1" si="48"/>
        <v>1177.0039999999997</v>
      </c>
      <c r="R130" s="306">
        <f t="shared" ca="1" si="49"/>
        <v>0.57841713237164505</v>
      </c>
      <c r="S130" s="307">
        <f t="shared" ca="1" si="50"/>
        <v>7.3428134967075342</v>
      </c>
      <c r="T130" s="304">
        <f t="shared" ca="1" si="30"/>
        <v>72.033000402700921</v>
      </c>
      <c r="U130" s="311">
        <f t="shared" ca="1" si="31"/>
        <v>0</v>
      </c>
      <c r="V130" s="306">
        <f t="shared" ca="1" si="32"/>
        <v>1.2106780057673872</v>
      </c>
      <c r="W130" s="304">
        <f t="shared" ca="1" si="33"/>
        <v>113.2024512746611</v>
      </c>
      <c r="Y130" s="314" t="str">
        <f t="shared" ca="1" si="51"/>
        <v/>
      </c>
      <c r="Z130" s="315" t="str">
        <f t="shared" ca="1" si="52"/>
        <v/>
      </c>
      <c r="AA130" s="316" t="str">
        <f t="shared" ca="1" si="53"/>
        <v/>
      </c>
      <c r="AC130" s="310" t="e">
        <f t="shared" ca="1" si="54"/>
        <v>#N/A</v>
      </c>
      <c r="AD130" s="323" t="e">
        <f t="shared" ca="1" si="55"/>
        <v>#N/A</v>
      </c>
      <c r="AE130" s="324">
        <f t="shared" ca="1" si="34"/>
        <v>117.60170431970077</v>
      </c>
      <c r="AG130" s="306">
        <f t="shared" ca="1" si="56"/>
        <v>135.46686752172681</v>
      </c>
      <c r="AH130" s="304">
        <f t="shared" ca="1" si="57"/>
        <v>145.0936332141174</v>
      </c>
    </row>
    <row r="131" spans="1:34" x14ac:dyDescent="0.2">
      <c r="A131" s="347">
        <f t="shared" ca="1" si="35"/>
        <v>0.01</v>
      </c>
      <c r="B131" s="304">
        <f t="shared" ca="1" si="36"/>
        <v>1.2700000000000009</v>
      </c>
      <c r="D131" s="306">
        <f t="shared" ca="1" si="37"/>
        <v>27.8002704704992</v>
      </c>
      <c r="E131" s="307">
        <f t="shared" ca="1" si="38"/>
        <v>131.92748099402488</v>
      </c>
      <c r="F131" s="304">
        <f t="shared" ca="1" si="39"/>
        <v>134.82475766587422</v>
      </c>
      <c r="G131" s="306">
        <f t="shared" ca="1" si="40"/>
        <v>36.708582810088728</v>
      </c>
      <c r="H131" s="307">
        <f t="shared" ca="1" si="41"/>
        <v>187.0577071308617</v>
      </c>
      <c r="I131" s="304">
        <f t="shared" ca="1" si="42"/>
        <v>190.62556452107984</v>
      </c>
      <c r="J131" s="306">
        <f t="shared" ca="1" si="43"/>
        <v>22.735989920263702</v>
      </c>
      <c r="K131" s="307">
        <f t="shared" ca="1" si="44"/>
        <v>119.46568501695968</v>
      </c>
      <c r="L131" s="304">
        <f t="shared" ca="1" si="29"/>
        <v>121.60993024513154</v>
      </c>
      <c r="M131" s="306">
        <f t="shared" ca="1" si="45"/>
        <v>1.3770168041679123</v>
      </c>
      <c r="N131" s="304">
        <f t="shared" ca="1" si="46"/>
        <v>78.897251197413965</v>
      </c>
      <c r="P131" s="310">
        <f t="shared" ca="1" si="47"/>
        <v>12</v>
      </c>
      <c r="Q131" s="304">
        <f t="shared" ca="1" si="48"/>
        <v>1172.9519999999995</v>
      </c>
      <c r="R131" s="306">
        <f t="shared" ca="1" si="49"/>
        <v>0.57642585093133558</v>
      </c>
      <c r="S131" s="307">
        <f t="shared" ca="1" si="50"/>
        <v>7.3370492381982206</v>
      </c>
      <c r="T131" s="304">
        <f t="shared" ca="1" si="30"/>
        <v>71.976453026724542</v>
      </c>
      <c r="U131" s="311">
        <f t="shared" ca="1" si="31"/>
        <v>0</v>
      </c>
      <c r="V131" s="306">
        <f t="shared" ca="1" si="32"/>
        <v>1.2104523508291021</v>
      </c>
      <c r="W131" s="304">
        <f t="shared" ca="1" si="33"/>
        <v>114.79934697479976</v>
      </c>
      <c r="Y131" s="314" t="str">
        <f t="shared" ca="1" si="51"/>
        <v/>
      </c>
      <c r="Z131" s="315" t="str">
        <f t="shared" ca="1" si="52"/>
        <v/>
      </c>
      <c r="AA131" s="316" t="str">
        <f t="shared" ca="1" si="53"/>
        <v/>
      </c>
      <c r="AC131" s="310" t="e">
        <f t="shared" ca="1" si="54"/>
        <v>#N/A</v>
      </c>
      <c r="AD131" s="323" t="e">
        <f t="shared" ca="1" si="55"/>
        <v>#N/A</v>
      </c>
      <c r="AE131" s="324">
        <f t="shared" ca="1" si="34"/>
        <v>119.46568501695968</v>
      </c>
      <c r="AG131" s="306">
        <f t="shared" ca="1" si="56"/>
        <v>134.811535758959</v>
      </c>
      <c r="AH131" s="304">
        <f t="shared" ca="1" si="57"/>
        <v>144.43811324150033</v>
      </c>
    </row>
    <row r="132" spans="1:34" x14ac:dyDescent="0.2">
      <c r="A132" s="347">
        <f t="shared" ca="1" si="35"/>
        <v>0.01</v>
      </c>
      <c r="B132" s="304">
        <f t="shared" ca="1" si="36"/>
        <v>1.2800000000000009</v>
      </c>
      <c r="D132" s="306">
        <f t="shared" ca="1" si="37"/>
        <v>27.68772524093206</v>
      </c>
      <c r="E132" s="307">
        <f t="shared" ca="1" si="38"/>
        <v>131.27968537501326</v>
      </c>
      <c r="F132" s="304">
        <f t="shared" ca="1" si="39"/>
        <v>134.16767837739391</v>
      </c>
      <c r="G132" s="306">
        <f t="shared" ca="1" si="40"/>
        <v>36.985460062498049</v>
      </c>
      <c r="H132" s="307">
        <f t="shared" ca="1" si="41"/>
        <v>188.37050398461184</v>
      </c>
      <c r="I132" s="304">
        <f t="shared" ca="1" si="42"/>
        <v>191.96710923346038</v>
      </c>
      <c r="J132" s="306">
        <f t="shared" ca="1" si="43"/>
        <v>23.104460134626635</v>
      </c>
      <c r="K132" s="307">
        <f t="shared" ca="1" si="44"/>
        <v>121.34282607253705</v>
      </c>
      <c r="L132" s="304">
        <f t="shared" ref="L132:L195" ca="1" si="58">SQRT(pos_x^2+pos_z^2)</f>
        <v>123.52286232670667</v>
      </c>
      <c r="M132" s="306">
        <f t="shared" ca="1" si="45"/>
        <v>1.3769183965637775</v>
      </c>
      <c r="N132" s="304">
        <f t="shared" ca="1" si="46"/>
        <v>78.891612857025038</v>
      </c>
      <c r="P132" s="310">
        <f t="shared" ca="1" si="47"/>
        <v>12</v>
      </c>
      <c r="Q132" s="304">
        <f t="shared" ca="1" si="48"/>
        <v>1168.8999999999996</v>
      </c>
      <c r="R132" s="306">
        <f t="shared" ca="1" si="49"/>
        <v>0.57443456949102623</v>
      </c>
      <c r="S132" s="307">
        <f t="shared" ca="1" si="50"/>
        <v>7.3313048925033106</v>
      </c>
      <c r="T132" s="304">
        <f t="shared" ref="T132:T195" ca="1" si="59">m*g</f>
        <v>71.920100995457474</v>
      </c>
      <c r="U132" s="311">
        <f t="shared" ref="U132:U195" ca="1" si="60">IF(pos_xz&lt;L_rampe,Poids*COS(Beta),0)</f>
        <v>0</v>
      </c>
      <c r="V132" s="306">
        <f t="shared" ref="V132:V195" ca="1" si="61">Rho_moyen*(20000-Alt_rampe-pos_z)/(20000+Alt_rampe+pos_z)</f>
        <v>1.2102251449395067</v>
      </c>
      <c r="W132" s="304">
        <f t="shared" ref="W132:W195" ca="1" si="62">1/2*Rho*Sref*Cx*vit_xz^2</f>
        <v>116.39900179118858</v>
      </c>
      <c r="Y132" s="314" t="str">
        <f t="shared" ca="1" si="51"/>
        <v/>
      </c>
      <c r="Z132" s="315" t="str">
        <f t="shared" ca="1" si="52"/>
        <v/>
      </c>
      <c r="AA132" s="316" t="str">
        <f t="shared" ca="1" si="53"/>
        <v/>
      </c>
      <c r="AC132" s="310" t="e">
        <f t="shared" ca="1" si="54"/>
        <v>#N/A</v>
      </c>
      <c r="AD132" s="323" t="e">
        <f t="shared" ca="1" si="55"/>
        <v>#N/A</v>
      </c>
      <c r="AE132" s="324">
        <f t="shared" ref="AE132:AE195" ca="1" si="63">IF(t&lt;T_para, pos_z, NA())</f>
        <v>121.34282607253705</v>
      </c>
      <c r="AG132" s="306">
        <f t="shared" ca="1" si="56"/>
        <v>134.15437828703551</v>
      </c>
      <c r="AH132" s="304">
        <f t="shared" ca="1" si="57"/>
        <v>143.78076870095521</v>
      </c>
    </row>
    <row r="133" spans="1:34" x14ac:dyDescent="0.2">
      <c r="A133" s="347">
        <f t="shared" ref="A133:A196" ca="1" si="64">IF(B132+0.01&lt;=T_ini+ROUNDUP(Temps_fin_propu,0), 0.01, IF(K132&gt;0, 0.1, 0.0001))</f>
        <v>0.01</v>
      </c>
      <c r="B133" s="304">
        <f t="shared" ref="B133:B196" ca="1" si="65">B132+pas</f>
        <v>1.2900000000000009</v>
      </c>
      <c r="D133" s="306">
        <f t="shared" ref="D133:D196" ca="1" si="66">IF(AND(L132&lt;L_rampe,Poussee&lt;Poids*SIN(M132)),0,(-W132+Poussee)/m*COS(M132)-U132/m*SIN(M132))</f>
        <v>27.574615575380253</v>
      </c>
      <c r="E133" s="307">
        <f t="shared" ref="E133:E196" ca="1" si="67">IF(AND(L132&lt;L_rampe,Poussee&lt;Poids*SIN(M132)),0,(-W132+Poussee)/m*SIN(M132)+U132/m*COS(M132)-Poids/m)</f>
        <v>130.63016822662391</v>
      </c>
      <c r="F133" s="304">
        <f t="shared" ref="F133:F196" ca="1" si="68">SQRT(acc_x^2+acc_z^2)</f>
        <v>133.50880223807741</v>
      </c>
      <c r="G133" s="306">
        <f t="shared" ref="G133:G196" ca="1" si="69">G132+acc_x*pas</f>
        <v>37.26120621825185</v>
      </c>
      <c r="H133" s="307">
        <f t="shared" ref="H133:H196" ca="1" si="70">H132+acc_z*pas</f>
        <v>189.6768056668781</v>
      </c>
      <c r="I133" s="304">
        <f t="shared" ref="I133:I196" ca="1" si="71">SQRT(vit_x^2+vit_z^2)</f>
        <v>193.30206438843257</v>
      </c>
      <c r="J133" s="306">
        <f t="shared" ref="J133:J196" ca="1" si="72">J132+0.5*(vit_x+G132)*pas*(K132&gt;=0)</f>
        <v>23.475693466030386</v>
      </c>
      <c r="K133" s="307">
        <f t="shared" ref="K133:K196" ca="1" si="73">K132+0.5*(vit_z+H132)*pas</f>
        <v>123.2330626207945</v>
      </c>
      <c r="L133" s="304">
        <f t="shared" ca="1" si="58"/>
        <v>125.44917658801782</v>
      </c>
      <c r="M133" s="306">
        <f t="shared" ref="M133:M196" ca="1" si="74">IF(AND(L132&gt;L_rampe,G133&gt;0),ATAN2(G133,H133),$M$4)</f>
        <v>1.3768206195619621</v>
      </c>
      <c r="N133" s="304">
        <f t="shared" ref="N133:N196" ca="1" si="75">DEGREES(Beta)</f>
        <v>78.886010647487581</v>
      </c>
      <c r="P133" s="310">
        <f t="shared" ref="P133:P196" ca="1" si="76">MATCH(t-pas/2-T_ini,CdP_t)</f>
        <v>12</v>
      </c>
      <c r="Q133" s="304">
        <f t="shared" ref="Q133:Q196" ca="1" si="77">(INDEX(CdP,2,i_P+1)-INDEX(CdP,2,i_P+0))/(INDEX(CdP,1,i_P+1)-INDEX(CdP,1,i_P+0))*(t-pas/2-T_ini-INDEX(CdP,1,i_P+0))+INDEX(CdP,2,i_P+0)</f>
        <v>1164.8479999999995</v>
      </c>
      <c r="R133" s="306">
        <f t="shared" ref="R133:R196" ca="1" si="78">Poussee/(g*ISP)</f>
        <v>0.57244328805071676</v>
      </c>
      <c r="S133" s="307">
        <f t="shared" ref="S133:S196" ca="1" si="79">S132-Débit*pas</f>
        <v>7.3255804596228034</v>
      </c>
      <c r="T133" s="304">
        <f t="shared" ca="1" si="59"/>
        <v>71.863944308899704</v>
      </c>
      <c r="U133" s="311">
        <f t="shared" ca="1" si="60"/>
        <v>0</v>
      </c>
      <c r="V133" s="306">
        <f t="shared" ca="1" si="61"/>
        <v>1.2099963968274179</v>
      </c>
      <c r="W133" s="304">
        <f t="shared" ca="1" si="62"/>
        <v>118.00121936878519</v>
      </c>
      <c r="Y133" s="314" t="str">
        <f t="shared" ref="Y133:Y196" ca="1" si="80">IF(AND(pos_z&lt;=0,K132&gt;0),"Impact balistique","") &amp; IF(AND(H134&lt;0,vit_z&gt;=0),"Apogée","") &amp; IF(AND(Poussee=0,Q132&gt;0),"Fin de propulsion","") &amp; IF(AND(L134&gt;L_rampe,pos_xz&lt;=L_rampe),"Sortie de rampe","")</f>
        <v/>
      </c>
      <c r="Z133" s="315" t="str">
        <f t="shared" ref="Z133:Z196" ca="1" si="81">IF(ABS(t-T_para)&lt;pas/2,"Para","")</f>
        <v/>
      </c>
      <c r="AA133" s="316" t="str">
        <f t="shared" ref="AA133:AA196" ca="1" si="82">IF(ABS(t-T_satellite)&lt;pas/2,"Satellite","")</f>
        <v/>
      </c>
      <c r="AC133" s="310" t="e">
        <f t="shared" ref="AC133:AC196" ca="1" si="83">IF(ABS(t-ROUND(t,0))&lt;0.001,t,NA())</f>
        <v>#N/A</v>
      </c>
      <c r="AD133" s="323" t="e">
        <f t="shared" ref="AD133:AD196" ca="1" si="84">IF(ABS(t-ROUND(t,0))&lt;0.001,pos_x,NA())</f>
        <v>#N/A</v>
      </c>
      <c r="AE133" s="324">
        <f t="shared" ca="1" si="63"/>
        <v>123.2330626207945</v>
      </c>
      <c r="AG133" s="306">
        <f t="shared" ref="AG133:AG196" ca="1" si="85">IF(AND(L132&lt;L_rampe,Poussee&lt;Poids*SIN(M132)),0,(-W132+Poussee)/m-Poids*SIN(M132)/m)</f>
        <v>133.49542309552541</v>
      </c>
      <c r="AH133" s="304">
        <f t="shared" ref="AH133:AH196" ca="1" si="86">IF(AND(L132&lt;L_rampe,Poussee&lt;Poids*SIN(M132)), g*SIN(M132), (-W132+Poussee)/m)</f>
        <v>143.12162756080028</v>
      </c>
    </row>
    <row r="134" spans="1:34" x14ac:dyDescent="0.2">
      <c r="A134" s="347">
        <f t="shared" ca="1" si="64"/>
        <v>0.01</v>
      </c>
      <c r="B134" s="304">
        <f t="shared" ca="1" si="65"/>
        <v>1.3000000000000009</v>
      </c>
      <c r="D134" s="306">
        <f t="shared" ca="1" si="66"/>
        <v>27.460949271918398</v>
      </c>
      <c r="E134" s="307">
        <f t="shared" ca="1" si="67"/>
        <v>129.97895658848154</v>
      </c>
      <c r="F134" s="304">
        <f t="shared" ca="1" si="68"/>
        <v>132.84815727267446</v>
      </c>
      <c r="G134" s="306">
        <f t="shared" ca="1" si="69"/>
        <v>37.535815710971036</v>
      </c>
      <c r="H134" s="307">
        <f t="shared" ca="1" si="70"/>
        <v>190.97659523276292</v>
      </c>
      <c r="I134" s="304">
        <f t="shared" ca="1" si="71"/>
        <v>194.6304122890011</v>
      </c>
      <c r="J134" s="306">
        <f t="shared" ca="1" si="72"/>
        <v>23.849678575676499</v>
      </c>
      <c r="K134" s="307">
        <f t="shared" ca="1" si="73"/>
        <v>125.1363296252927</v>
      </c>
      <c r="L134" s="304">
        <f t="shared" ca="1" si="58"/>
        <v>127.38880704462615</v>
      </c>
      <c r="M134" s="306">
        <f t="shared" ca="1" si="74"/>
        <v>1.376723461526886</v>
      </c>
      <c r="N134" s="304">
        <f t="shared" ca="1" si="75"/>
        <v>78.88044390213193</v>
      </c>
      <c r="P134" s="310">
        <f t="shared" ca="1" si="76"/>
        <v>12</v>
      </c>
      <c r="Q134" s="304">
        <f t="shared" ca="1" si="77"/>
        <v>1160.7959999999996</v>
      </c>
      <c r="R134" s="306">
        <f t="shared" ca="1" si="78"/>
        <v>0.5704520066104074</v>
      </c>
      <c r="S134" s="307">
        <f t="shared" ca="1" si="79"/>
        <v>7.3198759395566997</v>
      </c>
      <c r="T134" s="304">
        <f t="shared" ca="1" si="59"/>
        <v>71.807982967051231</v>
      </c>
      <c r="U134" s="311">
        <f t="shared" ca="1" si="60"/>
        <v>0</v>
      </c>
      <c r="V134" s="306">
        <f t="shared" ca="1" si="61"/>
        <v>1.2097661152421284</v>
      </c>
      <c r="W134" s="304">
        <f t="shared" ca="1" si="62"/>
        <v>119.60580407760511</v>
      </c>
      <c r="Y134" s="314" t="str">
        <f t="shared" ca="1" si="80"/>
        <v/>
      </c>
      <c r="Z134" s="315" t="str">
        <f t="shared" ca="1" si="81"/>
        <v/>
      </c>
      <c r="AA134" s="316" t="str">
        <f t="shared" ca="1" si="82"/>
        <v/>
      </c>
      <c r="AC134" s="310" t="e">
        <f t="shared" ca="1" si="83"/>
        <v>#N/A</v>
      </c>
      <c r="AD134" s="323" t="e">
        <f t="shared" ca="1" si="84"/>
        <v>#N/A</v>
      </c>
      <c r="AE134" s="324">
        <f t="shared" ca="1" si="63"/>
        <v>125.1363296252927</v>
      </c>
      <c r="AG134" s="306">
        <f t="shared" ca="1" si="85"/>
        <v>132.83469819437406</v>
      </c>
      <c r="AH134" s="304">
        <f t="shared" ca="1" si="86"/>
        <v>142.4607178102485</v>
      </c>
    </row>
    <row r="135" spans="1:34" x14ac:dyDescent="0.2">
      <c r="A135" s="347">
        <f t="shared" ca="1" si="64"/>
        <v>0.01</v>
      </c>
      <c r="B135" s="304">
        <f t="shared" ca="1" si="65"/>
        <v>1.3100000000000009</v>
      </c>
      <c r="D135" s="306">
        <f t="shared" ca="1" si="66"/>
        <v>27.3392272994375</v>
      </c>
      <c r="E135" s="307">
        <f t="shared" ca="1" si="67"/>
        <v>129.28788416866956</v>
      </c>
      <c r="F135" s="304">
        <f t="shared" ca="1" si="68"/>
        <v>132.14685142727248</v>
      </c>
      <c r="G135" s="306">
        <f t="shared" ca="1" si="69"/>
        <v>37.809207983965415</v>
      </c>
      <c r="H135" s="307">
        <f t="shared" ca="1" si="70"/>
        <v>192.26947407444962</v>
      </c>
      <c r="I135" s="304">
        <f t="shared" ca="1" si="71"/>
        <v>195.95174627759818</v>
      </c>
      <c r="J135" s="306">
        <f t="shared" ca="1" si="72"/>
        <v>24.22640369415118</v>
      </c>
      <c r="K135" s="307">
        <f t="shared" ca="1" si="73"/>
        <v>127.05255997182877</v>
      </c>
      <c r="L135" s="304">
        <f t="shared" ca="1" si="58"/>
        <v>129.34168559032747</v>
      </c>
      <c r="M135" s="306">
        <f t="shared" ca="1" si="74"/>
        <v>1.3766269109161091</v>
      </c>
      <c r="N135" s="304">
        <f t="shared" ca="1" si="75"/>
        <v>78.87491195962501</v>
      </c>
      <c r="P135" s="310">
        <f t="shared" ca="1" si="76"/>
        <v>13</v>
      </c>
      <c r="Q135" s="304">
        <f t="shared" ca="1" si="77"/>
        <v>1156.4594999999995</v>
      </c>
      <c r="R135" s="306">
        <f t="shared" ca="1" si="78"/>
        <v>0.56832091283797359</v>
      </c>
      <c r="S135" s="307">
        <f t="shared" ca="1" si="79"/>
        <v>7.3141927304283199</v>
      </c>
      <c r="T135" s="304">
        <f t="shared" ca="1" si="59"/>
        <v>71.752230685501814</v>
      </c>
      <c r="U135" s="311">
        <f t="shared" ca="1" si="60"/>
        <v>0</v>
      </c>
      <c r="V135" s="306">
        <f t="shared" ca="1" si="61"/>
        <v>1.209534309183947</v>
      </c>
      <c r="W135" s="304">
        <f t="shared" ca="1" si="62"/>
        <v>121.21207950278713</v>
      </c>
      <c r="Y135" s="314" t="str">
        <f t="shared" ca="1" si="80"/>
        <v/>
      </c>
      <c r="Z135" s="315" t="str">
        <f t="shared" ca="1" si="81"/>
        <v/>
      </c>
      <c r="AA135" s="316" t="str">
        <f t="shared" ca="1" si="82"/>
        <v/>
      </c>
      <c r="AC135" s="310" t="e">
        <f t="shared" ca="1" si="83"/>
        <v>#N/A</v>
      </c>
      <c r="AD135" s="323" t="e">
        <f t="shared" ca="1" si="84"/>
        <v>#N/A</v>
      </c>
      <c r="AE135" s="324">
        <f t="shared" ca="1" si="63"/>
        <v>127.05255997182877</v>
      </c>
      <c r="AG135" s="306">
        <f t="shared" ca="1" si="85"/>
        <v>132.13330752639885</v>
      </c>
      <c r="AH135" s="304">
        <f t="shared" ca="1" si="86"/>
        <v>141.75914337188598</v>
      </c>
    </row>
    <row r="136" spans="1:34" x14ac:dyDescent="0.2">
      <c r="A136" s="347">
        <f t="shared" ca="1" si="64"/>
        <v>0.01</v>
      </c>
      <c r="B136" s="304">
        <f t="shared" ca="1" si="65"/>
        <v>1.320000000000001</v>
      </c>
      <c r="D136" s="306">
        <f t="shared" ca="1" si="66"/>
        <v>27.209436444434427</v>
      </c>
      <c r="E136" s="307">
        <f t="shared" ca="1" si="67"/>
        <v>128.55693001483209</v>
      </c>
      <c r="F136" s="304">
        <f t="shared" ca="1" si="68"/>
        <v>131.40486173069149</v>
      </c>
      <c r="G136" s="306">
        <f t="shared" ca="1" si="69"/>
        <v>38.081302348409757</v>
      </c>
      <c r="H136" s="307">
        <f t="shared" ca="1" si="70"/>
        <v>193.55504337459794</v>
      </c>
      <c r="I136" s="304">
        <f t="shared" ca="1" si="71"/>
        <v>197.26565946533495</v>
      </c>
      <c r="J136" s="306">
        <f t="shared" ca="1" si="72"/>
        <v>24.605856245813058</v>
      </c>
      <c r="K136" s="307">
        <f t="shared" ca="1" si="73"/>
        <v>128.98168255907402</v>
      </c>
      <c r="L136" s="304">
        <f t="shared" ca="1" si="58"/>
        <v>131.30774005122225</v>
      </c>
      <c r="M136" s="306">
        <f t="shared" ca="1" si="74"/>
        <v>1.3765309562803554</v>
      </c>
      <c r="N136" s="304">
        <f t="shared" ca="1" si="75"/>
        <v>78.869414163971598</v>
      </c>
      <c r="P136" s="310">
        <f t="shared" ca="1" si="76"/>
        <v>13</v>
      </c>
      <c r="Q136" s="304">
        <f t="shared" ca="1" si="77"/>
        <v>1151.8384999999994</v>
      </c>
      <c r="R136" s="306">
        <f t="shared" ca="1" si="78"/>
        <v>0.56605000673341543</v>
      </c>
      <c r="S136" s="307">
        <f t="shared" ca="1" si="79"/>
        <v>7.3085322303609859</v>
      </c>
      <c r="T136" s="304">
        <f t="shared" ca="1" si="59"/>
        <v>71.69670117984127</v>
      </c>
      <c r="U136" s="311">
        <f t="shared" ca="1" si="60"/>
        <v>0</v>
      </c>
      <c r="V136" s="306">
        <f t="shared" ca="1" si="61"/>
        <v>1.2093009881347581</v>
      </c>
      <c r="W136" s="304">
        <f t="shared" ca="1" si="62"/>
        <v>122.81935686087168</v>
      </c>
      <c r="Y136" s="314" t="str">
        <f t="shared" ca="1" si="80"/>
        <v/>
      </c>
      <c r="Z136" s="315" t="str">
        <f t="shared" ca="1" si="81"/>
        <v/>
      </c>
      <c r="AA136" s="316" t="str">
        <f t="shared" ca="1" si="82"/>
        <v/>
      </c>
      <c r="AC136" s="310" t="e">
        <f t="shared" ca="1" si="83"/>
        <v>#N/A</v>
      </c>
      <c r="AD136" s="323" t="e">
        <f t="shared" ca="1" si="84"/>
        <v>#N/A</v>
      </c>
      <c r="AE136" s="324">
        <f t="shared" ca="1" si="63"/>
        <v>128.98168255907402</v>
      </c>
      <c r="AG136" s="306">
        <f t="shared" ca="1" si="85"/>
        <v>131.3912279595495</v>
      </c>
      <c r="AH136" s="304">
        <f t="shared" ca="1" si="86"/>
        <v>141.01688109355263</v>
      </c>
    </row>
    <row r="137" spans="1:34" x14ac:dyDescent="0.2">
      <c r="A137" s="347">
        <f t="shared" ca="1" si="64"/>
        <v>0.01</v>
      </c>
      <c r="B137" s="304">
        <f t="shared" ca="1" si="65"/>
        <v>1.330000000000001</v>
      </c>
      <c r="D137" s="306">
        <f t="shared" ca="1" si="66"/>
        <v>27.079089848390442</v>
      </c>
      <c r="E137" s="307">
        <f t="shared" ca="1" si="67"/>
        <v>127.82432674115771</v>
      </c>
      <c r="F137" s="304">
        <f t="shared" ca="1" si="68"/>
        <v>130.66114806570255</v>
      </c>
      <c r="G137" s="306">
        <f t="shared" ca="1" si="69"/>
        <v>38.352093246893659</v>
      </c>
      <c r="H137" s="307">
        <f t="shared" ca="1" si="70"/>
        <v>194.83328664200951</v>
      </c>
      <c r="I137" s="304">
        <f t="shared" ca="1" si="71"/>
        <v>198.57213460137316</v>
      </c>
      <c r="J137" s="306">
        <f t="shared" ca="1" si="72"/>
        <v>24.988023223789575</v>
      </c>
      <c r="K137" s="307">
        <f t="shared" ca="1" si="73"/>
        <v>130.92362420915705</v>
      </c>
      <c r="L137" s="304">
        <f t="shared" ca="1" si="58"/>
        <v>133.28689613271524</v>
      </c>
      <c r="M137" s="306">
        <f t="shared" ca="1" si="74"/>
        <v>1.3764355864505875</v>
      </c>
      <c r="N137" s="304">
        <f t="shared" ca="1" si="75"/>
        <v>78.863949875233018</v>
      </c>
      <c r="P137" s="310">
        <f t="shared" ca="1" si="76"/>
        <v>13</v>
      </c>
      <c r="Q137" s="304">
        <f t="shared" ca="1" si="77"/>
        <v>1147.2174999999995</v>
      </c>
      <c r="R137" s="306">
        <f t="shared" ca="1" si="78"/>
        <v>0.56377910062885728</v>
      </c>
      <c r="S137" s="307">
        <f t="shared" ca="1" si="79"/>
        <v>7.3028944393546977</v>
      </c>
      <c r="T137" s="304">
        <f t="shared" ca="1" si="59"/>
        <v>71.641394450069583</v>
      </c>
      <c r="U137" s="311">
        <f t="shared" ca="1" si="60"/>
        <v>0</v>
      </c>
      <c r="V137" s="306">
        <f t="shared" ca="1" si="61"/>
        <v>1.2090661618264407</v>
      </c>
      <c r="W137" s="304">
        <f t="shared" ca="1" si="62"/>
        <v>124.42742376822261</v>
      </c>
      <c r="Y137" s="314" t="str">
        <f t="shared" ca="1" si="80"/>
        <v/>
      </c>
      <c r="Z137" s="315" t="str">
        <f t="shared" ca="1" si="81"/>
        <v/>
      </c>
      <c r="AA137" s="316" t="str">
        <f t="shared" ca="1" si="82"/>
        <v/>
      </c>
      <c r="AC137" s="310" t="e">
        <f t="shared" ca="1" si="83"/>
        <v>#N/A</v>
      </c>
      <c r="AD137" s="323" t="e">
        <f t="shared" ca="1" si="84"/>
        <v>#N/A</v>
      </c>
      <c r="AE137" s="324">
        <f t="shared" ca="1" si="63"/>
        <v>130.92362420915705</v>
      </c>
      <c r="AG137" s="306">
        <f t="shared" ca="1" si="85"/>
        <v>130.64742329913113</v>
      </c>
      <c r="AH137" s="304">
        <f t="shared" ca="1" si="86"/>
        <v>140.27289476056649</v>
      </c>
    </row>
    <row r="138" spans="1:34" x14ac:dyDescent="0.2">
      <c r="A138" s="347">
        <f t="shared" ca="1" si="64"/>
        <v>0.01</v>
      </c>
      <c r="B138" s="304">
        <f t="shared" ca="1" si="65"/>
        <v>1.340000000000001</v>
      </c>
      <c r="D138" s="306">
        <f t="shared" ca="1" si="66"/>
        <v>26.948196058031016</v>
      </c>
      <c r="E138" s="307">
        <f t="shared" ca="1" si="67"/>
        <v>127.09010538041977</v>
      </c>
      <c r="F138" s="304">
        <f t="shared" ca="1" si="68"/>
        <v>129.91574252717905</v>
      </c>
      <c r="G138" s="306">
        <f t="shared" ca="1" si="69"/>
        <v>38.621575207473967</v>
      </c>
      <c r="H138" s="307">
        <f t="shared" ca="1" si="70"/>
        <v>196.10418769581372</v>
      </c>
      <c r="I138" s="304">
        <f t="shared" ca="1" si="71"/>
        <v>199.87115475561126</v>
      </c>
      <c r="J138" s="306">
        <f t="shared" ca="1" si="72"/>
        <v>25.372891566061412</v>
      </c>
      <c r="K138" s="307">
        <f t="shared" ca="1" si="73"/>
        <v>132.87831158084617</v>
      </c>
      <c r="L138" s="304">
        <f t="shared" ca="1" si="58"/>
        <v>135.27907936927849</v>
      </c>
      <c r="M138" s="306">
        <f t="shared" ca="1" si="74"/>
        <v>1.3763407905286547</v>
      </c>
      <c r="N138" s="304">
        <f t="shared" ca="1" si="75"/>
        <v>78.858518468991221</v>
      </c>
      <c r="P138" s="310">
        <f t="shared" ca="1" si="76"/>
        <v>13</v>
      </c>
      <c r="Q138" s="304">
        <f t="shared" ca="1" si="77"/>
        <v>1142.5964999999994</v>
      </c>
      <c r="R138" s="306">
        <f t="shared" ca="1" si="78"/>
        <v>0.56150819452429912</v>
      </c>
      <c r="S138" s="307">
        <f t="shared" ca="1" si="79"/>
        <v>7.2972793574094545</v>
      </c>
      <c r="T138" s="304">
        <f t="shared" ca="1" si="59"/>
        <v>71.586310496186755</v>
      </c>
      <c r="U138" s="311">
        <f t="shared" ca="1" si="60"/>
        <v>0</v>
      </c>
      <c r="V138" s="306">
        <f t="shared" ca="1" si="61"/>
        <v>1.2088298400092246</v>
      </c>
      <c r="W138" s="304">
        <f t="shared" ca="1" si="62"/>
        <v>126.03606892489844</v>
      </c>
      <c r="Y138" s="314" t="str">
        <f t="shared" ca="1" si="80"/>
        <v/>
      </c>
      <c r="Z138" s="315" t="str">
        <f t="shared" ca="1" si="81"/>
        <v/>
      </c>
      <c r="AA138" s="316" t="str">
        <f t="shared" ca="1" si="82"/>
        <v/>
      </c>
      <c r="AC138" s="310" t="e">
        <f t="shared" ca="1" si="83"/>
        <v>#N/A</v>
      </c>
      <c r="AD138" s="323" t="e">
        <f t="shared" ca="1" si="84"/>
        <v>#N/A</v>
      </c>
      <c r="AE138" s="324">
        <f t="shared" ca="1" si="63"/>
        <v>132.87831158084617</v>
      </c>
      <c r="AG138" s="306">
        <f t="shared" ca="1" si="85"/>
        <v>129.90192561903052</v>
      </c>
      <c r="AH138" s="304">
        <f t="shared" ca="1" si="86"/>
        <v>139.52721642730538</v>
      </c>
    </row>
    <row r="139" spans="1:34" x14ac:dyDescent="0.2">
      <c r="A139" s="347">
        <f t="shared" ca="1" si="64"/>
        <v>0.01</v>
      </c>
      <c r="B139" s="304">
        <f t="shared" ca="1" si="65"/>
        <v>1.350000000000001</v>
      </c>
      <c r="D139" s="306">
        <f t="shared" ca="1" si="66"/>
        <v>26.81676356470069</v>
      </c>
      <c r="E139" s="307">
        <f t="shared" ca="1" si="67"/>
        <v>126.35429695670823</v>
      </c>
      <c r="F139" s="304">
        <f t="shared" ca="1" si="68"/>
        <v>129.1686771919147</v>
      </c>
      <c r="G139" s="306">
        <f t="shared" ca="1" si="69"/>
        <v>38.88974284312097</v>
      </c>
      <c r="H139" s="307">
        <f t="shared" ca="1" si="70"/>
        <v>197.3677306653808</v>
      </c>
      <c r="I139" s="304">
        <f t="shared" ca="1" si="71"/>
        <v>201.16270331849881</v>
      </c>
      <c r="J139" s="306">
        <f t="shared" ca="1" si="72"/>
        <v>25.760448156314386</v>
      </c>
      <c r="K139" s="307">
        <f t="shared" ca="1" si="73"/>
        <v>134.84567117265215</v>
      </c>
      <c r="L139" s="304">
        <f t="shared" ca="1" si="58"/>
        <v>137.2842151276584</v>
      </c>
      <c r="M139" s="306">
        <f t="shared" ca="1" si="74"/>
        <v>1.3762465578783281</v>
      </c>
      <c r="N139" s="304">
        <f t="shared" ca="1" si="75"/>
        <v>78.853119335835174</v>
      </c>
      <c r="P139" s="310">
        <f t="shared" ca="1" si="76"/>
        <v>13</v>
      </c>
      <c r="Q139" s="304">
        <f t="shared" ca="1" si="77"/>
        <v>1137.9754999999996</v>
      </c>
      <c r="R139" s="306">
        <f t="shared" ca="1" si="78"/>
        <v>0.55923728841974096</v>
      </c>
      <c r="S139" s="307">
        <f t="shared" ca="1" si="79"/>
        <v>7.2916869845252572</v>
      </c>
      <c r="T139" s="304">
        <f t="shared" ca="1" si="59"/>
        <v>71.53144931819277</v>
      </c>
      <c r="U139" s="311">
        <f t="shared" ca="1" si="60"/>
        <v>0</v>
      </c>
      <c r="V139" s="306">
        <f t="shared" ca="1" si="61"/>
        <v>1.208592032451185</v>
      </c>
      <c r="W139" s="304">
        <f t="shared" ca="1" si="62"/>
        <v>127.64508213746906</v>
      </c>
      <c r="Y139" s="314" t="str">
        <f t="shared" ca="1" si="80"/>
        <v/>
      </c>
      <c r="Z139" s="315" t="str">
        <f t="shared" ca="1" si="81"/>
        <v/>
      </c>
      <c r="AA139" s="316" t="str">
        <f t="shared" ca="1" si="82"/>
        <v/>
      </c>
      <c r="AC139" s="310" t="e">
        <f t="shared" ca="1" si="83"/>
        <v>#N/A</v>
      </c>
      <c r="AD139" s="323" t="e">
        <f t="shared" ca="1" si="84"/>
        <v>#N/A</v>
      </c>
      <c r="AE139" s="324">
        <f t="shared" ca="1" si="63"/>
        <v>134.84567117265215</v>
      </c>
      <c r="AG139" s="306">
        <f t="shared" ca="1" si="85"/>
        <v>129.15476697460423</v>
      </c>
      <c r="AH139" s="304">
        <f t="shared" ca="1" si="86"/>
        <v>138.77987813007937</v>
      </c>
    </row>
    <row r="140" spans="1:34" x14ac:dyDescent="0.2">
      <c r="A140" s="347">
        <f t="shared" ca="1" si="64"/>
        <v>0.01</v>
      </c>
      <c r="B140" s="304">
        <f t="shared" ca="1" si="65"/>
        <v>1.360000000000001</v>
      </c>
      <c r="D140" s="306">
        <f t="shared" ca="1" si="66"/>
        <v>26.684800805393838</v>
      </c>
      <c r="E140" s="307">
        <f t="shared" ca="1" si="67"/>
        <v>125.61693248098746</v>
      </c>
      <c r="F140" s="304">
        <f t="shared" ca="1" si="68"/>
        <v>128.41998411445357</v>
      </c>
      <c r="G140" s="306">
        <f t="shared" ca="1" si="69"/>
        <v>39.156590851174911</v>
      </c>
      <c r="H140" s="307">
        <f t="shared" ca="1" si="70"/>
        <v>198.62389999019067</v>
      </c>
      <c r="I140" s="304">
        <f t="shared" ca="1" si="71"/>
        <v>202.44676400080979</v>
      </c>
      <c r="J140" s="306">
        <f t="shared" ca="1" si="72"/>
        <v>26.150679824785865</v>
      </c>
      <c r="K140" s="307">
        <f t="shared" ca="1" si="73"/>
        <v>136.82562932593001</v>
      </c>
      <c r="L140" s="304">
        <f t="shared" ca="1" si="58"/>
        <v>139.30222861008099</v>
      </c>
      <c r="M140" s="306">
        <f t="shared" ca="1" si="74"/>
        <v>1.3761528781167027</v>
      </c>
      <c r="N140" s="304">
        <f t="shared" ca="1" si="75"/>
        <v>78.847751880868245</v>
      </c>
      <c r="P140" s="310">
        <f t="shared" ca="1" si="76"/>
        <v>13</v>
      </c>
      <c r="Q140" s="304">
        <f t="shared" ca="1" si="77"/>
        <v>1133.3544999999995</v>
      </c>
      <c r="R140" s="306">
        <f t="shared" ca="1" si="78"/>
        <v>0.55696638231518281</v>
      </c>
      <c r="S140" s="307">
        <f t="shared" ca="1" si="79"/>
        <v>7.2861173207021057</v>
      </c>
      <c r="T140" s="304">
        <f t="shared" ca="1" si="59"/>
        <v>71.476810916087658</v>
      </c>
      <c r="U140" s="311">
        <f t="shared" ca="1" si="60"/>
        <v>0</v>
      </c>
      <c r="V140" s="306">
        <f t="shared" ca="1" si="61"/>
        <v>1.2083527489377308</v>
      </c>
      <c r="W140" s="304">
        <f t="shared" ca="1" si="62"/>
        <v>129.25425434148366</v>
      </c>
      <c r="Y140" s="314" t="str">
        <f t="shared" ca="1" si="80"/>
        <v/>
      </c>
      <c r="Z140" s="315" t="str">
        <f t="shared" ca="1" si="81"/>
        <v/>
      </c>
      <c r="AA140" s="316" t="str">
        <f t="shared" ca="1" si="82"/>
        <v/>
      </c>
      <c r="AC140" s="310" t="e">
        <f t="shared" ca="1" si="83"/>
        <v>#N/A</v>
      </c>
      <c r="AD140" s="323" t="e">
        <f t="shared" ca="1" si="84"/>
        <v>#N/A</v>
      </c>
      <c r="AE140" s="324">
        <f t="shared" ca="1" si="63"/>
        <v>136.82562932593001</v>
      </c>
      <c r="AG140" s="306">
        <f t="shared" ca="1" si="85"/>
        <v>128.40597939849408</v>
      </c>
      <c r="AH140" s="304">
        <f t="shared" ca="1" si="86"/>
        <v>138.03091188293109</v>
      </c>
    </row>
    <row r="141" spans="1:34" x14ac:dyDescent="0.2">
      <c r="A141" s="347">
        <f t="shared" ca="1" si="64"/>
        <v>0.01</v>
      </c>
      <c r="B141" s="304">
        <f t="shared" ca="1" si="65"/>
        <v>1.370000000000001</v>
      </c>
      <c r="D141" s="306">
        <f t="shared" ca="1" si="66"/>
        <v>26.552316163713137</v>
      </c>
      <c r="E141" s="307">
        <f t="shared" ca="1" si="67"/>
        <v>124.87804294669684</v>
      </c>
      <c r="F141" s="304">
        <f t="shared" ca="1" si="68"/>
        <v>127.66969532294985</v>
      </c>
      <c r="G141" s="306">
        <f t="shared" ca="1" si="69"/>
        <v>39.422114012812045</v>
      </c>
      <c r="H141" s="307">
        <f t="shared" ca="1" si="70"/>
        <v>199.87268041965763</v>
      </c>
      <c r="I141" s="304">
        <f t="shared" ca="1" si="71"/>
        <v>203.72332083337378</v>
      </c>
      <c r="J141" s="306">
        <f t="shared" ca="1" si="72"/>
        <v>26.543573349105799</v>
      </c>
      <c r="K141" s="307">
        <f t="shared" ca="1" si="73"/>
        <v>138.81811222797924</v>
      </c>
      <c r="L141" s="304">
        <f t="shared" ca="1" si="58"/>
        <v>141.33304485745435</v>
      </c>
      <c r="M141" s="306">
        <f t="shared" ca="1" si="74"/>
        <v>1.3760597411059468</v>
      </c>
      <c r="N141" s="304">
        <f t="shared" ca="1" si="75"/>
        <v>78.842415523235474</v>
      </c>
      <c r="P141" s="310">
        <f t="shared" ca="1" si="76"/>
        <v>13</v>
      </c>
      <c r="Q141" s="304">
        <f t="shared" ca="1" si="77"/>
        <v>1128.7334999999994</v>
      </c>
      <c r="R141" s="306">
        <f t="shared" ca="1" si="78"/>
        <v>0.55469547621062465</v>
      </c>
      <c r="S141" s="307">
        <f t="shared" ca="1" si="79"/>
        <v>7.2805703659399992</v>
      </c>
      <c r="T141" s="304">
        <f t="shared" ca="1" si="59"/>
        <v>71.422395289871389</v>
      </c>
      <c r="U141" s="311">
        <f t="shared" ca="1" si="60"/>
        <v>0</v>
      </c>
      <c r="V141" s="306">
        <f t="shared" ca="1" si="61"/>
        <v>1.2081119992710974</v>
      </c>
      <c r="W141" s="304">
        <f t="shared" ca="1" si="62"/>
        <v>130.8633776235865</v>
      </c>
      <c r="Y141" s="314" t="str">
        <f t="shared" ca="1" si="80"/>
        <v/>
      </c>
      <c r="Z141" s="315" t="str">
        <f t="shared" ca="1" si="81"/>
        <v/>
      </c>
      <c r="AA141" s="316" t="str">
        <f t="shared" ca="1" si="82"/>
        <v/>
      </c>
      <c r="AC141" s="310" t="e">
        <f t="shared" ca="1" si="83"/>
        <v>#N/A</v>
      </c>
      <c r="AD141" s="323" t="e">
        <f t="shared" ca="1" si="84"/>
        <v>#N/A</v>
      </c>
      <c r="AE141" s="324">
        <f t="shared" ca="1" si="63"/>
        <v>138.81811222797924</v>
      </c>
      <c r="AG141" s="306">
        <f t="shared" ca="1" si="85"/>
        <v>127.65559489647177</v>
      </c>
      <c r="AH141" s="304">
        <f t="shared" ca="1" si="86"/>
        <v>137.28034967346576</v>
      </c>
    </row>
    <row r="142" spans="1:34" x14ac:dyDescent="0.2">
      <c r="A142" s="347">
        <f t="shared" ca="1" si="64"/>
        <v>0.01</v>
      </c>
      <c r="B142" s="304">
        <f t="shared" ca="1" si="65"/>
        <v>1.380000000000001</v>
      </c>
      <c r="D142" s="306">
        <f t="shared" ca="1" si="66"/>
        <v>26.419317970759728</v>
      </c>
      <c r="E142" s="307">
        <f t="shared" ca="1" si="67"/>
        <v>124.13765932539366</v>
      </c>
      <c r="F142" s="304">
        <f t="shared" ca="1" si="68"/>
        <v>126.91784281505734</v>
      </c>
      <c r="G142" s="306">
        <f t="shared" ca="1" si="69"/>
        <v>39.686307192519642</v>
      </c>
      <c r="H142" s="307">
        <f t="shared" ca="1" si="70"/>
        <v>201.11405701291156</v>
      </c>
      <c r="I142" s="304">
        <f t="shared" ca="1" si="71"/>
        <v>204.99235816676602</v>
      </c>
      <c r="J142" s="306">
        <f t="shared" ca="1" si="72"/>
        <v>26.939115455132459</v>
      </c>
      <c r="K142" s="307">
        <f t="shared" ca="1" si="73"/>
        <v>140.82304591514207</v>
      </c>
      <c r="L142" s="304">
        <f t="shared" ca="1" si="58"/>
        <v>143.37658875256855</v>
      </c>
      <c r="M142" s="306">
        <f t="shared" ca="1" si="74"/>
        <v>1.3759671369453834</v>
      </c>
      <c r="N142" s="304">
        <f t="shared" ca="1" si="75"/>
        <v>78.837109695669838</v>
      </c>
      <c r="P142" s="310">
        <f t="shared" ca="1" si="76"/>
        <v>13</v>
      </c>
      <c r="Q142" s="304">
        <f t="shared" ca="1" si="77"/>
        <v>1124.1124999999995</v>
      </c>
      <c r="R142" s="306">
        <f t="shared" ca="1" si="78"/>
        <v>0.55242457010606649</v>
      </c>
      <c r="S142" s="307">
        <f t="shared" ca="1" si="79"/>
        <v>7.2750461202389385</v>
      </c>
      <c r="T142" s="304">
        <f t="shared" ca="1" si="59"/>
        <v>71.368202439543992</v>
      </c>
      <c r="U142" s="311">
        <f t="shared" ca="1" si="60"/>
        <v>0</v>
      </c>
      <c r="V142" s="306">
        <f t="shared" ca="1" si="61"/>
        <v>1.2078697932698401</v>
      </c>
      <c r="W142" s="304">
        <f t="shared" ca="1" si="62"/>
        <v>132.47224524327819</v>
      </c>
      <c r="Y142" s="314" t="str">
        <f t="shared" ca="1" si="80"/>
        <v/>
      </c>
      <c r="Z142" s="315" t="str">
        <f t="shared" ca="1" si="81"/>
        <v/>
      </c>
      <c r="AA142" s="316" t="str">
        <f t="shared" ca="1" si="82"/>
        <v/>
      </c>
      <c r="AC142" s="310" t="e">
        <f t="shared" ca="1" si="83"/>
        <v>#N/A</v>
      </c>
      <c r="AD142" s="323" t="e">
        <f t="shared" ca="1" si="84"/>
        <v>#N/A</v>
      </c>
      <c r="AE142" s="324">
        <f t="shared" ca="1" si="63"/>
        <v>140.82304591514207</v>
      </c>
      <c r="AG142" s="306">
        <f t="shared" ca="1" si="85"/>
        <v>126.903645443313</v>
      </c>
      <c r="AH142" s="304">
        <f t="shared" ca="1" si="86"/>
        <v>136.52822345871138</v>
      </c>
    </row>
    <row r="143" spans="1:34" x14ac:dyDescent="0.2">
      <c r="A143" s="347">
        <f t="shared" ca="1" si="64"/>
        <v>0.01</v>
      </c>
      <c r="B143" s="304">
        <f t="shared" ca="1" si="65"/>
        <v>1.390000000000001</v>
      </c>
      <c r="D143" s="306">
        <f t="shared" ca="1" si="66"/>
        <v>26.285814505958538</v>
      </c>
      <c r="E143" s="307">
        <f t="shared" ca="1" si="67"/>
        <v>123.39581256243949</v>
      </c>
      <c r="F143" s="304">
        <f t="shared" ca="1" si="68"/>
        <v>126.16445855385089</v>
      </c>
      <c r="G143" s="306">
        <f t="shared" ca="1" si="69"/>
        <v>39.949165337579231</v>
      </c>
      <c r="H143" s="307">
        <f t="shared" ca="1" si="70"/>
        <v>202.34801513853594</v>
      </c>
      <c r="I143" s="304">
        <f t="shared" ca="1" si="71"/>
        <v>206.2538606709567</v>
      </c>
      <c r="J143" s="306">
        <f t="shared" ca="1" si="72"/>
        <v>27.337292817782952</v>
      </c>
      <c r="K143" s="307">
        <f t="shared" ca="1" si="73"/>
        <v>142.84035627589932</v>
      </c>
      <c r="L143" s="304">
        <f t="shared" ca="1" si="58"/>
        <v>145.43278502329198</v>
      </c>
      <c r="M143" s="306">
        <f t="shared" ca="1" si="74"/>
        <v>1.3758750559638873</v>
      </c>
      <c r="N143" s="304">
        <f t="shared" ca="1" si="75"/>
        <v>78.831833844056689</v>
      </c>
      <c r="P143" s="310">
        <f t="shared" ca="1" si="76"/>
        <v>13</v>
      </c>
      <c r="Q143" s="304">
        <f t="shared" ca="1" si="77"/>
        <v>1119.4914999999994</v>
      </c>
      <c r="R143" s="306">
        <f t="shared" ca="1" si="78"/>
        <v>0.55015366400150834</v>
      </c>
      <c r="S143" s="307">
        <f t="shared" ca="1" si="79"/>
        <v>7.2695445835989236</v>
      </c>
      <c r="T143" s="304">
        <f t="shared" ca="1" si="59"/>
        <v>71.31423236510544</v>
      </c>
      <c r="U143" s="311">
        <f t="shared" ca="1" si="60"/>
        <v>0</v>
      </c>
      <c r="V143" s="306">
        <f t="shared" ca="1" si="61"/>
        <v>1.2076261407683295</v>
      </c>
      <c r="W143" s="304">
        <f t="shared" ca="1" si="62"/>
        <v>134.08065165431941</v>
      </c>
      <c r="Y143" s="314" t="str">
        <f t="shared" ca="1" si="80"/>
        <v/>
      </c>
      <c r="Z143" s="315" t="str">
        <f t="shared" ca="1" si="81"/>
        <v/>
      </c>
      <c r="AA143" s="316" t="str">
        <f t="shared" ca="1" si="82"/>
        <v/>
      </c>
      <c r="AC143" s="310" t="e">
        <f t="shared" ca="1" si="83"/>
        <v>#N/A</v>
      </c>
      <c r="AD143" s="323" t="e">
        <f t="shared" ca="1" si="84"/>
        <v>#N/A</v>
      </c>
      <c r="AE143" s="324">
        <f t="shared" ca="1" si="63"/>
        <v>142.84035627589932</v>
      </c>
      <c r="AG143" s="306">
        <f t="shared" ca="1" si="85"/>
        <v>126.15016297870237</v>
      </c>
      <c r="AH143" s="304">
        <f t="shared" ca="1" si="86"/>
        <v>135.77456516101026</v>
      </c>
    </row>
    <row r="144" spans="1:34" x14ac:dyDescent="0.2">
      <c r="A144" s="347">
        <f t="shared" ca="1" si="64"/>
        <v>0.01</v>
      </c>
      <c r="B144" s="304">
        <f t="shared" ca="1" si="65"/>
        <v>1.400000000000001</v>
      </c>
      <c r="D144" s="306">
        <f t="shared" ca="1" si="66"/>
        <v>26.151813997822714</v>
      </c>
      <c r="E144" s="307">
        <f t="shared" ca="1" si="67"/>
        <v>122.65253357272945</v>
      </c>
      <c r="F144" s="304">
        <f t="shared" ca="1" si="68"/>
        <v>125.40957446377945</v>
      </c>
      <c r="G144" s="306">
        <f t="shared" ca="1" si="69"/>
        <v>40.21068347755746</v>
      </c>
      <c r="H144" s="307">
        <f t="shared" ca="1" si="70"/>
        <v>203.57454047426324</v>
      </c>
      <c r="I144" s="304">
        <f t="shared" ca="1" si="71"/>
        <v>207.5078133349194</v>
      </c>
      <c r="J144" s="306">
        <f t="shared" ca="1" si="72"/>
        <v>27.738092061858637</v>
      </c>
      <c r="K144" s="307">
        <f t="shared" ca="1" si="73"/>
        <v>144.86996905396333</v>
      </c>
      <c r="L144" s="304">
        <f t="shared" ca="1" si="58"/>
        <v>147.50155824576376</v>
      </c>
      <c r="M144" s="306">
        <f t="shared" ca="1" si="74"/>
        <v>1.3757834887125835</v>
      </c>
      <c r="N144" s="304">
        <f t="shared" ca="1" si="75"/>
        <v>78.826587427015369</v>
      </c>
      <c r="P144" s="310">
        <f t="shared" ca="1" si="76"/>
        <v>13</v>
      </c>
      <c r="Q144" s="304">
        <f t="shared" ca="1" si="77"/>
        <v>1114.8704999999993</v>
      </c>
      <c r="R144" s="306">
        <f t="shared" ca="1" si="78"/>
        <v>0.54788275789695007</v>
      </c>
      <c r="S144" s="307">
        <f t="shared" ca="1" si="79"/>
        <v>7.2640657560199537</v>
      </c>
      <c r="T144" s="304">
        <f t="shared" ca="1" si="59"/>
        <v>71.260485066555745</v>
      </c>
      <c r="U144" s="311">
        <f t="shared" ca="1" si="60"/>
        <v>0</v>
      </c>
      <c r="V144" s="306">
        <f t="shared" ca="1" si="61"/>
        <v>1.2073810516162458</v>
      </c>
      <c r="W144" s="304">
        <f t="shared" ca="1" si="62"/>
        <v>135.68839252577422</v>
      </c>
      <c r="Y144" s="314" t="str">
        <f t="shared" ca="1" si="80"/>
        <v/>
      </c>
      <c r="Z144" s="315" t="str">
        <f t="shared" ca="1" si="81"/>
        <v/>
      </c>
      <c r="AA144" s="316" t="str">
        <f t="shared" ca="1" si="82"/>
        <v/>
      </c>
      <c r="AC144" s="310" t="e">
        <f t="shared" ca="1" si="83"/>
        <v>#N/A</v>
      </c>
      <c r="AD144" s="323" t="e">
        <f t="shared" ca="1" si="84"/>
        <v>#N/A</v>
      </c>
      <c r="AE144" s="324">
        <f t="shared" ca="1" si="63"/>
        <v>144.86996905396333</v>
      </c>
      <c r="AG144" s="306">
        <f t="shared" ca="1" si="85"/>
        <v>125.39517940317019</v>
      </c>
      <c r="AH144" s="304">
        <f t="shared" ca="1" si="86"/>
        <v>135.0194066639429</v>
      </c>
    </row>
    <row r="145" spans="1:34" x14ac:dyDescent="0.2">
      <c r="A145" s="347">
        <f t="shared" ca="1" si="64"/>
        <v>0.01</v>
      </c>
      <c r="B145" s="304">
        <f t="shared" ca="1" si="65"/>
        <v>1.410000000000001</v>
      </c>
      <c r="D145" s="306">
        <f t="shared" ca="1" si="66"/>
        <v>25.927000117192144</v>
      </c>
      <c r="E145" s="307">
        <f t="shared" ca="1" si="67"/>
        <v>121.45056754741259</v>
      </c>
      <c r="F145" s="304">
        <f t="shared" ca="1" si="68"/>
        <v>124.18715590859431</v>
      </c>
      <c r="G145" s="306">
        <f t="shared" ca="1" si="69"/>
        <v>40.46995347872938</v>
      </c>
      <c r="H145" s="307">
        <f t="shared" ca="1" si="70"/>
        <v>204.78904614973737</v>
      </c>
      <c r="I145" s="304">
        <f t="shared" ca="1" si="71"/>
        <v>208.7495402569543</v>
      </c>
      <c r="J145" s="306">
        <f t="shared" ca="1" si="72"/>
        <v>28.141495246640073</v>
      </c>
      <c r="K145" s="307">
        <f t="shared" ca="1" si="73"/>
        <v>146.91178698708333</v>
      </c>
      <c r="L145" s="304">
        <f t="shared" ca="1" si="58"/>
        <v>149.58280954192168</v>
      </c>
      <c r="M145" s="306">
        <f t="shared" ca="1" si="74"/>
        <v>1.3756924239244737</v>
      </c>
      <c r="N145" s="304">
        <f t="shared" ca="1" si="75"/>
        <v>78.821369798994425</v>
      </c>
      <c r="P145" s="310">
        <f t="shared" ca="1" si="76"/>
        <v>14</v>
      </c>
      <c r="Q145" s="304">
        <f t="shared" ca="1" si="77"/>
        <v>1106.868333333332</v>
      </c>
      <c r="R145" s="306">
        <f t="shared" ca="1" si="78"/>
        <v>0.54395023914927065</v>
      </c>
      <c r="S145" s="307">
        <f t="shared" ca="1" si="79"/>
        <v>7.2586262536284609</v>
      </c>
      <c r="T145" s="304">
        <f t="shared" ca="1" si="59"/>
        <v>71.207123548095211</v>
      </c>
      <c r="U145" s="311">
        <f t="shared" ca="1" si="60"/>
        <v>0</v>
      </c>
      <c r="V145" s="306">
        <f t="shared" ca="1" si="61"/>
        <v>1.2071345384382517</v>
      </c>
      <c r="W145" s="304">
        <f t="shared" ca="1" si="62"/>
        <v>137.28913389641696</v>
      </c>
      <c r="Y145" s="314" t="str">
        <f t="shared" ca="1" si="80"/>
        <v/>
      </c>
      <c r="Z145" s="315" t="str">
        <f t="shared" ca="1" si="81"/>
        <v/>
      </c>
      <c r="AA145" s="316" t="str">
        <f t="shared" ca="1" si="82"/>
        <v/>
      </c>
      <c r="AC145" s="310" t="e">
        <f t="shared" ca="1" si="83"/>
        <v>#N/A</v>
      </c>
      <c r="AD145" s="323" t="e">
        <f t="shared" ca="1" si="84"/>
        <v>#N/A</v>
      </c>
      <c r="AE145" s="324">
        <f t="shared" ca="1" si="63"/>
        <v>146.91178698708333</v>
      </c>
      <c r="AG145" s="306">
        <f t="shared" ca="1" si="85"/>
        <v>124.17260564762533</v>
      </c>
      <c r="AH145" s="304">
        <f t="shared" ca="1" si="86"/>
        <v>133.79665888184857</v>
      </c>
    </row>
    <row r="146" spans="1:34" x14ac:dyDescent="0.2">
      <c r="A146" s="347">
        <f t="shared" ca="1" si="64"/>
        <v>0.01</v>
      </c>
      <c r="B146" s="304">
        <f t="shared" ca="1" si="65"/>
        <v>1.420000000000001</v>
      </c>
      <c r="D146" s="306">
        <f t="shared" ca="1" si="66"/>
        <v>25.611160701785053</v>
      </c>
      <c r="E146" s="307">
        <f t="shared" ca="1" si="67"/>
        <v>119.78948604000396</v>
      </c>
      <c r="F146" s="304">
        <f t="shared" ca="1" si="68"/>
        <v>122.49674492908358</v>
      </c>
      <c r="G146" s="306">
        <f t="shared" ca="1" si="69"/>
        <v>40.72606508574723</v>
      </c>
      <c r="H146" s="307">
        <f t="shared" ca="1" si="70"/>
        <v>205.9869410101374</v>
      </c>
      <c r="I146" s="304">
        <f t="shared" ca="1" si="71"/>
        <v>209.9743609207618</v>
      </c>
      <c r="J146" s="306">
        <f t="shared" ca="1" si="72"/>
        <v>28.547475339462455</v>
      </c>
      <c r="K146" s="307">
        <f t="shared" ca="1" si="73"/>
        <v>148.96566692288272</v>
      </c>
      <c r="L146" s="304">
        <f t="shared" ca="1" si="58"/>
        <v>151.67639325233327</v>
      </c>
      <c r="M146" s="306">
        <f t="shared" ca="1" si="74"/>
        <v>1.375601848596073</v>
      </c>
      <c r="N146" s="304">
        <f t="shared" ca="1" si="75"/>
        <v>78.816180214949057</v>
      </c>
      <c r="P146" s="310">
        <f t="shared" ca="1" si="76"/>
        <v>14</v>
      </c>
      <c r="Q146" s="304">
        <f t="shared" ca="1" si="77"/>
        <v>1095.4849999999985</v>
      </c>
      <c r="R146" s="306">
        <f t="shared" ca="1" si="78"/>
        <v>0.53835610775847054</v>
      </c>
      <c r="S146" s="307">
        <f t="shared" ca="1" si="79"/>
        <v>7.2532426925508764</v>
      </c>
      <c r="T146" s="304">
        <f t="shared" ca="1" si="59"/>
        <v>71.154310813924099</v>
      </c>
      <c r="U146" s="311">
        <f t="shared" ca="1" si="60"/>
        <v>0</v>
      </c>
      <c r="V146" s="306">
        <f t="shared" ca="1" si="61"/>
        <v>1.2068866193930641</v>
      </c>
      <c r="W146" s="304">
        <f t="shared" ca="1" si="62"/>
        <v>138.87639753599854</v>
      </c>
      <c r="Y146" s="314" t="str">
        <f t="shared" ca="1" si="80"/>
        <v/>
      </c>
      <c r="Z146" s="315" t="str">
        <f t="shared" ca="1" si="81"/>
        <v/>
      </c>
      <c r="AA146" s="316" t="str">
        <f t="shared" ca="1" si="82"/>
        <v/>
      </c>
      <c r="AC146" s="310" t="e">
        <f t="shared" ca="1" si="83"/>
        <v>#N/A</v>
      </c>
      <c r="AD146" s="323" t="e">
        <f t="shared" ca="1" si="84"/>
        <v>#N/A</v>
      </c>
      <c r="AE146" s="324">
        <f t="shared" ca="1" si="63"/>
        <v>148.96566692288272</v>
      </c>
      <c r="AG146" s="306">
        <f t="shared" ca="1" si="85"/>
        <v>122.48198025042319</v>
      </c>
      <c r="AH146" s="304">
        <f t="shared" ca="1" si="86"/>
        <v>132.10586033301416</v>
      </c>
    </row>
    <row r="147" spans="1:34" x14ac:dyDescent="0.2">
      <c r="A147" s="347">
        <f t="shared" ca="1" si="64"/>
        <v>0.01</v>
      </c>
      <c r="B147" s="304">
        <f t="shared" ca="1" si="65"/>
        <v>1.430000000000001</v>
      </c>
      <c r="D147" s="306">
        <f t="shared" ca="1" si="66"/>
        <v>25.294634613511192</v>
      </c>
      <c r="E147" s="307">
        <f t="shared" ca="1" si="67"/>
        <v>118.12684823309297</v>
      </c>
      <c r="F147" s="304">
        <f t="shared" ca="1" si="68"/>
        <v>120.80468042967217</v>
      </c>
      <c r="G147" s="306">
        <f t="shared" ca="1" si="69"/>
        <v>40.979011431882341</v>
      </c>
      <c r="H147" s="307">
        <f t="shared" ca="1" si="70"/>
        <v>207.16820949246832</v>
      </c>
      <c r="I147" s="304">
        <f t="shared" ca="1" si="71"/>
        <v>211.1822587298696</v>
      </c>
      <c r="J147" s="306">
        <f t="shared" ca="1" si="72"/>
        <v>28.956000722050604</v>
      </c>
      <c r="K147" s="307">
        <f t="shared" ca="1" si="73"/>
        <v>151.03144267539574</v>
      </c>
      <c r="L147" s="304">
        <f t="shared" ca="1" si="58"/>
        <v>153.78214023229987</v>
      </c>
      <c r="M147" s="306">
        <f t="shared" ca="1" si="74"/>
        <v>1.3755117500546838</v>
      </c>
      <c r="N147" s="304">
        <f t="shared" ca="1" si="75"/>
        <v>78.811017948787168</v>
      </c>
      <c r="P147" s="310">
        <f t="shared" ca="1" si="76"/>
        <v>14</v>
      </c>
      <c r="Q147" s="304">
        <f t="shared" ca="1" si="77"/>
        <v>1084.1016666666653</v>
      </c>
      <c r="R147" s="306">
        <f t="shared" ca="1" si="78"/>
        <v>0.53276197636767053</v>
      </c>
      <c r="S147" s="307">
        <f t="shared" ca="1" si="79"/>
        <v>7.2479150727871993</v>
      </c>
      <c r="T147" s="304">
        <f t="shared" ca="1" si="59"/>
        <v>71.102046864042435</v>
      </c>
      <c r="U147" s="311">
        <f t="shared" ca="1" si="60"/>
        <v>0</v>
      </c>
      <c r="V147" s="306">
        <f t="shared" ca="1" si="61"/>
        <v>1.2066373154095187</v>
      </c>
      <c r="W147" s="304">
        <f t="shared" ca="1" si="62"/>
        <v>140.44977468516484</v>
      </c>
      <c r="Y147" s="314" t="str">
        <f t="shared" ca="1" si="80"/>
        <v/>
      </c>
      <c r="Z147" s="315" t="str">
        <f t="shared" ca="1" si="81"/>
        <v/>
      </c>
      <c r="AA147" s="316" t="str">
        <f t="shared" ca="1" si="82"/>
        <v/>
      </c>
      <c r="AC147" s="310" t="e">
        <f t="shared" ca="1" si="83"/>
        <v>#N/A</v>
      </c>
      <c r="AD147" s="323" t="e">
        <f t="shared" ca="1" si="84"/>
        <v>#N/A</v>
      </c>
      <c r="AE147" s="324">
        <f t="shared" ca="1" si="63"/>
        <v>151.03144267539574</v>
      </c>
      <c r="AG147" s="306">
        <f t="shared" ca="1" si="85"/>
        <v>120.78969519457084</v>
      </c>
      <c r="AH147" s="304">
        <f t="shared" ca="1" si="86"/>
        <v>130.41340297702726</v>
      </c>
    </row>
    <row r="148" spans="1:34" x14ac:dyDescent="0.2">
      <c r="A148" s="347">
        <f t="shared" ca="1" si="64"/>
        <v>0.01</v>
      </c>
      <c r="B148" s="304">
        <f t="shared" ca="1" si="65"/>
        <v>1.4400000000000011</v>
      </c>
      <c r="D148" s="306">
        <f t="shared" ca="1" si="66"/>
        <v>24.977443310859361</v>
      </c>
      <c r="E148" s="307">
        <f t="shared" ca="1" si="67"/>
        <v>116.46274371934923</v>
      </c>
      <c r="F148" s="304">
        <f t="shared" ca="1" si="68"/>
        <v>119.11105468841258</v>
      </c>
      <c r="G148" s="306">
        <f t="shared" ca="1" si="69"/>
        <v>41.228785864990932</v>
      </c>
      <c r="H148" s="307">
        <f t="shared" ca="1" si="70"/>
        <v>208.33283692966182</v>
      </c>
      <c r="I148" s="304">
        <f t="shared" ca="1" si="71"/>
        <v>212.37321800797375</v>
      </c>
      <c r="J148" s="306">
        <f t="shared" ca="1" si="72"/>
        <v>29.367039708534971</v>
      </c>
      <c r="K148" s="307">
        <f t="shared" ca="1" si="73"/>
        <v>153.10894790750638</v>
      </c>
      <c r="L148" s="304">
        <f t="shared" ca="1" si="58"/>
        <v>155.89988117566406</v>
      </c>
      <c r="M148" s="306">
        <f t="shared" ca="1" si="74"/>
        <v>1.3754221159454483</v>
      </c>
      <c r="N148" s="304">
        <f t="shared" ca="1" si="75"/>
        <v>78.805882292627558</v>
      </c>
      <c r="P148" s="310">
        <f t="shared" ca="1" si="76"/>
        <v>14</v>
      </c>
      <c r="Q148" s="304">
        <f t="shared" ca="1" si="77"/>
        <v>1072.7183333333319</v>
      </c>
      <c r="R148" s="306">
        <f t="shared" ca="1" si="78"/>
        <v>0.52716784497687041</v>
      </c>
      <c r="S148" s="307">
        <f t="shared" ca="1" si="79"/>
        <v>7.2426433943374304</v>
      </c>
      <c r="T148" s="304">
        <f t="shared" ca="1" si="59"/>
        <v>71.050331698450194</v>
      </c>
      <c r="U148" s="311">
        <f t="shared" ca="1" si="60"/>
        <v>0</v>
      </c>
      <c r="V148" s="306">
        <f t="shared" ca="1" si="61"/>
        <v>1.2063866474228369</v>
      </c>
      <c r="W148" s="304">
        <f t="shared" ca="1" si="62"/>
        <v>142.00886325982307</v>
      </c>
      <c r="Y148" s="314" t="str">
        <f t="shared" ca="1" si="80"/>
        <v/>
      </c>
      <c r="Z148" s="315" t="str">
        <f t="shared" ca="1" si="81"/>
        <v/>
      </c>
      <c r="AA148" s="316" t="str">
        <f t="shared" ca="1" si="82"/>
        <v/>
      </c>
      <c r="AC148" s="310" t="e">
        <f t="shared" ca="1" si="83"/>
        <v>#N/A</v>
      </c>
      <c r="AD148" s="323" t="e">
        <f t="shared" ca="1" si="84"/>
        <v>#N/A</v>
      </c>
      <c r="AE148" s="324">
        <f t="shared" ca="1" si="63"/>
        <v>153.10894790750638</v>
      </c>
      <c r="AG148" s="306">
        <f t="shared" ca="1" si="85"/>
        <v>119.09584249718674</v>
      </c>
      <c r="AH148" s="304">
        <f t="shared" ca="1" si="86"/>
        <v>128.71937880816409</v>
      </c>
    </row>
    <row r="149" spans="1:34" x14ac:dyDescent="0.2">
      <c r="A149" s="347">
        <f t="shared" ca="1" si="64"/>
        <v>0.01</v>
      </c>
      <c r="B149" s="304">
        <f t="shared" ca="1" si="65"/>
        <v>1.4500000000000011</v>
      </c>
      <c r="D149" s="306">
        <f t="shared" ca="1" si="66"/>
        <v>24.659608052603495</v>
      </c>
      <c r="E149" s="307">
        <f t="shared" ca="1" si="67"/>
        <v>114.79726153798296</v>
      </c>
      <c r="F149" s="304">
        <f t="shared" ca="1" si="68"/>
        <v>117.41595941748332</v>
      </c>
      <c r="G149" s="306">
        <f t="shared" ca="1" si="69"/>
        <v>41.475381945516965</v>
      </c>
      <c r="H149" s="307">
        <f t="shared" ca="1" si="70"/>
        <v>209.48080954504167</v>
      </c>
      <c r="I149" s="304">
        <f t="shared" ca="1" si="71"/>
        <v>213.54722399313118</v>
      </c>
      <c r="J149" s="306">
        <f t="shared" ca="1" si="72"/>
        <v>29.780560547587509</v>
      </c>
      <c r="K149" s="307">
        <f t="shared" ca="1" si="73"/>
        <v>155.19801613987988</v>
      </c>
      <c r="L149" s="304">
        <f t="shared" ca="1" si="58"/>
        <v>158.02944662398505</v>
      </c>
      <c r="M149" s="306">
        <f t="shared" ca="1" si="74"/>
        <v>1.3753329342189904</v>
      </c>
      <c r="N149" s="304">
        <f t="shared" ca="1" si="75"/>
        <v>78.800772556091829</v>
      </c>
      <c r="P149" s="310">
        <f t="shared" ca="1" si="76"/>
        <v>14</v>
      </c>
      <c r="Q149" s="304">
        <f t="shared" ca="1" si="77"/>
        <v>1061.3349999999984</v>
      </c>
      <c r="R149" s="306">
        <f t="shared" ca="1" si="78"/>
        <v>0.5215737135860703</v>
      </c>
      <c r="S149" s="307">
        <f t="shared" ca="1" si="79"/>
        <v>7.2374276572015699</v>
      </c>
      <c r="T149" s="304">
        <f t="shared" ca="1" si="59"/>
        <v>70.999165317147401</v>
      </c>
      <c r="U149" s="311">
        <f t="shared" ca="1" si="60"/>
        <v>0</v>
      </c>
      <c r="V149" s="306">
        <f t="shared" ca="1" si="61"/>
        <v>1.2061346363732961</v>
      </c>
      <c r="W149" s="304">
        <f t="shared" ca="1" si="62"/>
        <v>143.553267890917</v>
      </c>
      <c r="Y149" s="314" t="str">
        <f t="shared" ca="1" si="80"/>
        <v/>
      </c>
      <c r="Z149" s="315" t="str">
        <f t="shared" ca="1" si="81"/>
        <v/>
      </c>
      <c r="AA149" s="316" t="str">
        <f t="shared" ca="1" si="82"/>
        <v/>
      </c>
      <c r="AC149" s="310" t="e">
        <f t="shared" ca="1" si="83"/>
        <v>#N/A</v>
      </c>
      <c r="AD149" s="323" t="e">
        <f t="shared" ca="1" si="84"/>
        <v>#N/A</v>
      </c>
      <c r="AE149" s="324">
        <f t="shared" ca="1" si="63"/>
        <v>155.19801613987988</v>
      </c>
      <c r="AG149" s="306">
        <f t="shared" ca="1" si="85"/>
        <v>117.40051359462669</v>
      </c>
      <c r="AH149" s="304">
        <f t="shared" ca="1" si="86"/>
        <v>127.02387924049286</v>
      </c>
    </row>
    <row r="150" spans="1:34" x14ac:dyDescent="0.2">
      <c r="A150" s="347">
        <f t="shared" ca="1" si="64"/>
        <v>0.01</v>
      </c>
      <c r="B150" s="304">
        <f t="shared" ca="1" si="65"/>
        <v>1.4600000000000011</v>
      </c>
      <c r="D150" s="306">
        <f t="shared" ca="1" si="66"/>
        <v>24.34114989825914</v>
      </c>
      <c r="E150" s="307">
        <f t="shared" ca="1" si="67"/>
        <v>113.13049015974589</v>
      </c>
      <c r="F150" s="304">
        <f t="shared" ca="1" si="68"/>
        <v>115.71948574960867</v>
      </c>
      <c r="G150" s="306">
        <f t="shared" ca="1" si="69"/>
        <v>41.718793444499553</v>
      </c>
      <c r="H150" s="307">
        <f t="shared" ca="1" si="70"/>
        <v>210.61211444663911</v>
      </c>
      <c r="I150" s="304">
        <f t="shared" ca="1" si="71"/>
        <v>214.70426283180552</v>
      </c>
      <c r="J150" s="306">
        <f t="shared" ca="1" si="72"/>
        <v>30.196531424537593</v>
      </c>
      <c r="K150" s="307">
        <f t="shared" ca="1" si="73"/>
        <v>157.2984807598383</v>
      </c>
      <c r="L150" s="304">
        <f t="shared" ca="1" si="58"/>
        <v>160.17066697565539</v>
      </c>
      <c r="M150" s="306">
        <f t="shared" ca="1" si="74"/>
        <v>1.375244193119618</v>
      </c>
      <c r="N150" s="304">
        <f t="shared" ca="1" si="75"/>
        <v>78.79568806562844</v>
      </c>
      <c r="P150" s="310">
        <f t="shared" ca="1" si="76"/>
        <v>14</v>
      </c>
      <c r="Q150" s="304">
        <f t="shared" ca="1" si="77"/>
        <v>1049.9516666666652</v>
      </c>
      <c r="R150" s="306">
        <f t="shared" ca="1" si="78"/>
        <v>0.51597958219527029</v>
      </c>
      <c r="S150" s="307">
        <f t="shared" ca="1" si="79"/>
        <v>7.2322678613796167</v>
      </c>
      <c r="T150" s="304">
        <f t="shared" ca="1" si="59"/>
        <v>70.948547720134044</v>
      </c>
      <c r="U150" s="311">
        <f t="shared" ca="1" si="60"/>
        <v>0</v>
      </c>
      <c r="V150" s="306">
        <f t="shared" ca="1" si="61"/>
        <v>1.2058813032049187</v>
      </c>
      <c r="W150" s="304">
        <f t="shared" ca="1" si="62"/>
        <v>145.08259996198407</v>
      </c>
      <c r="Y150" s="314" t="str">
        <f t="shared" ca="1" si="80"/>
        <v/>
      </c>
      <c r="Z150" s="315" t="str">
        <f t="shared" ca="1" si="81"/>
        <v/>
      </c>
      <c r="AA150" s="316" t="str">
        <f t="shared" ca="1" si="82"/>
        <v/>
      </c>
      <c r="AC150" s="310" t="e">
        <f t="shared" ca="1" si="83"/>
        <v>#N/A</v>
      </c>
      <c r="AD150" s="323" t="e">
        <f t="shared" ca="1" si="84"/>
        <v>#N/A</v>
      </c>
      <c r="AE150" s="324">
        <f t="shared" ca="1" si="63"/>
        <v>157.2984807598383</v>
      </c>
      <c r="AG150" s="306">
        <f t="shared" ca="1" si="85"/>
        <v>115.70379932782021</v>
      </c>
      <c r="AH150" s="304">
        <f t="shared" ca="1" si="86"/>
        <v>125.32699509318851</v>
      </c>
    </row>
    <row r="151" spans="1:34" x14ac:dyDescent="0.2">
      <c r="A151" s="347">
        <f t="shared" ca="1" si="64"/>
        <v>0.01</v>
      </c>
      <c r="B151" s="304">
        <f t="shared" ca="1" si="65"/>
        <v>1.4700000000000011</v>
      </c>
      <c r="D151" s="306">
        <f t="shared" ca="1" si="66"/>
        <v>24.022089708433537</v>
      </c>
      <c r="E151" s="307">
        <f t="shared" ca="1" si="67"/>
        <v>111.46251747226849</v>
      </c>
      <c r="F151" s="304">
        <f t="shared" ca="1" si="68"/>
        <v>114.02172422488526</v>
      </c>
      <c r="G151" s="306">
        <f t="shared" ca="1" si="69"/>
        <v>41.959014341583888</v>
      </c>
      <c r="H151" s="307">
        <f t="shared" ca="1" si="70"/>
        <v>211.72673962136179</v>
      </c>
      <c r="I151" s="304">
        <f t="shared" ca="1" si="71"/>
        <v>215.84432157276962</v>
      </c>
      <c r="J151" s="306">
        <f t="shared" ca="1" si="72"/>
        <v>30.61492046346801</v>
      </c>
      <c r="K151" s="307">
        <f t="shared" ca="1" si="73"/>
        <v>159.41017503017829</v>
      </c>
      <c r="L151" s="304">
        <f t="shared" ca="1" si="58"/>
        <v>162.32337249495694</v>
      </c>
      <c r="M151" s="306">
        <f t="shared" ca="1" si="74"/>
        <v>1.3751558811740492</v>
      </c>
      <c r="N151" s="304">
        <f t="shared" ca="1" si="75"/>
        <v>78.790628163866756</v>
      </c>
      <c r="P151" s="310">
        <f t="shared" ca="1" si="76"/>
        <v>14</v>
      </c>
      <c r="Q151" s="304">
        <f t="shared" ca="1" si="77"/>
        <v>1038.5683333333318</v>
      </c>
      <c r="R151" s="306">
        <f t="shared" ca="1" si="78"/>
        <v>0.51038545080447029</v>
      </c>
      <c r="S151" s="307">
        <f t="shared" ca="1" si="79"/>
        <v>7.2271640068715719</v>
      </c>
      <c r="T151" s="304">
        <f t="shared" ca="1" si="59"/>
        <v>70.898478907410123</v>
      </c>
      <c r="U151" s="311">
        <f t="shared" ca="1" si="60"/>
        <v>0</v>
      </c>
      <c r="V151" s="306">
        <f t="shared" ca="1" si="61"/>
        <v>1.2056266688641673</v>
      </c>
      <c r="W151" s="304">
        <f t="shared" ca="1" si="62"/>
        <v>146.5964776445071</v>
      </c>
      <c r="Y151" s="314" t="str">
        <f t="shared" ca="1" si="80"/>
        <v/>
      </c>
      <c r="Z151" s="315" t="str">
        <f t="shared" ca="1" si="81"/>
        <v/>
      </c>
      <c r="AA151" s="316" t="str">
        <f t="shared" ca="1" si="82"/>
        <v/>
      </c>
      <c r="AC151" s="310" t="e">
        <f t="shared" ca="1" si="83"/>
        <v>#N/A</v>
      </c>
      <c r="AD151" s="323" t="e">
        <f t="shared" ca="1" si="84"/>
        <v>#N/A</v>
      </c>
      <c r="AE151" s="324">
        <f t="shared" ca="1" si="63"/>
        <v>159.41017503017829</v>
      </c>
      <c r="AG151" s="306">
        <f t="shared" ca="1" si="85"/>
        <v>114.00578992791793</v>
      </c>
      <c r="AH151" s="304">
        <f t="shared" ca="1" si="86"/>
        <v>123.62881657615952</v>
      </c>
    </row>
    <row r="152" spans="1:34" x14ac:dyDescent="0.2">
      <c r="A152" s="347">
        <f t="shared" ca="1" si="64"/>
        <v>0.01</v>
      </c>
      <c r="B152" s="304">
        <f t="shared" ca="1" si="65"/>
        <v>1.4800000000000011</v>
      </c>
      <c r="D152" s="306">
        <f t="shared" ca="1" si="66"/>
        <v>23.702448145079487</v>
      </c>
      <c r="E152" s="307">
        <f t="shared" ca="1" si="67"/>
        <v>109.7934307657341</v>
      </c>
      <c r="F152" s="304">
        <f t="shared" ca="1" si="68"/>
        <v>112.3227647780281</v>
      </c>
      <c r="G152" s="306">
        <f t="shared" ca="1" si="69"/>
        <v>42.196038823034684</v>
      </c>
      <c r="H152" s="307">
        <f t="shared" ca="1" si="70"/>
        <v>212.82467392901913</v>
      </c>
      <c r="I152" s="304">
        <f t="shared" ca="1" si="71"/>
        <v>216.96738816086707</v>
      </c>
      <c r="J152" s="306">
        <f t="shared" ca="1" si="72"/>
        <v>31.035695729291103</v>
      </c>
      <c r="K152" s="307">
        <f t="shared" ca="1" si="73"/>
        <v>161.5329320979302</v>
      </c>
      <c r="L152" s="304">
        <f t="shared" ca="1" si="58"/>
        <v>164.48739332105566</v>
      </c>
      <c r="M152" s="306">
        <f t="shared" ca="1" si="74"/>
        <v>1.3750679871806375</v>
      </c>
      <c r="N152" s="304">
        <f t="shared" ca="1" si="75"/>
        <v>78.785592208999716</v>
      </c>
      <c r="P152" s="310">
        <f t="shared" ca="1" si="76"/>
        <v>14</v>
      </c>
      <c r="Q152" s="304">
        <f t="shared" ca="1" si="77"/>
        <v>1027.1849999999986</v>
      </c>
      <c r="R152" s="306">
        <f t="shared" ca="1" si="78"/>
        <v>0.50479131941367028</v>
      </c>
      <c r="S152" s="307">
        <f t="shared" ca="1" si="79"/>
        <v>7.2221160936774353</v>
      </c>
      <c r="T152" s="304">
        <f t="shared" ca="1" si="59"/>
        <v>70.848958878975651</v>
      </c>
      <c r="U152" s="311">
        <f t="shared" ca="1" si="60"/>
        <v>0</v>
      </c>
      <c r="V152" s="306">
        <f t="shared" ca="1" si="61"/>
        <v>1.2053707542986543</v>
      </c>
      <c r="W152" s="304">
        <f t="shared" ca="1" si="62"/>
        <v>148.09452593107306</v>
      </c>
      <c r="Y152" s="314" t="str">
        <f t="shared" ca="1" si="80"/>
        <v/>
      </c>
      <c r="Z152" s="315" t="str">
        <f t="shared" ca="1" si="81"/>
        <v/>
      </c>
      <c r="AA152" s="316" t="str">
        <f t="shared" ca="1" si="82"/>
        <v/>
      </c>
      <c r="AC152" s="310" t="e">
        <f t="shared" ca="1" si="83"/>
        <v>#N/A</v>
      </c>
      <c r="AD152" s="323" t="e">
        <f t="shared" ca="1" si="84"/>
        <v>#N/A</v>
      </c>
      <c r="AE152" s="324">
        <f t="shared" ca="1" si="63"/>
        <v>161.5329320979302</v>
      </c>
      <c r="AG152" s="306">
        <f t="shared" ca="1" si="85"/>
        <v>112.30657500225286</v>
      </c>
      <c r="AH152" s="304">
        <f t="shared" ca="1" si="86"/>
        <v>121.92943327598933</v>
      </c>
    </row>
    <row r="153" spans="1:34" x14ac:dyDescent="0.2">
      <c r="A153" s="347">
        <f t="shared" ca="1" si="64"/>
        <v>0.01</v>
      </c>
      <c r="B153" s="304">
        <f t="shared" ca="1" si="65"/>
        <v>1.4900000000000011</v>
      </c>
      <c r="D153" s="306">
        <f t="shared" ca="1" si="66"/>
        <v>23.382245671661227</v>
      </c>
      <c r="E153" s="307">
        <f t="shared" ca="1" si="67"/>
        <v>108.1233167188898</v>
      </c>
      <c r="F153" s="304">
        <f t="shared" ca="1" si="68"/>
        <v>110.62269672604837</v>
      </c>
      <c r="G153" s="306">
        <f t="shared" ca="1" si="69"/>
        <v>42.429861279751293</v>
      </c>
      <c r="H153" s="307">
        <f t="shared" ca="1" si="70"/>
        <v>213.90590709620801</v>
      </c>
      <c r="I153" s="304">
        <f t="shared" ca="1" si="71"/>
        <v>218.07345143063728</v>
      </c>
      <c r="J153" s="306">
        <f t="shared" ca="1" si="72"/>
        <v>31.458825229805033</v>
      </c>
      <c r="K153" s="307">
        <f t="shared" ca="1" si="73"/>
        <v>163.66658500305633</v>
      </c>
      <c r="L153" s="304">
        <f t="shared" ca="1" si="58"/>
        <v>166.66255947693256</v>
      </c>
      <c r="M153" s="306">
        <f t="shared" ca="1" si="74"/>
        <v>1.374980500199068</v>
      </c>
      <c r="N153" s="304">
        <f t="shared" ca="1" si="75"/>
        <v>78.780579574193453</v>
      </c>
      <c r="P153" s="310">
        <f t="shared" ca="1" si="76"/>
        <v>14</v>
      </c>
      <c r="Q153" s="304">
        <f t="shared" ca="1" si="77"/>
        <v>1015.8016666666653</v>
      </c>
      <c r="R153" s="306">
        <f t="shared" ca="1" si="78"/>
        <v>0.49919718802287016</v>
      </c>
      <c r="S153" s="307">
        <f t="shared" ca="1" si="79"/>
        <v>7.2171241217972071</v>
      </c>
      <c r="T153" s="304">
        <f t="shared" ca="1" si="59"/>
        <v>70.7999876348306</v>
      </c>
      <c r="U153" s="311">
        <f t="shared" ca="1" si="60"/>
        <v>0</v>
      </c>
      <c r="V153" s="306">
        <f t="shared" ca="1" si="61"/>
        <v>1.2051135804558621</v>
      </c>
      <c r="W153" s="304">
        <f t="shared" ca="1" si="62"/>
        <v>149.57637666635571</v>
      </c>
      <c r="Y153" s="314" t="str">
        <f t="shared" ca="1" si="80"/>
        <v/>
      </c>
      <c r="Z153" s="315" t="str">
        <f t="shared" ca="1" si="81"/>
        <v/>
      </c>
      <c r="AA153" s="316" t="str">
        <f t="shared" ca="1" si="82"/>
        <v/>
      </c>
      <c r="AC153" s="310" t="e">
        <f t="shared" ca="1" si="83"/>
        <v>#N/A</v>
      </c>
      <c r="AD153" s="323" t="e">
        <f t="shared" ca="1" si="84"/>
        <v>#N/A</v>
      </c>
      <c r="AE153" s="324">
        <f t="shared" ca="1" si="63"/>
        <v>163.66658500305633</v>
      </c>
      <c r="AG153" s="306">
        <f t="shared" ca="1" si="85"/>
        <v>110.60624352061626</v>
      </c>
      <c r="AH153" s="304">
        <f t="shared" ca="1" si="86"/>
        <v>120.22893414219347</v>
      </c>
    </row>
    <row r="154" spans="1:34" x14ac:dyDescent="0.2">
      <c r="A154" s="347">
        <f t="shared" ca="1" si="64"/>
        <v>0.01</v>
      </c>
      <c r="B154" s="304">
        <f t="shared" ca="1" si="65"/>
        <v>1.5000000000000011</v>
      </c>
      <c r="D154" s="306">
        <f t="shared" ca="1" si="66"/>
        <v>23.06150255324085</v>
      </c>
      <c r="E154" s="307">
        <f t="shared" ca="1" si="67"/>
        <v>106.45226138539512</v>
      </c>
      <c r="F154" s="304">
        <f t="shared" ca="1" si="68"/>
        <v>108.92160875637863</v>
      </c>
      <c r="G154" s="306">
        <f t="shared" ca="1" si="69"/>
        <v>42.660476305283701</v>
      </c>
      <c r="H154" s="307">
        <f t="shared" ca="1" si="70"/>
        <v>214.97042971006195</v>
      </c>
      <c r="I154" s="304">
        <f t="shared" ca="1" si="71"/>
        <v>219.16250109980575</v>
      </c>
      <c r="J154" s="306">
        <f t="shared" ca="1" si="72"/>
        <v>31.884276917730208</v>
      </c>
      <c r="K154" s="307">
        <f t="shared" ca="1" si="73"/>
        <v>165.81096668708767</v>
      </c>
      <c r="L154" s="304">
        <f t="shared" ca="1" si="58"/>
        <v>168.84870087825075</v>
      </c>
      <c r="M154" s="306">
        <f t="shared" ca="1" si="74"/>
        <v>1.374893409540499</v>
      </c>
      <c r="N154" s="304">
        <f t="shared" ca="1" si="75"/>
        <v>78.775589647022429</v>
      </c>
      <c r="P154" s="310">
        <f t="shared" ca="1" si="76"/>
        <v>14</v>
      </c>
      <c r="Q154" s="304">
        <f t="shared" ca="1" si="77"/>
        <v>1004.4183333333319</v>
      </c>
      <c r="R154" s="306">
        <f t="shared" ca="1" si="78"/>
        <v>0.49360305663207016</v>
      </c>
      <c r="S154" s="307">
        <f t="shared" ca="1" si="79"/>
        <v>7.2121880912308862</v>
      </c>
      <c r="T154" s="304">
        <f t="shared" ca="1" si="59"/>
        <v>70.751565174974999</v>
      </c>
      <c r="U154" s="311">
        <f t="shared" ca="1" si="60"/>
        <v>0</v>
      </c>
      <c r="V154" s="306">
        <f t="shared" ca="1" si="61"/>
        <v>1.2048551682818782</v>
      </c>
      <c r="W154" s="304">
        <f t="shared" ca="1" si="62"/>
        <v>151.0416685759366</v>
      </c>
      <c r="Y154" s="314" t="str">
        <f t="shared" ca="1" si="80"/>
        <v/>
      </c>
      <c r="Z154" s="315" t="str">
        <f t="shared" ca="1" si="81"/>
        <v/>
      </c>
      <c r="AA154" s="316" t="str">
        <f t="shared" ca="1" si="82"/>
        <v/>
      </c>
      <c r="AC154" s="310" t="e">
        <f t="shared" ca="1" si="83"/>
        <v>#N/A</v>
      </c>
      <c r="AD154" s="323" t="e">
        <f t="shared" ca="1" si="84"/>
        <v>#N/A</v>
      </c>
      <c r="AE154" s="324">
        <f t="shared" ca="1" si="63"/>
        <v>165.81096668708767</v>
      </c>
      <c r="AG154" s="306">
        <f t="shared" ca="1" si="85"/>
        <v>108.90488380185133</v>
      </c>
      <c r="AH154" s="304">
        <f t="shared" ca="1" si="86"/>
        <v>118.52740747379517</v>
      </c>
    </row>
    <row r="155" spans="1:34" x14ac:dyDescent="0.2">
      <c r="A155" s="347">
        <f t="shared" ca="1" si="64"/>
        <v>0.01</v>
      </c>
      <c r="B155" s="304">
        <f t="shared" ca="1" si="65"/>
        <v>1.5100000000000011</v>
      </c>
      <c r="D155" s="306">
        <f t="shared" ca="1" si="66"/>
        <v>22.740238856492876</v>
      </c>
      <c r="E155" s="307">
        <f t="shared" ca="1" si="67"/>
        <v>104.78035018050801</v>
      </c>
      <c r="F155" s="304">
        <f t="shared" ca="1" si="68"/>
        <v>107.21958891546001</v>
      </c>
      <c r="G155" s="306">
        <f t="shared" ca="1" si="69"/>
        <v>42.887878693848627</v>
      </c>
      <c r="H155" s="307">
        <f t="shared" ca="1" si="70"/>
        <v>216.01823321186703</v>
      </c>
      <c r="I155" s="304">
        <f t="shared" ca="1" si="71"/>
        <v>220.23452776264409</v>
      </c>
      <c r="J155" s="306">
        <f t="shared" ca="1" si="72"/>
        <v>32.312018692725871</v>
      </c>
      <c r="K155" s="307">
        <f t="shared" ca="1" si="73"/>
        <v>167.96591000169732</v>
      </c>
      <c r="L155" s="304">
        <f t="shared" ca="1" si="58"/>
        <v>171.04564734215646</v>
      </c>
      <c r="M155" s="306">
        <f t="shared" ca="1" si="74"/>
        <v>1.3748067047581241</v>
      </c>
      <c r="N155" s="304">
        <f t="shared" ca="1" si="75"/>
        <v>78.770621828928739</v>
      </c>
      <c r="P155" s="310">
        <f t="shared" ca="1" si="76"/>
        <v>14</v>
      </c>
      <c r="Q155" s="304">
        <f t="shared" ca="1" si="77"/>
        <v>993.03499999999849</v>
      </c>
      <c r="R155" s="306">
        <f t="shared" ca="1" si="78"/>
        <v>0.48800892524127004</v>
      </c>
      <c r="S155" s="307">
        <f t="shared" ca="1" si="79"/>
        <v>7.2073080019784737</v>
      </c>
      <c r="T155" s="304">
        <f t="shared" ca="1" si="59"/>
        <v>70.703691499408833</v>
      </c>
      <c r="U155" s="311">
        <f t="shared" ca="1" si="60"/>
        <v>0</v>
      </c>
      <c r="V155" s="306">
        <f t="shared" ca="1" si="61"/>
        <v>1.2045955387201404</v>
      </c>
      <c r="W155" s="304">
        <f t="shared" ca="1" si="62"/>
        <v>152.49004729298136</v>
      </c>
      <c r="Y155" s="314" t="str">
        <f t="shared" ca="1" si="80"/>
        <v/>
      </c>
      <c r="Z155" s="315" t="str">
        <f t="shared" ca="1" si="81"/>
        <v/>
      </c>
      <c r="AA155" s="316" t="str">
        <f t="shared" ca="1" si="82"/>
        <v/>
      </c>
      <c r="AC155" s="310" t="e">
        <f t="shared" ca="1" si="83"/>
        <v>#N/A</v>
      </c>
      <c r="AD155" s="323" t="e">
        <f t="shared" ca="1" si="84"/>
        <v>#N/A</v>
      </c>
      <c r="AE155" s="324">
        <f t="shared" ca="1" si="63"/>
        <v>167.96591000169732</v>
      </c>
      <c r="AG155" s="306">
        <f t="shared" ca="1" si="85"/>
        <v>107.20258350076524</v>
      </c>
      <c r="AH155" s="304">
        <f t="shared" ca="1" si="86"/>
        <v>116.82494090622002</v>
      </c>
    </row>
    <row r="156" spans="1:34" x14ac:dyDescent="0.2">
      <c r="A156" s="347">
        <f t="shared" ca="1" si="64"/>
        <v>0.01</v>
      </c>
      <c r="B156" s="304">
        <f t="shared" ca="1" si="65"/>
        <v>1.5200000000000011</v>
      </c>
      <c r="D156" s="306">
        <f t="shared" ca="1" si="66"/>
        <v>22.418474449654436</v>
      </c>
      <c r="E156" s="307">
        <f t="shared" ca="1" si="67"/>
        <v>103.10766786810863</v>
      </c>
      <c r="F156" s="304">
        <f t="shared" ca="1" si="68"/>
        <v>105.51672459780967</v>
      </c>
      <c r="G156" s="306">
        <f t="shared" ca="1" si="69"/>
        <v>43.112063438345174</v>
      </c>
      <c r="H156" s="307">
        <f t="shared" ca="1" si="70"/>
        <v>217.0493098905481</v>
      </c>
      <c r="I156" s="304">
        <f t="shared" ca="1" si="71"/>
        <v>221.28952288320178</v>
      </c>
      <c r="J156" s="306">
        <f t="shared" ca="1" si="72"/>
        <v>32.742018403386844</v>
      </c>
      <c r="K156" s="307">
        <f t="shared" ca="1" si="73"/>
        <v>170.13124771720939</v>
      </c>
      <c r="L156" s="304">
        <f t="shared" ca="1" si="58"/>
        <v>173.25322859601258</v>
      </c>
      <c r="M156" s="306">
        <f t="shared" ca="1" si="74"/>
        <v>1.3747203756381359</v>
      </c>
      <c r="N156" s="304">
        <f t="shared" ca="1" si="75"/>
        <v>78.765675534704343</v>
      </c>
      <c r="P156" s="310">
        <f t="shared" ca="1" si="76"/>
        <v>14</v>
      </c>
      <c r="Q156" s="304">
        <f t="shared" ca="1" si="77"/>
        <v>981.65166666666528</v>
      </c>
      <c r="R156" s="306">
        <f t="shared" ca="1" si="78"/>
        <v>0.48241479385047004</v>
      </c>
      <c r="S156" s="307">
        <f t="shared" ca="1" si="79"/>
        <v>7.2024838540399694</v>
      </c>
      <c r="T156" s="304">
        <f t="shared" ca="1" si="59"/>
        <v>70.656366608132103</v>
      </c>
      <c r="U156" s="311">
        <f t="shared" ca="1" si="60"/>
        <v>0</v>
      </c>
      <c r="V156" s="306">
        <f t="shared" ca="1" si="61"/>
        <v>1.2043347127101942</v>
      </c>
      <c r="W156" s="304">
        <f t="shared" ca="1" si="62"/>
        <v>153.92116538278779</v>
      </c>
      <c r="Y156" s="314" t="str">
        <f t="shared" ca="1" si="80"/>
        <v/>
      </c>
      <c r="Z156" s="315" t="str">
        <f t="shared" ca="1" si="81"/>
        <v/>
      </c>
      <c r="AA156" s="316" t="str">
        <f t="shared" ca="1" si="82"/>
        <v/>
      </c>
      <c r="AC156" s="310" t="e">
        <f t="shared" ca="1" si="83"/>
        <v>#N/A</v>
      </c>
      <c r="AD156" s="323" t="e">
        <f t="shared" ca="1" si="84"/>
        <v>#N/A</v>
      </c>
      <c r="AE156" s="324">
        <f t="shared" ca="1" si="63"/>
        <v>170.13124771720939</v>
      </c>
      <c r="AG156" s="306">
        <f t="shared" ca="1" si="85"/>
        <v>105.49942959536145</v>
      </c>
      <c r="AH156" s="304">
        <f t="shared" ca="1" si="86"/>
        <v>115.12162139851186</v>
      </c>
    </row>
    <row r="157" spans="1:34" x14ac:dyDescent="0.2">
      <c r="A157" s="347">
        <f t="shared" ca="1" si="64"/>
        <v>0.01</v>
      </c>
      <c r="B157" s="304">
        <f t="shared" ca="1" si="65"/>
        <v>1.5300000000000011</v>
      </c>
      <c r="D157" s="306">
        <f t="shared" ca="1" si="66"/>
        <v>22.096229002417424</v>
      </c>
      <c r="E157" s="307">
        <f t="shared" ca="1" si="67"/>
        <v>101.43429854806105</v>
      </c>
      <c r="F157" s="304">
        <f t="shared" ca="1" si="68"/>
        <v>103.81310253558773</v>
      </c>
      <c r="G157" s="306">
        <f t="shared" ca="1" si="69"/>
        <v>43.33302572836935</v>
      </c>
      <c r="H157" s="307">
        <f t="shared" ca="1" si="70"/>
        <v>218.06365287602873</v>
      </c>
      <c r="I157" s="304">
        <f t="shared" ca="1" si="71"/>
        <v>222.327478788414</v>
      </c>
      <c r="J157" s="306">
        <f t="shared" ca="1" si="72"/>
        <v>33.174243849220417</v>
      </c>
      <c r="K157" s="307">
        <f t="shared" ca="1" si="73"/>
        <v>172.30681253104228</v>
      </c>
      <c r="L157" s="304">
        <f t="shared" ca="1" si="58"/>
        <v>175.47127428606453</v>
      </c>
      <c r="M157" s="306">
        <f t="shared" ca="1" si="74"/>
        <v>1.3746344121910647</v>
      </c>
      <c r="N157" s="304">
        <f t="shared" ca="1" si="75"/>
        <v>78.760750191994774</v>
      </c>
      <c r="P157" s="310">
        <f t="shared" ca="1" si="76"/>
        <v>14</v>
      </c>
      <c r="Q157" s="304">
        <f t="shared" ca="1" si="77"/>
        <v>970.26833333333184</v>
      </c>
      <c r="R157" s="306">
        <f t="shared" ca="1" si="78"/>
        <v>0.47682066245966992</v>
      </c>
      <c r="S157" s="307">
        <f t="shared" ca="1" si="79"/>
        <v>7.1977156474153725</v>
      </c>
      <c r="T157" s="304">
        <f t="shared" ca="1" si="59"/>
        <v>70.609590501144808</v>
      </c>
      <c r="U157" s="311">
        <f t="shared" ca="1" si="60"/>
        <v>0</v>
      </c>
      <c r="V157" s="306">
        <f t="shared" ca="1" si="61"/>
        <v>1.2040727111864662</v>
      </c>
      <c r="W157" s="304">
        <f t="shared" ca="1" si="62"/>
        <v>155.3346823652262</v>
      </c>
      <c r="Y157" s="314" t="str">
        <f t="shared" ca="1" si="80"/>
        <v/>
      </c>
      <c r="Z157" s="315" t="str">
        <f t="shared" ca="1" si="81"/>
        <v/>
      </c>
      <c r="AA157" s="316" t="str">
        <f t="shared" ca="1" si="82"/>
        <v/>
      </c>
      <c r="AC157" s="310" t="e">
        <f t="shared" ca="1" si="83"/>
        <v>#N/A</v>
      </c>
      <c r="AD157" s="323" t="e">
        <f t="shared" ca="1" si="84"/>
        <v>#N/A</v>
      </c>
      <c r="AE157" s="324">
        <f t="shared" ca="1" si="63"/>
        <v>172.30681253104228</v>
      </c>
      <c r="AG157" s="306">
        <f t="shared" ca="1" si="85"/>
        <v>103.79550837439345</v>
      </c>
      <c r="AH157" s="304">
        <f t="shared" ca="1" si="86"/>
        <v>113.41753522087055</v>
      </c>
    </row>
    <row r="158" spans="1:34" x14ac:dyDescent="0.2">
      <c r="A158" s="347">
        <f t="shared" ca="1" si="64"/>
        <v>0.01</v>
      </c>
      <c r="B158" s="304">
        <f t="shared" ca="1" si="65"/>
        <v>1.5400000000000011</v>
      </c>
      <c r="D158" s="306">
        <f t="shared" ca="1" si="66"/>
        <v>21.773521985769687</v>
      </c>
      <c r="E158" s="307">
        <f t="shared" ca="1" si="67"/>
        <v>99.760325643912282</v>
      </c>
      <c r="F158" s="304">
        <f t="shared" ca="1" si="68"/>
        <v>102.10880878868493</v>
      </c>
      <c r="G158" s="306">
        <f t="shared" ca="1" si="69"/>
        <v>43.550760948227044</v>
      </c>
      <c r="H158" s="307">
        <f t="shared" ca="1" si="70"/>
        <v>219.06125613246786</v>
      </c>
      <c r="I158" s="304">
        <f t="shared" ca="1" si="71"/>
        <v>223.34838866108774</v>
      </c>
      <c r="J158" s="306">
        <f t="shared" ca="1" si="72"/>
        <v>33.608662782603396</v>
      </c>
      <c r="K158" s="307">
        <f t="shared" ca="1" si="73"/>
        <v>174.49243707608477</v>
      </c>
      <c r="L158" s="304">
        <f t="shared" ca="1" si="58"/>
        <v>177.69961398603587</v>
      </c>
      <c r="M158" s="306">
        <f t="shared" ca="1" si="74"/>
        <v>1.3745488046434795</v>
      </c>
      <c r="N158" s="304">
        <f t="shared" ca="1" si="75"/>
        <v>78.755845240823675</v>
      </c>
      <c r="P158" s="310">
        <f t="shared" ca="1" si="76"/>
        <v>14</v>
      </c>
      <c r="Q158" s="304">
        <f t="shared" ca="1" si="77"/>
        <v>958.88499999999851</v>
      </c>
      <c r="R158" s="306">
        <f t="shared" ca="1" si="78"/>
        <v>0.47122653106886986</v>
      </c>
      <c r="S158" s="307">
        <f t="shared" ca="1" si="79"/>
        <v>7.1930033821046839</v>
      </c>
      <c r="T158" s="304">
        <f t="shared" ca="1" si="59"/>
        <v>70.563363178446949</v>
      </c>
      <c r="U158" s="311">
        <f t="shared" ca="1" si="60"/>
        <v>0</v>
      </c>
      <c r="V158" s="306">
        <f t="shared" ca="1" si="61"/>
        <v>1.2038095550770462</v>
      </c>
      <c r="W158" s="304">
        <f t="shared" ca="1" si="62"/>
        <v>156.73026473508853</v>
      </c>
      <c r="Y158" s="314" t="str">
        <f t="shared" ca="1" si="80"/>
        <v/>
      </c>
      <c r="Z158" s="315" t="str">
        <f t="shared" ca="1" si="81"/>
        <v/>
      </c>
      <c r="AA158" s="316" t="str">
        <f t="shared" ca="1" si="82"/>
        <v/>
      </c>
      <c r="AC158" s="310" t="e">
        <f t="shared" ca="1" si="83"/>
        <v>#N/A</v>
      </c>
      <c r="AD158" s="323" t="e">
        <f t="shared" ca="1" si="84"/>
        <v>#N/A</v>
      </c>
      <c r="AE158" s="324">
        <f t="shared" ca="1" si="63"/>
        <v>174.49243707608477</v>
      </c>
      <c r="AG158" s="306">
        <f t="shared" ca="1" si="85"/>
        <v>102.090905425241</v>
      </c>
      <c r="AH158" s="304">
        <f t="shared" ca="1" si="86"/>
        <v>111.71276794251308</v>
      </c>
    </row>
    <row r="159" spans="1:34" x14ac:dyDescent="0.2">
      <c r="A159" s="347">
        <f t="shared" ca="1" si="64"/>
        <v>0.01</v>
      </c>
      <c r="B159" s="304">
        <f t="shared" ca="1" si="65"/>
        <v>1.5500000000000012</v>
      </c>
      <c r="D159" s="306">
        <f t="shared" ca="1" si="66"/>
        <v>21.450372671790305</v>
      </c>
      <c r="E159" s="307">
        <f t="shared" ca="1" si="67"/>
        <v>98.085831890929086</v>
      </c>
      <c r="F159" s="304">
        <f t="shared" ca="1" si="68"/>
        <v>100.40392873535522</v>
      </c>
      <c r="G159" s="306">
        <f t="shared" ca="1" si="69"/>
        <v>43.765264674944945</v>
      </c>
      <c r="H159" s="307">
        <f t="shared" ca="1" si="70"/>
        <v>220.04211445137716</v>
      </c>
      <c r="I159" s="304">
        <f t="shared" ca="1" si="71"/>
        <v>224.35224653277029</v>
      </c>
      <c r="J159" s="306">
        <f t="shared" ca="1" si="72"/>
        <v>34.045242910719253</v>
      </c>
      <c r="K159" s="307">
        <f t="shared" ca="1" si="73"/>
        <v>176.68795392900398</v>
      </c>
      <c r="L159" s="304">
        <f t="shared" ca="1" si="58"/>
        <v>179.93807720565349</v>
      </c>
      <c r="M159" s="306">
        <f t="shared" ca="1" si="74"/>
        <v>1.3744635434300247</v>
      </c>
      <c r="N159" s="304">
        <f t="shared" ca="1" si="75"/>
        <v>78.750960133136545</v>
      </c>
      <c r="P159" s="310">
        <f t="shared" ca="1" si="76"/>
        <v>14</v>
      </c>
      <c r="Q159" s="304">
        <f t="shared" ca="1" si="77"/>
        <v>947.50166666666519</v>
      </c>
      <c r="R159" s="306">
        <f t="shared" ca="1" si="78"/>
        <v>0.46563239967806985</v>
      </c>
      <c r="S159" s="307">
        <f t="shared" ca="1" si="79"/>
        <v>7.1883470581079036</v>
      </c>
      <c r="T159" s="304">
        <f t="shared" ca="1" si="59"/>
        <v>70.517684640038539</v>
      </c>
      <c r="U159" s="311">
        <f t="shared" ca="1" si="60"/>
        <v>0</v>
      </c>
      <c r="V159" s="306">
        <f t="shared" ca="1" si="61"/>
        <v>1.2035452653024865</v>
      </c>
      <c r="W159" s="304">
        <f t="shared" ca="1" si="62"/>
        <v>158.10758598036841</v>
      </c>
      <c r="Y159" s="314" t="str">
        <f t="shared" ca="1" si="80"/>
        <v/>
      </c>
      <c r="Z159" s="315" t="str">
        <f t="shared" ca="1" si="81"/>
        <v/>
      </c>
      <c r="AA159" s="316" t="str">
        <f t="shared" ca="1" si="82"/>
        <v/>
      </c>
      <c r="AC159" s="310" t="e">
        <f t="shared" ca="1" si="83"/>
        <v>#N/A</v>
      </c>
      <c r="AD159" s="323" t="e">
        <f t="shared" ca="1" si="84"/>
        <v>#N/A</v>
      </c>
      <c r="AE159" s="324">
        <f t="shared" ca="1" si="63"/>
        <v>176.68795392900398</v>
      </c>
      <c r="AG159" s="306">
        <f t="shared" ca="1" si="85"/>
        <v>100.3857056221098</v>
      </c>
      <c r="AH159" s="304">
        <f t="shared" ca="1" si="86"/>
        <v>110.00740441985856</v>
      </c>
    </row>
    <row r="160" spans="1:34" x14ac:dyDescent="0.2">
      <c r="A160" s="347">
        <f t="shared" ca="1" si="64"/>
        <v>0.01</v>
      </c>
      <c r="B160" s="304">
        <f t="shared" ca="1" si="65"/>
        <v>1.5600000000000012</v>
      </c>
      <c r="D160" s="306">
        <f t="shared" ca="1" si="66"/>
        <v>20.695292187108194</v>
      </c>
      <c r="E160" s="307">
        <f t="shared" ca="1" si="67"/>
        <v>94.241372380877309</v>
      </c>
      <c r="F160" s="304">
        <f t="shared" ca="1" si="68"/>
        <v>96.486949308914134</v>
      </c>
      <c r="G160" s="306">
        <f t="shared" ca="1" si="69"/>
        <v>43.972217596816023</v>
      </c>
      <c r="H160" s="307">
        <f t="shared" ca="1" si="70"/>
        <v>220.98452817518594</v>
      </c>
      <c r="I160" s="304">
        <f t="shared" ca="1" si="71"/>
        <v>225.31692704542036</v>
      </c>
      <c r="J160" s="306">
        <f t="shared" ca="1" si="72"/>
        <v>34.483930322078059</v>
      </c>
      <c r="K160" s="307">
        <f t="shared" ca="1" si="73"/>
        <v>178.89308714213681</v>
      </c>
      <c r="L160" s="304">
        <f t="shared" ca="1" si="58"/>
        <v>182.18638279987363</v>
      </c>
      <c r="M160" s="306">
        <f t="shared" ca="1" si="74"/>
        <v>1.3743786108484426</v>
      </c>
      <c r="N160" s="304">
        <f t="shared" ca="1" si="75"/>
        <v>78.746093854668743</v>
      </c>
      <c r="P160" s="310">
        <f t="shared" ca="1" si="76"/>
        <v>15</v>
      </c>
      <c r="Q160" s="304">
        <f t="shared" ca="1" si="77"/>
        <v>920.23599999999465</v>
      </c>
      <c r="R160" s="306">
        <f t="shared" ca="1" si="78"/>
        <v>0.45223318546508778</v>
      </c>
      <c r="S160" s="307">
        <f t="shared" ca="1" si="79"/>
        <v>7.1838247262532526</v>
      </c>
      <c r="T160" s="304">
        <f t="shared" ca="1" si="59"/>
        <v>70.473320564544409</v>
      </c>
      <c r="U160" s="311">
        <f t="shared" ca="1" si="60"/>
        <v>0</v>
      </c>
      <c r="V160" s="306">
        <f t="shared" ca="1" si="61"/>
        <v>1.2032798758283969</v>
      </c>
      <c r="W160" s="304">
        <f t="shared" ca="1" si="62"/>
        <v>159.43502209067233</v>
      </c>
      <c r="Y160" s="314" t="str">
        <f t="shared" ca="1" si="80"/>
        <v/>
      </c>
      <c r="Z160" s="315" t="str">
        <f t="shared" ca="1" si="81"/>
        <v/>
      </c>
      <c r="AA160" s="316" t="str">
        <f t="shared" ca="1" si="82"/>
        <v/>
      </c>
      <c r="AC160" s="310" t="e">
        <f t="shared" ca="1" si="83"/>
        <v>#N/A</v>
      </c>
      <c r="AD160" s="323" t="e">
        <f t="shared" ca="1" si="84"/>
        <v>#N/A</v>
      </c>
      <c r="AE160" s="324">
        <f t="shared" ca="1" si="63"/>
        <v>178.89308714213681</v>
      </c>
      <c r="AG160" s="306">
        <f t="shared" ca="1" si="85"/>
        <v>96.467969998333331</v>
      </c>
      <c r="AH160" s="304">
        <f t="shared" ca="1" si="86"/>
        <v>106.08950566881617</v>
      </c>
    </row>
    <row r="161" spans="1:34" x14ac:dyDescent="0.2">
      <c r="A161" s="347">
        <f t="shared" ca="1" si="64"/>
        <v>0.01</v>
      </c>
      <c r="B161" s="304">
        <f t="shared" ca="1" si="65"/>
        <v>1.5700000000000012</v>
      </c>
      <c r="D161" s="306">
        <f t="shared" ca="1" si="66"/>
        <v>19.507605620608135</v>
      </c>
      <c r="E161" s="307">
        <f t="shared" ca="1" si="67"/>
        <v>88.226425258885243</v>
      </c>
      <c r="F161" s="304">
        <f t="shared" ca="1" si="68"/>
        <v>90.35733944185634</v>
      </c>
      <c r="G161" s="306">
        <f t="shared" ca="1" si="69"/>
        <v>44.167293653022107</v>
      </c>
      <c r="H161" s="307">
        <f t="shared" ca="1" si="70"/>
        <v>221.86679242777478</v>
      </c>
      <c r="I161" s="304">
        <f t="shared" ca="1" si="71"/>
        <v>226.22029840582738</v>
      </c>
      <c r="J161" s="306">
        <f t="shared" ca="1" si="72"/>
        <v>34.92462787832725</v>
      </c>
      <c r="K161" s="307">
        <f t="shared" ca="1" si="73"/>
        <v>181.10734374515161</v>
      </c>
      <c r="L161" s="304">
        <f t="shared" ca="1" si="58"/>
        <v>184.44402834156529</v>
      </c>
      <c r="M161" s="306">
        <f t="shared" ca="1" si="74"/>
        <v>1.3742939813073605</v>
      </c>
      <c r="N161" s="304">
        <f t="shared" ca="1" si="75"/>
        <v>78.741244939142604</v>
      </c>
      <c r="P161" s="310">
        <f t="shared" ca="1" si="76"/>
        <v>15</v>
      </c>
      <c r="Q161" s="304">
        <f t="shared" ca="1" si="77"/>
        <v>877.08799999999474</v>
      </c>
      <c r="R161" s="306">
        <f t="shared" ca="1" si="78"/>
        <v>0.43102888842992759</v>
      </c>
      <c r="S161" s="307">
        <f t="shared" ca="1" si="79"/>
        <v>7.1795144373689537</v>
      </c>
      <c r="T161" s="304">
        <f t="shared" ca="1" si="59"/>
        <v>70.431036630589446</v>
      </c>
      <c r="U161" s="311">
        <f t="shared" ca="1" si="60"/>
        <v>0</v>
      </c>
      <c r="V161" s="306">
        <f t="shared" ca="1" si="61"/>
        <v>1.203013446704492</v>
      </c>
      <c r="W161" s="304">
        <f t="shared" ca="1" si="62"/>
        <v>160.68045665463953</v>
      </c>
      <c r="Y161" s="314" t="str">
        <f t="shared" ca="1" si="80"/>
        <v/>
      </c>
      <c r="Z161" s="315" t="str">
        <f t="shared" ca="1" si="81"/>
        <v/>
      </c>
      <c r="AA161" s="316" t="str">
        <f t="shared" ca="1" si="82"/>
        <v/>
      </c>
      <c r="AC161" s="310" t="e">
        <f t="shared" ca="1" si="83"/>
        <v>#N/A</v>
      </c>
      <c r="AD161" s="323" t="e">
        <f t="shared" ca="1" si="84"/>
        <v>#N/A</v>
      </c>
      <c r="AE161" s="324">
        <f t="shared" ca="1" si="63"/>
        <v>181.10734374515161</v>
      </c>
      <c r="AG161" s="306">
        <f t="shared" ca="1" si="85"/>
        <v>90.337055029412738</v>
      </c>
      <c r="AH161" s="304">
        <f t="shared" ca="1" si="86"/>
        <v>99.958428131849772</v>
      </c>
    </row>
    <row r="162" spans="1:34" x14ac:dyDescent="0.2">
      <c r="A162" s="347">
        <f t="shared" ca="1" si="64"/>
        <v>0.01</v>
      </c>
      <c r="B162" s="304">
        <f t="shared" ca="1" si="65"/>
        <v>1.5800000000000012</v>
      </c>
      <c r="D162" s="306">
        <f t="shared" ca="1" si="66"/>
        <v>18.319121357606281</v>
      </c>
      <c r="E162" s="307">
        <f t="shared" ca="1" si="67"/>
        <v>82.212950911078693</v>
      </c>
      <c r="F162" s="304">
        <f t="shared" ca="1" si="68"/>
        <v>84.229208145524794</v>
      </c>
      <c r="G162" s="306">
        <f t="shared" ca="1" si="69"/>
        <v>44.350484866598173</v>
      </c>
      <c r="H162" s="307">
        <f t="shared" ca="1" si="70"/>
        <v>222.68892193688558</v>
      </c>
      <c r="I162" s="304">
        <f t="shared" ca="1" si="71"/>
        <v>227.06237350409836</v>
      </c>
      <c r="J162" s="306">
        <f t="shared" ca="1" si="72"/>
        <v>35.367216770925353</v>
      </c>
      <c r="K162" s="307">
        <f t="shared" ca="1" si="73"/>
        <v>183.33012231697492</v>
      </c>
      <c r="L162" s="304">
        <f t="shared" ca="1" si="58"/>
        <v>186.71040081066349</v>
      </c>
      <c r="M162" s="306">
        <f t="shared" ca="1" si="74"/>
        <v>1.3742096297602626</v>
      </c>
      <c r="N162" s="304">
        <f t="shared" ca="1" si="75"/>
        <v>78.736411951498496</v>
      </c>
      <c r="P162" s="310">
        <f t="shared" ca="1" si="76"/>
        <v>15</v>
      </c>
      <c r="Q162" s="304">
        <f t="shared" ca="1" si="77"/>
        <v>833.93999999999471</v>
      </c>
      <c r="R162" s="306">
        <f t="shared" ca="1" si="78"/>
        <v>0.40982459139476735</v>
      </c>
      <c r="S162" s="307">
        <f t="shared" ca="1" si="79"/>
        <v>7.1754161914550059</v>
      </c>
      <c r="T162" s="304">
        <f t="shared" ca="1" si="59"/>
        <v>70.390832838173608</v>
      </c>
      <c r="U162" s="311">
        <f t="shared" ca="1" si="60"/>
        <v>0</v>
      </c>
      <c r="V162" s="306">
        <f t="shared" ca="1" si="61"/>
        <v>1.2027460509760008</v>
      </c>
      <c r="W162" s="304">
        <f t="shared" ca="1" si="62"/>
        <v>161.84292539810036</v>
      </c>
      <c r="Y162" s="314" t="str">
        <f t="shared" ca="1" si="80"/>
        <v/>
      </c>
      <c r="Z162" s="315" t="str">
        <f t="shared" ca="1" si="81"/>
        <v/>
      </c>
      <c r="AA162" s="316" t="str">
        <f t="shared" ca="1" si="82"/>
        <v/>
      </c>
      <c r="AC162" s="310" t="e">
        <f t="shared" ca="1" si="83"/>
        <v>#N/A</v>
      </c>
      <c r="AD162" s="323" t="e">
        <f t="shared" ca="1" si="84"/>
        <v>#N/A</v>
      </c>
      <c r="AE162" s="324">
        <f t="shared" ca="1" si="63"/>
        <v>183.33012231697492</v>
      </c>
      <c r="AG162" s="306">
        <f t="shared" ca="1" si="85"/>
        <v>84.207429047574678</v>
      </c>
      <c r="AH162" s="304">
        <f t="shared" ca="1" si="86"/>
        <v>93.828640092977508</v>
      </c>
    </row>
    <row r="163" spans="1:34" x14ac:dyDescent="0.2">
      <c r="A163" s="347">
        <f t="shared" ca="1" si="64"/>
        <v>0.01</v>
      </c>
      <c r="B163" s="304">
        <f t="shared" ca="1" si="65"/>
        <v>1.5900000000000012</v>
      </c>
      <c r="D163" s="306">
        <f t="shared" ca="1" si="66"/>
        <v>17.12998026257419</v>
      </c>
      <c r="E163" s="307">
        <f t="shared" ca="1" si="67"/>
        <v>76.201615181815541</v>
      </c>
      <c r="F163" s="304">
        <f t="shared" ca="1" si="68"/>
        <v>78.103280213533168</v>
      </c>
      <c r="G163" s="306">
        <f t="shared" ca="1" si="69"/>
        <v>44.521784669223912</v>
      </c>
      <c r="H163" s="307">
        <f t="shared" ca="1" si="70"/>
        <v>223.45093808870374</v>
      </c>
      <c r="I163" s="304">
        <f t="shared" ca="1" si="71"/>
        <v>227.84317203474512</v>
      </c>
      <c r="J163" s="306">
        <f t="shared" ca="1" si="72"/>
        <v>35.811578118604466</v>
      </c>
      <c r="K163" s="307">
        <f t="shared" ca="1" si="73"/>
        <v>185.56082161710287</v>
      </c>
      <c r="L163" s="304">
        <f t="shared" ca="1" si="58"/>
        <v>188.98488734964809</v>
      </c>
      <c r="M163" s="306">
        <f t="shared" ca="1" si="74"/>
        <v>1.3741255316593901</v>
      </c>
      <c r="N163" s="304">
        <f t="shared" ca="1" si="75"/>
        <v>78.731593485253441</v>
      </c>
      <c r="P163" s="310">
        <f t="shared" ca="1" si="76"/>
        <v>15</v>
      </c>
      <c r="Q163" s="304">
        <f t="shared" ca="1" si="77"/>
        <v>790.7919999999948</v>
      </c>
      <c r="R163" s="306">
        <f t="shared" ca="1" si="78"/>
        <v>0.3886202943596071</v>
      </c>
      <c r="S163" s="307">
        <f t="shared" ca="1" si="79"/>
        <v>7.1715299885114101</v>
      </c>
      <c r="T163" s="304">
        <f t="shared" ca="1" si="59"/>
        <v>70.352709187296938</v>
      </c>
      <c r="U163" s="311">
        <f t="shared" ca="1" si="60"/>
        <v>0</v>
      </c>
      <c r="V163" s="306">
        <f t="shared" ca="1" si="61"/>
        <v>1.2024777616049671</v>
      </c>
      <c r="W163" s="304">
        <f t="shared" ca="1" si="62"/>
        <v>162.92154640636139</v>
      </c>
      <c r="Y163" s="314" t="str">
        <f t="shared" ca="1" si="80"/>
        <v/>
      </c>
      <c r="Z163" s="315" t="str">
        <f t="shared" ca="1" si="81"/>
        <v/>
      </c>
      <c r="AA163" s="316" t="str">
        <f t="shared" ca="1" si="82"/>
        <v/>
      </c>
      <c r="AC163" s="310" t="e">
        <f t="shared" ca="1" si="83"/>
        <v>#N/A</v>
      </c>
      <c r="AD163" s="323" t="e">
        <f t="shared" ca="1" si="84"/>
        <v>#N/A</v>
      </c>
      <c r="AE163" s="324">
        <f t="shared" ca="1" si="63"/>
        <v>185.56082161710287</v>
      </c>
      <c r="AG163" s="306">
        <f t="shared" ca="1" si="85"/>
        <v>78.079772493738758</v>
      </c>
      <c r="AH163" s="304">
        <f t="shared" ca="1" si="86"/>
        <v>87.700821945868341</v>
      </c>
    </row>
    <row r="164" spans="1:34" x14ac:dyDescent="0.2">
      <c r="A164" s="347">
        <f t="shared" ca="1" si="64"/>
        <v>0.01</v>
      </c>
      <c r="B164" s="304">
        <f t="shared" ca="1" si="65"/>
        <v>1.6000000000000012</v>
      </c>
      <c r="D164" s="306">
        <f t="shared" ca="1" si="66"/>
        <v>15.940320762358205</v>
      </c>
      <c r="E164" s="307">
        <f t="shared" ca="1" si="67"/>
        <v>70.193073871518962</v>
      </c>
      <c r="F164" s="304">
        <f t="shared" ca="1" si="68"/>
        <v>71.980285117102625</v>
      </c>
      <c r="G164" s="306">
        <f t="shared" ca="1" si="69"/>
        <v>44.681187876847495</v>
      </c>
      <c r="H164" s="307">
        <f t="shared" ca="1" si="70"/>
        <v>224.15286882741893</v>
      </c>
      <c r="I164" s="304">
        <f t="shared" ca="1" si="71"/>
        <v>228.56272039343648</v>
      </c>
      <c r="J164" s="306">
        <f t="shared" ca="1" si="72"/>
        <v>36.257592981334824</v>
      </c>
      <c r="K164" s="307">
        <f t="shared" ca="1" si="73"/>
        <v>187.79884065168349</v>
      </c>
      <c r="L164" s="304">
        <f t="shared" ca="1" si="58"/>
        <v>191.26687533108432</v>
      </c>
      <c r="M164" s="306">
        <f t="shared" ca="1" si="74"/>
        <v>1.3740416629117491</v>
      </c>
      <c r="N164" s="304">
        <f t="shared" ca="1" si="75"/>
        <v>78.726788159980558</v>
      </c>
      <c r="P164" s="310">
        <f t="shared" ca="1" si="76"/>
        <v>15</v>
      </c>
      <c r="Q164" s="304">
        <f t="shared" ca="1" si="77"/>
        <v>747.64399999999478</v>
      </c>
      <c r="R164" s="306">
        <f t="shared" ca="1" si="78"/>
        <v>0.36741599732444685</v>
      </c>
      <c r="S164" s="307">
        <f t="shared" ca="1" si="79"/>
        <v>7.1678558285381655</v>
      </c>
      <c r="T164" s="304">
        <f t="shared" ca="1" si="59"/>
        <v>70.316665677959406</v>
      </c>
      <c r="U164" s="311">
        <f t="shared" ca="1" si="60"/>
        <v>0</v>
      </c>
      <c r="V164" s="306">
        <f t="shared" ca="1" si="61"/>
        <v>1.2022086514617869</v>
      </c>
      <c r="W164" s="304">
        <f t="shared" ca="1" si="62"/>
        <v>163.91551994592629</v>
      </c>
      <c r="Y164" s="314" t="str">
        <f t="shared" ca="1" si="80"/>
        <v/>
      </c>
      <c r="Z164" s="315" t="str">
        <f t="shared" ca="1" si="81"/>
        <v/>
      </c>
      <c r="AA164" s="316" t="str">
        <f t="shared" ca="1" si="82"/>
        <v/>
      </c>
      <c r="AC164" s="310" t="e">
        <f t="shared" ca="1" si="83"/>
        <v>#N/A</v>
      </c>
      <c r="AD164" s="323" t="e">
        <f t="shared" ca="1" si="84"/>
        <v>#N/A</v>
      </c>
      <c r="AE164" s="324">
        <f t="shared" ca="1" si="63"/>
        <v>187.79884065168349</v>
      </c>
      <c r="AG164" s="306">
        <f t="shared" ca="1" si="85"/>
        <v>71.954755484007151</v>
      </c>
      <c r="AH164" s="304">
        <f t="shared" ca="1" si="86"/>
        <v>81.575643760246152</v>
      </c>
    </row>
    <row r="165" spans="1:34" x14ac:dyDescent="0.2">
      <c r="A165" s="347">
        <f t="shared" ca="1" si="64"/>
        <v>0.01</v>
      </c>
      <c r="B165" s="304">
        <f t="shared" ca="1" si="65"/>
        <v>1.6100000000000012</v>
      </c>
      <c r="D165" s="306">
        <f t="shared" ca="1" si="66"/>
        <v>14.200242359523068</v>
      </c>
      <c r="E165" s="307">
        <f t="shared" ca="1" si="67"/>
        <v>61.428595350350676</v>
      </c>
      <c r="F165" s="304">
        <f t="shared" ca="1" si="68"/>
        <v>63.048546452605216</v>
      </c>
      <c r="G165" s="306">
        <f t="shared" ca="1" si="69"/>
        <v>44.823190300442725</v>
      </c>
      <c r="H165" s="307">
        <f t="shared" ca="1" si="70"/>
        <v>224.76715478092243</v>
      </c>
      <c r="I165" s="304">
        <f t="shared" ca="1" si="71"/>
        <v>229.19291493634972</v>
      </c>
      <c r="J165" s="306">
        <f t="shared" ca="1" si="72"/>
        <v>36.705114872221273</v>
      </c>
      <c r="K165" s="307">
        <f t="shared" ca="1" si="73"/>
        <v>190.04344076972521</v>
      </c>
      <c r="L165" s="304">
        <f t="shared" ca="1" si="58"/>
        <v>193.55561174344447</v>
      </c>
      <c r="M165" s="306">
        <f t="shared" ca="1" si="74"/>
        <v>1.3739579895662044</v>
      </c>
      <c r="N165" s="304">
        <f t="shared" ca="1" si="75"/>
        <v>78.721994030423105</v>
      </c>
      <c r="P165" s="310">
        <f t="shared" ca="1" si="76"/>
        <v>16</v>
      </c>
      <c r="Q165" s="304">
        <f t="shared" ca="1" si="77"/>
        <v>684.3449999999898</v>
      </c>
      <c r="R165" s="306">
        <f t="shared" ca="1" si="78"/>
        <v>0.33630885914819969</v>
      </c>
      <c r="S165" s="307">
        <f t="shared" ca="1" si="79"/>
        <v>7.1644927399466836</v>
      </c>
      <c r="T165" s="304">
        <f t="shared" ca="1" si="59"/>
        <v>70.283673778876974</v>
      </c>
      <c r="U165" s="311">
        <f t="shared" ca="1" si="60"/>
        <v>0</v>
      </c>
      <c r="V165" s="306">
        <f t="shared" ca="1" si="61"/>
        <v>1.2019388099014374</v>
      </c>
      <c r="W165" s="304">
        <f t="shared" ca="1" si="62"/>
        <v>164.78366903102301</v>
      </c>
      <c r="Y165" s="314" t="str">
        <f t="shared" ca="1" si="80"/>
        <v/>
      </c>
      <c r="Z165" s="315" t="str">
        <f t="shared" ca="1" si="81"/>
        <v/>
      </c>
      <c r="AA165" s="316" t="str">
        <f t="shared" ca="1" si="82"/>
        <v/>
      </c>
      <c r="AC165" s="310" t="e">
        <f t="shared" ca="1" si="83"/>
        <v>#N/A</v>
      </c>
      <c r="AD165" s="323" t="e">
        <f t="shared" ca="1" si="84"/>
        <v>#N/A</v>
      </c>
      <c r="AE165" s="324">
        <f t="shared" ca="1" si="63"/>
        <v>190.04344076972521</v>
      </c>
      <c r="AG165" s="306">
        <f t="shared" ca="1" si="85"/>
        <v>63.019374059725273</v>
      </c>
      <c r="AH165" s="304">
        <f t="shared" ca="1" si="86"/>
        <v>72.640101531868737</v>
      </c>
    </row>
    <row r="166" spans="1:34" x14ac:dyDescent="0.2">
      <c r="A166" s="347">
        <f t="shared" ca="1" si="64"/>
        <v>0.01</v>
      </c>
      <c r="B166" s="304">
        <f t="shared" ca="1" si="65"/>
        <v>1.6200000000000012</v>
      </c>
      <c r="D166" s="306">
        <f t="shared" ca="1" si="66"/>
        <v>11.909472882903286</v>
      </c>
      <c r="E166" s="307">
        <f t="shared" ca="1" si="67"/>
        <v>49.910388416981576</v>
      </c>
      <c r="F166" s="304">
        <f t="shared" ca="1" si="68"/>
        <v>51.3116206748781</v>
      </c>
      <c r="G166" s="306">
        <f t="shared" ca="1" si="69"/>
        <v>44.942285029271758</v>
      </c>
      <c r="H166" s="307">
        <f t="shared" ca="1" si="70"/>
        <v>225.26625866509224</v>
      </c>
      <c r="I166" s="304">
        <f t="shared" ca="1" si="71"/>
        <v>229.70567314853272</v>
      </c>
      <c r="J166" s="306">
        <f t="shared" ca="1" si="72"/>
        <v>37.153942248869846</v>
      </c>
      <c r="K166" s="307">
        <f t="shared" ca="1" si="73"/>
        <v>192.29360783695529</v>
      </c>
      <c r="L166" s="304">
        <f t="shared" ca="1" si="58"/>
        <v>195.850062648918</v>
      </c>
      <c r="M166" s="306">
        <f t="shared" ca="1" si="74"/>
        <v>1.3738744679551698</v>
      </c>
      <c r="N166" s="304">
        <f t="shared" ca="1" si="75"/>
        <v>78.717208594612686</v>
      </c>
      <c r="P166" s="310">
        <f t="shared" ca="1" si="76"/>
        <v>16</v>
      </c>
      <c r="Q166" s="304">
        <f t="shared" ca="1" si="77"/>
        <v>600.89499999998975</v>
      </c>
      <c r="R166" s="306">
        <f t="shared" ca="1" si="78"/>
        <v>0.29529887983087039</v>
      </c>
      <c r="S166" s="307">
        <f t="shared" ca="1" si="79"/>
        <v>7.1615397511483749</v>
      </c>
      <c r="T166" s="304">
        <f t="shared" ca="1" si="59"/>
        <v>70.254704958765558</v>
      </c>
      <c r="U166" s="311">
        <f t="shared" ca="1" si="60"/>
        <v>0</v>
      </c>
      <c r="V166" s="306">
        <f t="shared" ca="1" si="61"/>
        <v>1.2016683593082416</v>
      </c>
      <c r="W166" s="304">
        <f t="shared" ca="1" si="62"/>
        <v>165.48456872095335</v>
      </c>
      <c r="Y166" s="314" t="str">
        <f t="shared" ca="1" si="80"/>
        <v/>
      </c>
      <c r="Z166" s="315" t="str">
        <f t="shared" ca="1" si="81"/>
        <v/>
      </c>
      <c r="AA166" s="316" t="str">
        <f t="shared" ca="1" si="82"/>
        <v/>
      </c>
      <c r="AC166" s="310" t="e">
        <f t="shared" ca="1" si="83"/>
        <v>#N/A</v>
      </c>
      <c r="AD166" s="323" t="e">
        <f t="shared" ca="1" si="84"/>
        <v>#N/A</v>
      </c>
      <c r="AE166" s="324">
        <f t="shared" ca="1" si="63"/>
        <v>192.29360783695529</v>
      </c>
      <c r="AG166" s="306">
        <f t="shared" ca="1" si="85"/>
        <v>51.275741098575004</v>
      </c>
      <c r="AH166" s="304">
        <f t="shared" ca="1" si="86"/>
        <v>60.896308073837744</v>
      </c>
    </row>
    <row r="167" spans="1:34" x14ac:dyDescent="0.2">
      <c r="A167" s="347">
        <f t="shared" ca="1" si="64"/>
        <v>0.01</v>
      </c>
      <c r="B167" s="304">
        <f t="shared" ca="1" si="65"/>
        <v>1.6300000000000012</v>
      </c>
      <c r="D167" s="306">
        <f t="shared" ca="1" si="66"/>
        <v>9.6713784210756994</v>
      </c>
      <c r="E167" s="307">
        <f t="shared" ca="1" si="67"/>
        <v>38.666289793254677</v>
      </c>
      <c r="F167" s="304">
        <f t="shared" ca="1" si="68"/>
        <v>39.857465134396087</v>
      </c>
      <c r="G167" s="306">
        <f t="shared" ca="1" si="69"/>
        <v>45.038998813482515</v>
      </c>
      <c r="H167" s="307">
        <f t="shared" ca="1" si="70"/>
        <v>225.65292156302479</v>
      </c>
      <c r="I167" s="304">
        <f t="shared" ca="1" si="71"/>
        <v>230.10378620103037</v>
      </c>
      <c r="J167" s="306">
        <f t="shared" ca="1" si="72"/>
        <v>37.603848668083614</v>
      </c>
      <c r="K167" s="307">
        <f t="shared" ca="1" si="73"/>
        <v>194.54820373809588</v>
      </c>
      <c r="L167" s="304">
        <f t="shared" ca="1" si="58"/>
        <v>198.14906765456101</v>
      </c>
      <c r="M167" s="306">
        <f t="shared" ca="1" si="74"/>
        <v>1.3737910559288506</v>
      </c>
      <c r="N167" s="304">
        <f t="shared" ca="1" si="75"/>
        <v>78.712429437543975</v>
      </c>
      <c r="P167" s="310">
        <f t="shared" ca="1" si="76"/>
        <v>17</v>
      </c>
      <c r="Q167" s="304">
        <f t="shared" ca="1" si="77"/>
        <v>519.36499999998978</v>
      </c>
      <c r="R167" s="306">
        <f t="shared" ca="1" si="78"/>
        <v>0.25523244946847556</v>
      </c>
      <c r="S167" s="307">
        <f t="shared" ca="1" si="79"/>
        <v>7.1589874266536899</v>
      </c>
      <c r="T167" s="304">
        <f t="shared" ca="1" si="59"/>
        <v>70.229666655472698</v>
      </c>
      <c r="U167" s="311">
        <f t="shared" ca="1" si="60"/>
        <v>0</v>
      </c>
      <c r="V167" s="306">
        <f t="shared" ca="1" si="61"/>
        <v>1.2013974368552545</v>
      </c>
      <c r="W167" s="304">
        <f t="shared" ca="1" si="62"/>
        <v>166.02124423515204</v>
      </c>
      <c r="Y167" s="314" t="str">
        <f t="shared" ca="1" si="80"/>
        <v/>
      </c>
      <c r="Z167" s="315" t="str">
        <f t="shared" ca="1" si="81"/>
        <v/>
      </c>
      <c r="AA167" s="316" t="str">
        <f t="shared" ca="1" si="82"/>
        <v/>
      </c>
      <c r="AC167" s="310" t="e">
        <f t="shared" ca="1" si="83"/>
        <v>#N/A</v>
      </c>
      <c r="AD167" s="323" t="e">
        <f t="shared" ca="1" si="84"/>
        <v>#N/A</v>
      </c>
      <c r="AE167" s="324">
        <f t="shared" ca="1" si="63"/>
        <v>194.54820373809588</v>
      </c>
      <c r="AG167" s="306">
        <f t="shared" ca="1" si="85"/>
        <v>39.811225201649194</v>
      </c>
      <c r="AH167" s="304">
        <f t="shared" ca="1" si="86"/>
        <v>49.431631903905995</v>
      </c>
    </row>
    <row r="168" spans="1:34" x14ac:dyDescent="0.2">
      <c r="A168" s="347">
        <f t="shared" ca="1" si="64"/>
        <v>0.01</v>
      </c>
      <c r="B168" s="304">
        <f t="shared" ca="1" si="65"/>
        <v>1.6400000000000012</v>
      </c>
      <c r="D168" s="306">
        <f t="shared" ca="1" si="66"/>
        <v>7.4863967732340315</v>
      </c>
      <c r="E168" s="307">
        <f t="shared" ca="1" si="67"/>
        <v>27.698100720803687</v>
      </c>
      <c r="F168" s="304">
        <f t="shared" ca="1" si="68"/>
        <v>28.692000979124384</v>
      </c>
      <c r="G168" s="306">
        <f t="shared" ca="1" si="69"/>
        <v>45.113862781214856</v>
      </c>
      <c r="H168" s="307">
        <f t="shared" ca="1" si="70"/>
        <v>225.92990257023283</v>
      </c>
      <c r="I168" s="304">
        <f t="shared" ca="1" si="71"/>
        <v>230.39006378409027</v>
      </c>
      <c r="J168" s="306">
        <f t="shared" ca="1" si="72"/>
        <v>38.054612976057101</v>
      </c>
      <c r="K168" s="307">
        <f t="shared" ca="1" si="73"/>
        <v>196.80611785876218</v>
      </c>
      <c r="L168" s="304">
        <f t="shared" ca="1" si="58"/>
        <v>200.45149437056958</v>
      </c>
      <c r="M168" s="306">
        <f t="shared" ca="1" si="74"/>
        <v>1.3737077127183637</v>
      </c>
      <c r="N168" s="304">
        <f t="shared" ca="1" si="75"/>
        <v>78.707654223332</v>
      </c>
      <c r="P168" s="310">
        <f t="shared" ca="1" si="76"/>
        <v>17</v>
      </c>
      <c r="Q168" s="304">
        <f t="shared" ca="1" si="77"/>
        <v>439.75499999998891</v>
      </c>
      <c r="R168" s="306">
        <f t="shared" ca="1" si="78"/>
        <v>0.21610956806101458</v>
      </c>
      <c r="S168" s="307">
        <f t="shared" ca="1" si="79"/>
        <v>7.1568263309730797</v>
      </c>
      <c r="T168" s="304">
        <f t="shared" ca="1" si="59"/>
        <v>70.208466306845921</v>
      </c>
      <c r="U168" s="311">
        <f t="shared" ca="1" si="60"/>
        <v>0</v>
      </c>
      <c r="V168" s="306">
        <f t="shared" ca="1" si="61"/>
        <v>1.2011261762904379</v>
      </c>
      <c r="W168" s="304">
        <f t="shared" ca="1" si="62"/>
        <v>166.39702429404429</v>
      </c>
      <c r="Y168" s="314" t="str">
        <f t="shared" ca="1" si="80"/>
        <v/>
      </c>
      <c r="Z168" s="315" t="str">
        <f t="shared" ca="1" si="81"/>
        <v/>
      </c>
      <c r="AA168" s="316" t="str">
        <f t="shared" ca="1" si="82"/>
        <v/>
      </c>
      <c r="AC168" s="310" t="e">
        <f t="shared" ca="1" si="83"/>
        <v>#N/A</v>
      </c>
      <c r="AD168" s="323" t="e">
        <f t="shared" ca="1" si="84"/>
        <v>#N/A</v>
      </c>
      <c r="AE168" s="324">
        <f t="shared" ca="1" si="63"/>
        <v>196.80611785876218</v>
      </c>
      <c r="AG168" s="306">
        <f t="shared" ca="1" si="85"/>
        <v>28.627678290474499</v>
      </c>
      <c r="AH168" s="304">
        <f t="shared" ca="1" si="86"/>
        <v>38.247924863033333</v>
      </c>
    </row>
    <row r="169" spans="1:34" x14ac:dyDescent="0.2">
      <c r="A169" s="347">
        <f t="shared" ca="1" si="64"/>
        <v>0.01</v>
      </c>
      <c r="B169" s="304">
        <f t="shared" ca="1" si="65"/>
        <v>1.6500000000000012</v>
      </c>
      <c r="D169" s="306">
        <f t="shared" ca="1" si="66"/>
        <v>5.8287943576248864</v>
      </c>
      <c r="E169" s="307">
        <f t="shared" ca="1" si="67"/>
        <v>19.380560509229156</v>
      </c>
      <c r="F169" s="304">
        <f t="shared" ca="1" si="68"/>
        <v>20.238106860953483</v>
      </c>
      <c r="G169" s="306">
        <f t="shared" ca="1" si="69"/>
        <v>45.172150724791102</v>
      </c>
      <c r="H169" s="307">
        <f t="shared" ca="1" si="70"/>
        <v>226.12370817532511</v>
      </c>
      <c r="I169" s="304">
        <f t="shared" ca="1" si="71"/>
        <v>230.59153193485409</v>
      </c>
      <c r="J169" s="306">
        <f t="shared" ca="1" si="72"/>
        <v>38.506043043587127</v>
      </c>
      <c r="K169" s="307">
        <f t="shared" ca="1" si="73"/>
        <v>199.06638591248998</v>
      </c>
      <c r="L169" s="304">
        <f t="shared" ca="1" si="58"/>
        <v>202.75635958246778</v>
      </c>
      <c r="M169" s="306">
        <f t="shared" ca="1" si="74"/>
        <v>1.3736244075545767</v>
      </c>
      <c r="N169" s="304">
        <f t="shared" ca="1" si="75"/>
        <v>78.702881189035352</v>
      </c>
      <c r="P169" s="310">
        <f t="shared" ca="1" si="76"/>
        <v>18</v>
      </c>
      <c r="Q169" s="304">
        <f t="shared" ca="1" si="77"/>
        <v>379.37749999999403</v>
      </c>
      <c r="R169" s="306">
        <f t="shared" ca="1" si="78"/>
        <v>0.18643814773468939</v>
      </c>
      <c r="S169" s="307">
        <f t="shared" ca="1" si="79"/>
        <v>7.1549619494957328</v>
      </c>
      <c r="T169" s="304">
        <f t="shared" ca="1" si="59"/>
        <v>70.19017672455314</v>
      </c>
      <c r="U169" s="311">
        <f t="shared" ca="1" si="60"/>
        <v>0</v>
      </c>
      <c r="V169" s="306">
        <f t="shared" ca="1" si="61"/>
        <v>1.200854693669122</v>
      </c>
      <c r="W169" s="304">
        <f t="shared" ca="1" si="62"/>
        <v>166.65049300710814</v>
      </c>
      <c r="Y169" s="314" t="str">
        <f t="shared" ca="1" si="80"/>
        <v/>
      </c>
      <c r="Z169" s="315" t="str">
        <f t="shared" ca="1" si="81"/>
        <v/>
      </c>
      <c r="AA169" s="316" t="str">
        <f t="shared" ca="1" si="82"/>
        <v/>
      </c>
      <c r="AC169" s="310" t="e">
        <f t="shared" ca="1" si="83"/>
        <v>#N/A</v>
      </c>
      <c r="AD169" s="323" t="e">
        <f t="shared" ca="1" si="84"/>
        <v>#N/A</v>
      </c>
      <c r="AE169" s="324">
        <f t="shared" ca="1" si="63"/>
        <v>199.06638591248998</v>
      </c>
      <c r="AG169" s="306">
        <f t="shared" ca="1" si="85"/>
        <v>20.146735064001415</v>
      </c>
      <c r="AH169" s="304">
        <f t="shared" ca="1" si="86"/>
        <v>29.766821572120335</v>
      </c>
    </row>
    <row r="170" spans="1:34" x14ac:dyDescent="0.2">
      <c r="A170" s="347">
        <f t="shared" ca="1" si="64"/>
        <v>0.01</v>
      </c>
      <c r="B170" s="304">
        <f t="shared" ca="1" si="65"/>
        <v>1.6600000000000013</v>
      </c>
      <c r="D170" s="306">
        <f t="shared" ca="1" si="66"/>
        <v>4.6988624535296886</v>
      </c>
      <c r="E170" s="307">
        <f t="shared" ca="1" si="67"/>
        <v>13.711665122196882</v>
      </c>
      <c r="F170" s="304">
        <f t="shared" ca="1" si="68"/>
        <v>14.494449585288207</v>
      </c>
      <c r="G170" s="306">
        <f t="shared" ca="1" si="69"/>
        <v>45.219139349326397</v>
      </c>
      <c r="H170" s="307">
        <f t="shared" ca="1" si="70"/>
        <v>226.26082482654706</v>
      </c>
      <c r="I170" s="304">
        <f t="shared" ca="1" si="71"/>
        <v>230.73519760687404</v>
      </c>
      <c r="J170" s="306">
        <f t="shared" ca="1" si="72"/>
        <v>38.957999493957715</v>
      </c>
      <c r="K170" s="307">
        <f t="shared" ca="1" si="73"/>
        <v>201.32830857749934</v>
      </c>
      <c r="L170" s="304">
        <f t="shared" ca="1" si="58"/>
        <v>205.06295023540454</v>
      </c>
      <c r="M170" s="306">
        <f t="shared" ca="1" si="74"/>
        <v>1.373541119527881</v>
      </c>
      <c r="N170" s="304">
        <f t="shared" ca="1" si="75"/>
        <v>78.698109136621724</v>
      </c>
      <c r="P170" s="310">
        <f t="shared" ca="1" si="76"/>
        <v>18</v>
      </c>
      <c r="Q170" s="304">
        <f t="shared" ca="1" si="77"/>
        <v>338.23249999999405</v>
      </c>
      <c r="R170" s="306">
        <f t="shared" ca="1" si="78"/>
        <v>0.16621818848949454</v>
      </c>
      <c r="S170" s="307">
        <f t="shared" ca="1" si="79"/>
        <v>7.1532997676108376</v>
      </c>
      <c r="T170" s="304">
        <f t="shared" ca="1" si="59"/>
        <v>70.173870720262315</v>
      </c>
      <c r="U170" s="311">
        <f t="shared" ca="1" si="60"/>
        <v>0</v>
      </c>
      <c r="V170" s="306">
        <f t="shared" ca="1" si="61"/>
        <v>1.20058307312864</v>
      </c>
      <c r="W170" s="304">
        <f t="shared" ca="1" si="62"/>
        <v>166.82047299022668</v>
      </c>
      <c r="Y170" s="314" t="str">
        <f t="shared" ca="1" si="80"/>
        <v/>
      </c>
      <c r="Z170" s="315" t="str">
        <f t="shared" ca="1" si="81"/>
        <v/>
      </c>
      <c r="AA170" s="316" t="str">
        <f t="shared" ca="1" si="82"/>
        <v/>
      </c>
      <c r="AC170" s="310" t="e">
        <f t="shared" ca="1" si="83"/>
        <v>#N/A</v>
      </c>
      <c r="AD170" s="323" t="e">
        <f t="shared" ca="1" si="84"/>
        <v>#N/A</v>
      </c>
      <c r="AE170" s="324">
        <f t="shared" ca="1" si="63"/>
        <v>201.32830857749934</v>
      </c>
      <c r="AG170" s="306">
        <f t="shared" ca="1" si="85"/>
        <v>14.366487172700054</v>
      </c>
      <c r="AH170" s="304">
        <f t="shared" ca="1" si="86"/>
        <v>23.98641362267324</v>
      </c>
    </row>
    <row r="171" spans="1:34" x14ac:dyDescent="0.2">
      <c r="A171" s="347">
        <f t="shared" ca="1" si="64"/>
        <v>0.01</v>
      </c>
      <c r="B171" s="304">
        <f t="shared" ca="1" si="65"/>
        <v>1.6700000000000013</v>
      </c>
      <c r="D171" s="306">
        <f t="shared" ca="1" si="66"/>
        <v>3.1690578332770234</v>
      </c>
      <c r="E171" s="307">
        <f t="shared" ca="1" si="67"/>
        <v>6.0468617093985024</v>
      </c>
      <c r="F171" s="304">
        <f t="shared" ca="1" si="68"/>
        <v>6.8269659500574802</v>
      </c>
      <c r="G171" s="306">
        <f t="shared" ca="1" si="69"/>
        <v>45.250829927659169</v>
      </c>
      <c r="H171" s="307">
        <f t="shared" ca="1" si="70"/>
        <v>226.32129344364105</v>
      </c>
      <c r="I171" s="304">
        <f t="shared" ca="1" si="71"/>
        <v>230.800705101056</v>
      </c>
      <c r="J171" s="306">
        <f t="shared" ca="1" si="72"/>
        <v>39.410349340342641</v>
      </c>
      <c r="K171" s="307">
        <f t="shared" ca="1" si="73"/>
        <v>203.59121916885027</v>
      </c>
      <c r="L171" s="304">
        <f t="shared" ca="1" si="58"/>
        <v>207.37058652997698</v>
      </c>
      <c r="M171" s="306">
        <f t="shared" ca="1" si="74"/>
        <v>1.3734578204258714</v>
      </c>
      <c r="N171" s="304">
        <f t="shared" ca="1" si="75"/>
        <v>78.693336449639347</v>
      </c>
      <c r="P171" s="310">
        <f t="shared" ca="1" si="76"/>
        <v>19</v>
      </c>
      <c r="Q171" s="304">
        <f t="shared" ca="1" si="77"/>
        <v>282.46999999998985</v>
      </c>
      <c r="R171" s="306">
        <f t="shared" ca="1" si="78"/>
        <v>0.13881472567723876</v>
      </c>
      <c r="S171" s="307">
        <f t="shared" ca="1" si="79"/>
        <v>7.1519116203540651</v>
      </c>
      <c r="T171" s="304">
        <f t="shared" ca="1" si="59"/>
        <v>70.160252995673389</v>
      </c>
      <c r="U171" s="311">
        <f t="shared" ca="1" si="60"/>
        <v>0</v>
      </c>
      <c r="V171" s="306">
        <f t="shared" ca="1" si="61"/>
        <v>1.2003113948132929</v>
      </c>
      <c r="W171" s="304">
        <f t="shared" ca="1" si="62"/>
        <v>166.8774386463877</v>
      </c>
      <c r="Y171" s="314" t="str">
        <f t="shared" ca="1" si="80"/>
        <v/>
      </c>
      <c r="Z171" s="315" t="str">
        <f t="shared" ca="1" si="81"/>
        <v/>
      </c>
      <c r="AA171" s="316" t="str">
        <f t="shared" ca="1" si="82"/>
        <v/>
      </c>
      <c r="AC171" s="310" t="e">
        <f t="shared" ca="1" si="83"/>
        <v>#N/A</v>
      </c>
      <c r="AD171" s="323" t="e">
        <f t="shared" ca="1" si="84"/>
        <v>#N/A</v>
      </c>
      <c r="AE171" s="324">
        <f t="shared" ca="1" si="63"/>
        <v>203.59121916885027</v>
      </c>
      <c r="AG171" s="306">
        <f t="shared" ca="1" si="85"/>
        <v>6.5506693448861473</v>
      </c>
      <c r="AH171" s="304">
        <f t="shared" ca="1" si="86"/>
        <v>16.170435702900615</v>
      </c>
    </row>
    <row r="172" spans="1:34" x14ac:dyDescent="0.2">
      <c r="A172" s="347">
        <f t="shared" ca="1" si="64"/>
        <v>0.01</v>
      </c>
      <c r="B172" s="304">
        <f t="shared" ca="1" si="65"/>
        <v>1.6800000000000013</v>
      </c>
      <c r="D172" s="306">
        <f t="shared" ca="1" si="66"/>
        <v>1.5295761682224784</v>
      </c>
      <c r="E172" s="307">
        <f t="shared" ca="1" si="67"/>
        <v>-2.1598495526800745</v>
      </c>
      <c r="F172" s="304">
        <f t="shared" ca="1" si="68"/>
        <v>2.6466116724231528</v>
      </c>
      <c r="G172" s="306">
        <f t="shared" ca="1" si="69"/>
        <v>45.266125689341393</v>
      </c>
      <c r="H172" s="307">
        <f t="shared" ca="1" si="70"/>
        <v>226.29969494811425</v>
      </c>
      <c r="I172" s="304">
        <f t="shared" ca="1" si="71"/>
        <v>230.78252548347939</v>
      </c>
      <c r="J172" s="306">
        <f t="shared" ca="1" si="72"/>
        <v>39.862934118427646</v>
      </c>
      <c r="K172" s="307">
        <f t="shared" ca="1" si="73"/>
        <v>205.85432411080905</v>
      </c>
      <c r="L172" s="304">
        <f t="shared" ca="1" si="58"/>
        <v>209.67845924569392</v>
      </c>
      <c r="M172" s="306">
        <f t="shared" ca="1" si="74"/>
        <v>1.373374480040588</v>
      </c>
      <c r="N172" s="304">
        <f t="shared" ca="1" si="75"/>
        <v>78.688561397299608</v>
      </c>
      <c r="P172" s="310">
        <f t="shared" ca="1" si="76"/>
        <v>20</v>
      </c>
      <c r="Q172" s="304">
        <f t="shared" ca="1" si="77"/>
        <v>222.66499999999292</v>
      </c>
      <c r="R172" s="306">
        <f t="shared" ca="1" si="78"/>
        <v>0.10942465002627712</v>
      </c>
      <c r="S172" s="307">
        <f t="shared" ca="1" si="79"/>
        <v>7.1508173738538021</v>
      </c>
      <c r="T172" s="304">
        <f t="shared" ca="1" si="59"/>
        <v>70.149518437505805</v>
      </c>
      <c r="U172" s="311">
        <f t="shared" ca="1" si="60"/>
        <v>0</v>
      </c>
      <c r="V172" s="306">
        <f t="shared" ca="1" si="61"/>
        <v>1.2000397540246706</v>
      </c>
      <c r="W172" s="304">
        <f t="shared" ca="1" si="62"/>
        <v>166.81339076121242</v>
      </c>
      <c r="Y172" s="314" t="str">
        <f t="shared" ca="1" si="80"/>
        <v/>
      </c>
      <c r="Z172" s="315" t="str">
        <f t="shared" ca="1" si="81"/>
        <v/>
      </c>
      <c r="AA172" s="316" t="str">
        <f t="shared" ca="1" si="82"/>
        <v/>
      </c>
      <c r="AC172" s="310" t="e">
        <f t="shared" ca="1" si="83"/>
        <v>#N/A</v>
      </c>
      <c r="AD172" s="323" t="e">
        <f t="shared" ca="1" si="84"/>
        <v>#N/A</v>
      </c>
      <c r="AE172" s="324">
        <f t="shared" ca="1" si="63"/>
        <v>205.85432411080905</v>
      </c>
      <c r="AG172" s="306">
        <f t="shared" ca="1" si="85"/>
        <v>-1.8180419040438549</v>
      </c>
      <c r="AH172" s="304">
        <f t="shared" ca="1" si="86"/>
        <v>7.801564273978868</v>
      </c>
    </row>
    <row r="173" spans="1:34" x14ac:dyDescent="0.2">
      <c r="A173" s="347">
        <f t="shared" ca="1" si="64"/>
        <v>0.01</v>
      </c>
      <c r="B173" s="304">
        <f t="shared" ca="1" si="65"/>
        <v>1.6900000000000013</v>
      </c>
      <c r="D173" s="306">
        <f t="shared" ca="1" si="66"/>
        <v>-0.93647753247505616</v>
      </c>
      <c r="E173" s="307">
        <f t="shared" ca="1" si="67"/>
        <v>-14.49174770200775</v>
      </c>
      <c r="F173" s="304">
        <f t="shared" ca="1" si="68"/>
        <v>14.521974439706105</v>
      </c>
      <c r="G173" s="306">
        <f t="shared" ca="1" si="69"/>
        <v>45.256760914016645</v>
      </c>
      <c r="H173" s="307">
        <f t="shared" ca="1" si="70"/>
        <v>226.15477747109418</v>
      </c>
      <c r="I173" s="304">
        <f t="shared" ca="1" si="71"/>
        <v>230.63858693078353</v>
      </c>
      <c r="J173" s="306">
        <f t="shared" ca="1" si="72"/>
        <v>40.315548551444436</v>
      </c>
      <c r="K173" s="307">
        <f t="shared" ca="1" si="73"/>
        <v>208.11659647290509</v>
      </c>
      <c r="L173" s="304">
        <f t="shared" ca="1" si="58"/>
        <v>211.98552116234231</v>
      </c>
      <c r="M173" s="306">
        <f t="shared" ca="1" si="74"/>
        <v>1.3732910528838549</v>
      </c>
      <c r="N173" s="304">
        <f t="shared" ca="1" si="75"/>
        <v>78.68378137332202</v>
      </c>
      <c r="P173" s="310">
        <f t="shared" ca="1" si="76"/>
        <v>21</v>
      </c>
      <c r="Q173" s="304">
        <f t="shared" ca="1" si="77"/>
        <v>132.67499999998114</v>
      </c>
      <c r="R173" s="306">
        <f t="shared" ca="1" si="78"/>
        <v>6.5200707081196935E-2</v>
      </c>
      <c r="S173" s="307">
        <f t="shared" ca="1" si="79"/>
        <v>7.1501653667829901</v>
      </c>
      <c r="T173" s="304">
        <f t="shared" ca="1" si="59"/>
        <v>70.14312224814114</v>
      </c>
      <c r="U173" s="311">
        <f t="shared" ca="1" si="60"/>
        <v>0</v>
      </c>
      <c r="V173" s="306">
        <f t="shared" ca="1" si="61"/>
        <v>1.1997682739791986</v>
      </c>
      <c r="W173" s="304">
        <f t="shared" ca="1" si="62"/>
        <v>166.56768291618084</v>
      </c>
      <c r="Y173" s="314" t="str">
        <f t="shared" ca="1" si="80"/>
        <v/>
      </c>
      <c r="Z173" s="315" t="str">
        <f t="shared" ca="1" si="81"/>
        <v/>
      </c>
      <c r="AA173" s="316" t="str">
        <f t="shared" ca="1" si="82"/>
        <v/>
      </c>
      <c r="AC173" s="310" t="e">
        <f t="shared" ca="1" si="83"/>
        <v>#N/A</v>
      </c>
      <c r="AD173" s="323" t="e">
        <f t="shared" ca="1" si="84"/>
        <v>#N/A</v>
      </c>
      <c r="AE173" s="324">
        <f t="shared" ca="1" si="63"/>
        <v>208.11659647290509</v>
      </c>
      <c r="AG173" s="306">
        <f t="shared" ca="1" si="85"/>
        <v>-14.393935532859253</v>
      </c>
      <c r="AH173" s="304">
        <f t="shared" ca="1" si="86"/>
        <v>-4.7744896810115121</v>
      </c>
    </row>
    <row r="174" spans="1:34" x14ac:dyDescent="0.2">
      <c r="A174" s="347">
        <f t="shared" ca="1" si="64"/>
        <v>0.01</v>
      </c>
      <c r="B174" s="304">
        <f t="shared" ca="1" si="65"/>
        <v>1.7000000000000013</v>
      </c>
      <c r="D174" s="306">
        <f t="shared" ca="1" si="66"/>
        <v>-3.6477764833711777</v>
      </c>
      <c r="E174" s="307">
        <f t="shared" ca="1" si="67"/>
        <v>-28.038482600167633</v>
      </c>
      <c r="F174" s="304">
        <f t="shared" ca="1" si="68"/>
        <v>28.274772851298717</v>
      </c>
      <c r="G174" s="306">
        <f t="shared" ca="1" si="69"/>
        <v>45.220283149182933</v>
      </c>
      <c r="H174" s="307">
        <f t="shared" ca="1" si="70"/>
        <v>225.87439264509251</v>
      </c>
      <c r="I174" s="304">
        <f t="shared" ca="1" si="71"/>
        <v>230.35649602492589</v>
      </c>
      <c r="J174" s="306">
        <f t="shared" ca="1" si="72"/>
        <v>40.767933771760433</v>
      </c>
      <c r="K174" s="307">
        <f t="shared" ca="1" si="73"/>
        <v>210.37674232348601</v>
      </c>
      <c r="L174" s="304">
        <f t="shared" ca="1" si="58"/>
        <v>214.29045273800949</v>
      </c>
      <c r="M174" s="306">
        <f t="shared" ca="1" si="74"/>
        <v>1.373207488725535</v>
      </c>
      <c r="N174" s="304">
        <f t="shared" ca="1" si="75"/>
        <v>78.678993499731732</v>
      </c>
      <c r="P174" s="310">
        <f t="shared" ca="1" si="76"/>
        <v>22</v>
      </c>
      <c r="Q174" s="304">
        <f t="shared" ca="1" si="77"/>
        <v>33.649999999990285</v>
      </c>
      <c r="R174" s="306">
        <f t="shared" ca="1" si="78"/>
        <v>1.6536678298714566E-2</v>
      </c>
      <c r="S174" s="307">
        <f t="shared" ca="1" si="79"/>
        <v>7.150000000000003</v>
      </c>
      <c r="T174" s="304">
        <f t="shared" ca="1" si="59"/>
        <v>70.141500000000036</v>
      </c>
      <c r="U174" s="311">
        <f t="shared" ca="1" si="60"/>
        <v>0</v>
      </c>
      <c r="V174" s="306">
        <f t="shared" ca="1" si="61"/>
        <v>1.1994971098132394</v>
      </c>
      <c r="W174" s="304">
        <f t="shared" ca="1" si="62"/>
        <v>166.12292421679203</v>
      </c>
      <c r="Y174" s="314" t="str">
        <f t="shared" ca="1" si="80"/>
        <v/>
      </c>
      <c r="Z174" s="315" t="str">
        <f t="shared" ca="1" si="81"/>
        <v/>
      </c>
      <c r="AA174" s="316" t="str">
        <f t="shared" ca="1" si="82"/>
        <v/>
      </c>
      <c r="AC174" s="310" t="e">
        <f t="shared" ca="1" si="83"/>
        <v>#N/A</v>
      </c>
      <c r="AD174" s="323" t="e">
        <f t="shared" ca="1" si="84"/>
        <v>#N/A</v>
      </c>
      <c r="AE174" s="324">
        <f t="shared" ca="1" si="63"/>
        <v>210.37674232348601</v>
      </c>
      <c r="AG174" s="306">
        <f t="shared" ca="1" si="85"/>
        <v>-28.209171014372792</v>
      </c>
      <c r="AH174" s="304">
        <f t="shared" ca="1" si="86"/>
        <v>-18.589885722544125</v>
      </c>
    </row>
    <row r="175" spans="1:34" x14ac:dyDescent="0.2">
      <c r="A175" s="347">
        <f t="shared" ca="1" si="64"/>
        <v>0.01</v>
      </c>
      <c r="B175" s="304">
        <f t="shared" ca="1" si="65"/>
        <v>1.7100000000000013</v>
      </c>
      <c r="D175" s="306">
        <f t="shared" ca="1" si="66"/>
        <v>-4.5609607937033063</v>
      </c>
      <c r="E175" s="307">
        <f t="shared" ca="1" si="67"/>
        <v>-32.591906202514068</v>
      </c>
      <c r="F175" s="304">
        <f t="shared" ca="1" si="68"/>
        <v>32.90949275323419</v>
      </c>
      <c r="G175" s="306">
        <f t="shared" ca="1" si="69"/>
        <v>45.174673541245902</v>
      </c>
      <c r="H175" s="307">
        <f t="shared" ca="1" si="70"/>
        <v>225.54847358306736</v>
      </c>
      <c r="I175" s="304">
        <f t="shared" ca="1" si="71"/>
        <v>230.02796583287386</v>
      </c>
      <c r="J175" s="306">
        <f t="shared" ca="1" si="72"/>
        <v>41.219908555212577</v>
      </c>
      <c r="K175" s="307">
        <f t="shared" ca="1" si="73"/>
        <v>212.63385665462681</v>
      </c>
      <c r="L175" s="304">
        <f t="shared" ca="1" si="58"/>
        <v>216.59233102102314</v>
      </c>
      <c r="M175" s="306">
        <f t="shared" ca="1" si="74"/>
        <v>1.3731237702748598</v>
      </c>
      <c r="N175" s="304">
        <f t="shared" ca="1" si="75"/>
        <v>78.674196785840664</v>
      </c>
      <c r="P175" s="310">
        <f t="shared" ca="1" si="76"/>
        <v>23</v>
      </c>
      <c r="Q175" s="304">
        <f t="shared" ca="1" si="77"/>
        <v>0</v>
      </c>
      <c r="R175" s="306">
        <f t="shared" ca="1" si="78"/>
        <v>0</v>
      </c>
      <c r="S175" s="307">
        <f t="shared" ca="1" si="79"/>
        <v>7.150000000000003</v>
      </c>
      <c r="T175" s="304">
        <f t="shared" ca="1" si="59"/>
        <v>70.141500000000036</v>
      </c>
      <c r="U175" s="311">
        <f t="shared" ca="1" si="60"/>
        <v>0</v>
      </c>
      <c r="V175" s="306">
        <f t="shared" ca="1" si="61"/>
        <v>1.1992263698784451</v>
      </c>
      <c r="W175" s="304">
        <f t="shared" ca="1" si="62"/>
        <v>165.61203027032661</v>
      </c>
      <c r="Y175" s="314" t="str">
        <f t="shared" ca="1" si="80"/>
        <v>Fin de propulsion</v>
      </c>
      <c r="Z175" s="315" t="str">
        <f t="shared" ca="1" si="81"/>
        <v/>
      </c>
      <c r="AA175" s="316" t="str">
        <f t="shared" ca="1" si="82"/>
        <v/>
      </c>
      <c r="AC175" s="310" t="e">
        <f t="shared" ca="1" si="83"/>
        <v>#N/A</v>
      </c>
      <c r="AD175" s="323" t="e">
        <f t="shared" ca="1" si="84"/>
        <v>#N/A</v>
      </c>
      <c r="AE175" s="324">
        <f t="shared" ca="1" si="63"/>
        <v>212.63385665462681</v>
      </c>
      <c r="AG175" s="306">
        <f t="shared" ca="1" si="85"/>
        <v>-32.853099815962565</v>
      </c>
      <c r="AH175" s="304">
        <f t="shared" ca="1" si="86"/>
        <v>-23.233975414935937</v>
      </c>
    </row>
    <row r="176" spans="1:34" x14ac:dyDescent="0.2">
      <c r="A176" s="347">
        <f t="shared" ca="1" si="64"/>
        <v>0.01</v>
      </c>
      <c r="B176" s="304">
        <f t="shared" ca="1" si="65"/>
        <v>1.7200000000000013</v>
      </c>
      <c r="D176" s="306">
        <f t="shared" ca="1" si="66"/>
        <v>-4.5488354128141202</v>
      </c>
      <c r="E176" s="307">
        <f t="shared" ca="1" si="67"/>
        <v>-32.521462054154568</v>
      </c>
      <c r="F176" s="304">
        <f t="shared" ca="1" si="68"/>
        <v>32.838048019830403</v>
      </c>
      <c r="G176" s="306">
        <f t="shared" ca="1" si="69"/>
        <v>45.129185187117763</v>
      </c>
      <c r="H176" s="307">
        <f t="shared" ca="1" si="70"/>
        <v>225.22325896252582</v>
      </c>
      <c r="I176" s="304">
        <f t="shared" ca="1" si="71"/>
        <v>229.70015179218785</v>
      </c>
      <c r="J176" s="306">
        <f t="shared" ca="1" si="72"/>
        <v>41.671427848854393</v>
      </c>
      <c r="K176" s="307">
        <f t="shared" ca="1" si="73"/>
        <v>214.88771531735478</v>
      </c>
      <c r="L176" s="304">
        <f t="shared" ca="1" si="58"/>
        <v>218.89092738913322</v>
      </c>
      <c r="M176" s="306">
        <f t="shared" ca="1" si="74"/>
        <v>1.3730398972879432</v>
      </c>
      <c r="N176" s="304">
        <f t="shared" ca="1" si="75"/>
        <v>78.669391217675198</v>
      </c>
      <c r="P176" s="310">
        <f t="shared" ca="1" si="76"/>
        <v>23</v>
      </c>
      <c r="Q176" s="304">
        <f t="shared" ca="1" si="77"/>
        <v>0</v>
      </c>
      <c r="R176" s="306">
        <f t="shared" ca="1" si="78"/>
        <v>0</v>
      </c>
      <c r="S176" s="307">
        <f t="shared" ca="1" si="79"/>
        <v>7.150000000000003</v>
      </c>
      <c r="T176" s="304">
        <f t="shared" ca="1" si="59"/>
        <v>70.141500000000036</v>
      </c>
      <c r="U176" s="311">
        <f t="shared" ca="1" si="60"/>
        <v>0</v>
      </c>
      <c r="V176" s="306">
        <f t="shared" ca="1" si="61"/>
        <v>1.1989560807884876</v>
      </c>
      <c r="W176" s="304">
        <f t="shared" ca="1" si="62"/>
        <v>165.10311714335555</v>
      </c>
      <c r="Y176" s="314" t="str">
        <f t="shared" ca="1" si="80"/>
        <v/>
      </c>
      <c r="Z176" s="315" t="str">
        <f t="shared" ca="1" si="81"/>
        <v/>
      </c>
      <c r="AA176" s="316" t="str">
        <f t="shared" ca="1" si="82"/>
        <v/>
      </c>
      <c r="AC176" s="310" t="e">
        <f t="shared" ca="1" si="83"/>
        <v>#N/A</v>
      </c>
      <c r="AD176" s="323" t="e">
        <f t="shared" ca="1" si="84"/>
        <v>#N/A</v>
      </c>
      <c r="AE176" s="324">
        <f t="shared" ca="1" si="63"/>
        <v>214.88771531735478</v>
      </c>
      <c r="AG176" s="306">
        <f t="shared" ca="1" si="85"/>
        <v>-32.781484861930181</v>
      </c>
      <c r="AH176" s="304">
        <f t="shared" ca="1" si="86"/>
        <v>-23.162521716129586</v>
      </c>
    </row>
    <row r="177" spans="1:34" x14ac:dyDescent="0.2">
      <c r="A177" s="347">
        <f t="shared" ca="1" si="64"/>
        <v>0.01</v>
      </c>
      <c r="B177" s="304">
        <f t="shared" ca="1" si="65"/>
        <v>1.7300000000000013</v>
      </c>
      <c r="D177" s="306">
        <f t="shared" ca="1" si="66"/>
        <v>-4.5367561974891064</v>
      </c>
      <c r="E177" s="307">
        <f t="shared" ca="1" si="67"/>
        <v>-32.451291033293536</v>
      </c>
      <c r="F177" s="304">
        <f t="shared" ca="1" si="68"/>
        <v>32.766880329426741</v>
      </c>
      <c r="G177" s="306">
        <f t="shared" ca="1" si="69"/>
        <v>45.083817625142871</v>
      </c>
      <c r="H177" s="307">
        <f t="shared" ca="1" si="70"/>
        <v>224.89874605219288</v>
      </c>
      <c r="I177" s="304">
        <f t="shared" ca="1" si="71"/>
        <v>229.37305113614784</v>
      </c>
      <c r="J177" s="306">
        <f t="shared" ca="1" si="72"/>
        <v>42.122492862915699</v>
      </c>
      <c r="K177" s="307">
        <f t="shared" ca="1" si="73"/>
        <v>217.13832534242837</v>
      </c>
      <c r="L177" s="304">
        <f t="shared" ca="1" si="58"/>
        <v>221.18624897922712</v>
      </c>
      <c r="M177" s="306">
        <f t="shared" ca="1" si="74"/>
        <v>1.3729558695201884</v>
      </c>
      <c r="N177" s="304">
        <f t="shared" ca="1" si="75"/>
        <v>78.664576781220944</v>
      </c>
      <c r="P177" s="310">
        <f t="shared" ca="1" si="76"/>
        <v>23</v>
      </c>
      <c r="Q177" s="304">
        <f t="shared" ca="1" si="77"/>
        <v>0</v>
      </c>
      <c r="R177" s="306">
        <f t="shared" ca="1" si="78"/>
        <v>0</v>
      </c>
      <c r="S177" s="307">
        <f t="shared" ca="1" si="79"/>
        <v>7.150000000000003</v>
      </c>
      <c r="T177" s="304">
        <f t="shared" ca="1" si="59"/>
        <v>70.141500000000036</v>
      </c>
      <c r="U177" s="311">
        <f t="shared" ca="1" si="60"/>
        <v>0</v>
      </c>
      <c r="V177" s="306">
        <f t="shared" ca="1" si="61"/>
        <v>1.1986862414191384</v>
      </c>
      <c r="W177" s="304">
        <f t="shared" ca="1" si="62"/>
        <v>164.59617461891074</v>
      </c>
      <c r="Y177" s="314" t="str">
        <f t="shared" ca="1" si="80"/>
        <v/>
      </c>
      <c r="Z177" s="315" t="str">
        <f t="shared" ca="1" si="81"/>
        <v/>
      </c>
      <c r="AA177" s="316" t="str">
        <f t="shared" ca="1" si="82"/>
        <v/>
      </c>
      <c r="AC177" s="310" t="e">
        <f t="shared" ca="1" si="83"/>
        <v>#N/A</v>
      </c>
      <c r="AD177" s="323" t="e">
        <f t="shared" ca="1" si="84"/>
        <v>#N/A</v>
      </c>
      <c r="AE177" s="324">
        <f t="shared" ca="1" si="63"/>
        <v>217.13832534242837</v>
      </c>
      <c r="AG177" s="306">
        <f t="shared" ca="1" si="85"/>
        <v>-32.710146580323638</v>
      </c>
      <c r="AH177" s="304">
        <f t="shared" ca="1" si="86"/>
        <v>-23.091345055014752</v>
      </c>
    </row>
    <row r="178" spans="1:34" x14ac:dyDescent="0.2">
      <c r="A178" s="347">
        <f t="shared" ca="1" si="64"/>
        <v>0.01</v>
      </c>
      <c r="B178" s="304">
        <f t="shared" ca="1" si="65"/>
        <v>1.7400000000000013</v>
      </c>
      <c r="D178" s="306">
        <f t="shared" ca="1" si="66"/>
        <v>-4.5247229084859821</v>
      </c>
      <c r="E178" s="307">
        <f t="shared" ca="1" si="67"/>
        <v>-32.381391731134556</v>
      </c>
      <c r="F178" s="304">
        <f t="shared" ca="1" si="68"/>
        <v>32.695988253052811</v>
      </c>
      <c r="G178" s="306">
        <f t="shared" ca="1" si="69"/>
        <v>45.038570396058013</v>
      </c>
      <c r="H178" s="307">
        <f t="shared" ca="1" si="70"/>
        <v>224.57493213488152</v>
      </c>
      <c r="I178" s="304">
        <f t="shared" ca="1" si="71"/>
        <v>229.04666111233169</v>
      </c>
      <c r="J178" s="306">
        <f t="shared" ca="1" si="72"/>
        <v>42.573104803021707</v>
      </c>
      <c r="K178" s="307">
        <f t="shared" ca="1" si="73"/>
        <v>219.38569373336375</v>
      </c>
      <c r="L178" s="304">
        <f t="shared" ca="1" si="58"/>
        <v>223.47830290083721</v>
      </c>
      <c r="M178" s="306">
        <f t="shared" ca="1" si="74"/>
        <v>1.3728716867262869</v>
      </c>
      <c r="N178" s="304">
        <f t="shared" ca="1" si="75"/>
        <v>78.659753462422756</v>
      </c>
      <c r="P178" s="310">
        <f t="shared" ca="1" si="76"/>
        <v>23</v>
      </c>
      <c r="Q178" s="304">
        <f t="shared" ca="1" si="77"/>
        <v>0</v>
      </c>
      <c r="R178" s="306">
        <f t="shared" ca="1" si="78"/>
        <v>0</v>
      </c>
      <c r="S178" s="307">
        <f t="shared" ca="1" si="79"/>
        <v>7.150000000000003</v>
      </c>
      <c r="T178" s="304">
        <f t="shared" ca="1" si="59"/>
        <v>70.141500000000036</v>
      </c>
      <c r="U178" s="311">
        <f t="shared" ca="1" si="60"/>
        <v>0</v>
      </c>
      <c r="V178" s="306">
        <f t="shared" ca="1" si="61"/>
        <v>1.1984168506507435</v>
      </c>
      <c r="W178" s="304">
        <f t="shared" ca="1" si="62"/>
        <v>164.09119254649116</v>
      </c>
      <c r="Y178" s="314" t="str">
        <f t="shared" ca="1" si="80"/>
        <v/>
      </c>
      <c r="Z178" s="315" t="str">
        <f t="shared" ca="1" si="81"/>
        <v/>
      </c>
      <c r="AA178" s="316" t="str">
        <f t="shared" ca="1" si="82"/>
        <v/>
      </c>
      <c r="AC178" s="310" t="e">
        <f t="shared" ca="1" si="83"/>
        <v>#N/A</v>
      </c>
      <c r="AD178" s="323" t="e">
        <f t="shared" ca="1" si="84"/>
        <v>#N/A</v>
      </c>
      <c r="AE178" s="324">
        <f t="shared" ca="1" si="63"/>
        <v>219.38569373336375</v>
      </c>
      <c r="AG178" s="306">
        <f t="shared" ca="1" si="85"/>
        <v>-32.639083541351837</v>
      </c>
      <c r="AH178" s="304">
        <f t="shared" ca="1" si="86"/>
        <v>-23.020444002644847</v>
      </c>
    </row>
    <row r="179" spans="1:34" x14ac:dyDescent="0.2">
      <c r="A179" s="347">
        <f t="shared" ca="1" si="64"/>
        <v>0.01</v>
      </c>
      <c r="B179" s="304">
        <f t="shared" ca="1" si="65"/>
        <v>1.7500000000000013</v>
      </c>
      <c r="D179" s="306">
        <f t="shared" ca="1" si="66"/>
        <v>-4.5127353081179526</v>
      </c>
      <c r="E179" s="307">
        <f t="shared" ca="1" si="67"/>
        <v>-32.311762748046171</v>
      </c>
      <c r="F179" s="304">
        <f t="shared" ca="1" si="68"/>
        <v>32.625370371034236</v>
      </c>
      <c r="G179" s="306">
        <f t="shared" ca="1" si="69"/>
        <v>44.993443042976835</v>
      </c>
      <c r="H179" s="307">
        <f t="shared" ca="1" si="70"/>
        <v>224.25181450740106</v>
      </c>
      <c r="I179" s="304">
        <f t="shared" ca="1" si="71"/>
        <v>228.72097898252233</v>
      </c>
      <c r="J179" s="306">
        <f t="shared" ca="1" si="72"/>
        <v>43.023264870216877</v>
      </c>
      <c r="K179" s="307">
        <f t="shared" ca="1" si="73"/>
        <v>221.62982746657516</v>
      </c>
      <c r="L179" s="304">
        <f t="shared" ca="1" si="58"/>
        <v>225.76709623626891</v>
      </c>
      <c r="M179" s="306">
        <f t="shared" ca="1" si="74"/>
        <v>1.3727873486602145</v>
      </c>
      <c r="N179" s="304">
        <f t="shared" ca="1" si="75"/>
        <v>78.654921247184518</v>
      </c>
      <c r="P179" s="310">
        <f t="shared" ca="1" si="76"/>
        <v>23</v>
      </c>
      <c r="Q179" s="304">
        <f t="shared" ca="1" si="77"/>
        <v>0</v>
      </c>
      <c r="R179" s="306">
        <f t="shared" ca="1" si="78"/>
        <v>0</v>
      </c>
      <c r="S179" s="307">
        <f t="shared" ca="1" si="79"/>
        <v>7.150000000000003</v>
      </c>
      <c r="T179" s="304">
        <f t="shared" ca="1" si="59"/>
        <v>70.141500000000036</v>
      </c>
      <c r="U179" s="311">
        <f t="shared" ca="1" si="60"/>
        <v>0</v>
      </c>
      <c r="V179" s="306">
        <f t="shared" ca="1" si="61"/>
        <v>1.1981479073681998</v>
      </c>
      <c r="W179" s="304">
        <f t="shared" ca="1" si="62"/>
        <v>163.58816084154233</v>
      </c>
      <c r="Y179" s="314" t="str">
        <f t="shared" ca="1" si="80"/>
        <v/>
      </c>
      <c r="Z179" s="315" t="str">
        <f t="shared" ca="1" si="81"/>
        <v/>
      </c>
      <c r="AA179" s="316" t="str">
        <f t="shared" ca="1" si="82"/>
        <v/>
      </c>
      <c r="AC179" s="310" t="e">
        <f t="shared" ca="1" si="83"/>
        <v>#N/A</v>
      </c>
      <c r="AD179" s="323" t="e">
        <f t="shared" ca="1" si="84"/>
        <v>#N/A</v>
      </c>
      <c r="AE179" s="324">
        <f t="shared" ca="1" si="63"/>
        <v>221.62982746657516</v>
      </c>
      <c r="AG179" s="306">
        <f t="shared" ca="1" si="85"/>
        <v>-32.568294324516948</v>
      </c>
      <c r="AH179" s="304">
        <f t="shared" ca="1" si="86"/>
        <v>-22.949817139369383</v>
      </c>
    </row>
    <row r="180" spans="1:34" x14ac:dyDescent="0.2">
      <c r="A180" s="347">
        <f t="shared" ca="1" si="64"/>
        <v>0.01</v>
      </c>
      <c r="B180" s="304">
        <f t="shared" ca="1" si="65"/>
        <v>1.7600000000000013</v>
      </c>
      <c r="D180" s="306">
        <f t="shared" ca="1" si="66"/>
        <v>-4.5007931602415567</v>
      </c>
      <c r="E180" s="307">
        <f t="shared" ca="1" si="67"/>
        <v>-32.242402693490135</v>
      </c>
      <c r="F180" s="304">
        <f t="shared" ca="1" si="68"/>
        <v>32.555025272919956</v>
      </c>
      <c r="G180" s="306">
        <f t="shared" ca="1" si="69"/>
        <v>44.948435111374422</v>
      </c>
      <c r="H180" s="307">
        <f t="shared" ca="1" si="70"/>
        <v>223.92939048046617</v>
      </c>
      <c r="I180" s="304">
        <f t="shared" ca="1" si="71"/>
        <v>228.39600202261536</v>
      </c>
      <c r="J180" s="306">
        <f t="shared" ca="1" si="72"/>
        <v>43.472974260988636</v>
      </c>
      <c r="K180" s="307">
        <f t="shared" ca="1" si="73"/>
        <v>223.8707334915145</v>
      </c>
      <c r="L180" s="304">
        <f t="shared" ca="1" si="58"/>
        <v>228.05263604072917</v>
      </c>
      <c r="M180" s="306">
        <f t="shared" ca="1" si="74"/>
        <v>1.3727028550752316</v>
      </c>
      <c r="N180" s="304">
        <f t="shared" ca="1" si="75"/>
        <v>78.650080121369072</v>
      </c>
      <c r="P180" s="310">
        <f t="shared" ca="1" si="76"/>
        <v>23</v>
      </c>
      <c r="Q180" s="304">
        <f t="shared" ca="1" si="77"/>
        <v>0</v>
      </c>
      <c r="R180" s="306">
        <f t="shared" ca="1" si="78"/>
        <v>0</v>
      </c>
      <c r="S180" s="307">
        <f t="shared" ca="1" si="79"/>
        <v>7.150000000000003</v>
      </c>
      <c r="T180" s="304">
        <f t="shared" ca="1" si="59"/>
        <v>70.141500000000036</v>
      </c>
      <c r="U180" s="311">
        <f t="shared" ca="1" si="60"/>
        <v>0</v>
      </c>
      <c r="V180" s="306">
        <f t="shared" ca="1" si="61"/>
        <v>1.1978794104609309</v>
      </c>
      <c r="W180" s="304">
        <f t="shared" ca="1" si="62"/>
        <v>163.08706948494103</v>
      </c>
      <c r="Y180" s="314" t="str">
        <f t="shared" ca="1" si="80"/>
        <v/>
      </c>
      <c r="Z180" s="315" t="str">
        <f t="shared" ca="1" si="81"/>
        <v/>
      </c>
      <c r="AA180" s="316" t="str">
        <f t="shared" ca="1" si="82"/>
        <v/>
      </c>
      <c r="AC180" s="310" t="e">
        <f t="shared" ca="1" si="83"/>
        <v>#N/A</v>
      </c>
      <c r="AD180" s="323" t="e">
        <f t="shared" ca="1" si="84"/>
        <v>#N/A</v>
      </c>
      <c r="AE180" s="324">
        <f t="shared" ca="1" si="63"/>
        <v>223.8707334915145</v>
      </c>
      <c r="AG180" s="306">
        <f t="shared" ca="1" si="85"/>
        <v>-32.49777751854154</v>
      </c>
      <c r="AH180" s="304">
        <f t="shared" ca="1" si="86"/>
        <v>-22.879463054761157</v>
      </c>
    </row>
    <row r="181" spans="1:34" x14ac:dyDescent="0.2">
      <c r="A181" s="347">
        <f t="shared" ca="1" si="64"/>
        <v>0.01</v>
      </c>
      <c r="B181" s="304">
        <f t="shared" ca="1" si="65"/>
        <v>1.7700000000000014</v>
      </c>
      <c r="D181" s="306">
        <f t="shared" ca="1" si="66"/>
        <v>-4.488896230244567</v>
      </c>
      <c r="E181" s="307">
        <f t="shared" ca="1" si="67"/>
        <v>-32.173310185950363</v>
      </c>
      <c r="F181" s="304">
        <f t="shared" ca="1" si="68"/>
        <v>32.484951557410106</v>
      </c>
      <c r="G181" s="306">
        <f t="shared" ca="1" si="69"/>
        <v>44.903546149071978</v>
      </c>
      <c r="H181" s="307">
        <f t="shared" ca="1" si="70"/>
        <v>223.60765737860666</v>
      </c>
      <c r="I181" s="304">
        <f t="shared" ca="1" si="71"/>
        <v>228.07172752252785</v>
      </c>
      <c r="J181" s="306">
        <f t="shared" ca="1" si="72"/>
        <v>43.922234167290867</v>
      </c>
      <c r="K181" s="307">
        <f t="shared" ca="1" si="73"/>
        <v>226.10841873080986</v>
      </c>
      <c r="L181" s="304">
        <f t="shared" ca="1" si="58"/>
        <v>230.33492934245467</v>
      </c>
      <c r="M181" s="306">
        <f t="shared" ca="1" si="74"/>
        <v>1.3726182057238792</v>
      </c>
      <c r="N181" s="304">
        <f t="shared" ca="1" si="75"/>
        <v>78.64523007079805</v>
      </c>
      <c r="P181" s="310">
        <f t="shared" ca="1" si="76"/>
        <v>23</v>
      </c>
      <c r="Q181" s="304">
        <f t="shared" ca="1" si="77"/>
        <v>0</v>
      </c>
      <c r="R181" s="306">
        <f t="shared" ca="1" si="78"/>
        <v>0</v>
      </c>
      <c r="S181" s="307">
        <f t="shared" ca="1" si="79"/>
        <v>7.150000000000003</v>
      </c>
      <c r="T181" s="304">
        <f t="shared" ca="1" si="59"/>
        <v>70.141500000000036</v>
      </c>
      <c r="U181" s="311">
        <f t="shared" ca="1" si="60"/>
        <v>0</v>
      </c>
      <c r="V181" s="306">
        <f t="shared" ca="1" si="61"/>
        <v>1.197611358822863</v>
      </c>
      <c r="W181" s="304">
        <f t="shared" ca="1" si="62"/>
        <v>162.58790852248407</v>
      </c>
      <c r="Y181" s="314" t="str">
        <f t="shared" ca="1" si="80"/>
        <v/>
      </c>
      <c r="Z181" s="315" t="str">
        <f t="shared" ca="1" si="81"/>
        <v/>
      </c>
      <c r="AA181" s="316" t="str">
        <f t="shared" ca="1" si="82"/>
        <v/>
      </c>
      <c r="AC181" s="310" t="e">
        <f t="shared" ca="1" si="83"/>
        <v>#N/A</v>
      </c>
      <c r="AD181" s="323" t="e">
        <f t="shared" ca="1" si="84"/>
        <v>#N/A</v>
      </c>
      <c r="AE181" s="324">
        <f t="shared" ca="1" si="63"/>
        <v>226.10841873080986</v>
      </c>
      <c r="AG181" s="306">
        <f t="shared" ca="1" si="85"/>
        <v>-32.427531721296589</v>
      </c>
      <c r="AH181" s="304">
        <f t="shared" ca="1" si="86"/>
        <v>-22.809380347544188</v>
      </c>
    </row>
    <row r="182" spans="1:34" x14ac:dyDescent="0.2">
      <c r="A182" s="347">
        <f t="shared" ca="1" si="64"/>
        <v>0.01</v>
      </c>
      <c r="B182" s="304">
        <f t="shared" ca="1" si="65"/>
        <v>1.7800000000000014</v>
      </c>
      <c r="D182" s="306">
        <f t="shared" ca="1" si="66"/>
        <v>-4.4770442850340721</v>
      </c>
      <c r="E182" s="307">
        <f t="shared" ca="1" si="67"/>
        <v>-32.104483852862415</v>
      </c>
      <c r="F182" s="304">
        <f t="shared" ca="1" si="68"/>
        <v>32.415147832284518</v>
      </c>
      <c r="G182" s="306">
        <f t="shared" ca="1" si="69"/>
        <v>44.858775706221635</v>
      </c>
      <c r="H182" s="307">
        <f t="shared" ca="1" si="70"/>
        <v>223.28661254007804</v>
      </c>
      <c r="I182" s="304">
        <f t="shared" ca="1" si="71"/>
        <v>227.74815278610723</v>
      </c>
      <c r="J182" s="306">
        <f t="shared" ca="1" si="72"/>
        <v>44.371045776567335</v>
      </c>
      <c r="K182" s="307">
        <f t="shared" ca="1" si="73"/>
        <v>228.34289008040329</v>
      </c>
      <c r="L182" s="304">
        <f t="shared" ca="1" si="58"/>
        <v>232.61398314283983</v>
      </c>
      <c r="M182" s="306">
        <f t="shared" ca="1" si="74"/>
        <v>1.3725334003579786</v>
      </c>
      <c r="N182" s="304">
        <f t="shared" ca="1" si="75"/>
        <v>78.640371081251885</v>
      </c>
      <c r="P182" s="310">
        <f t="shared" ca="1" si="76"/>
        <v>23</v>
      </c>
      <c r="Q182" s="304">
        <f t="shared" ca="1" si="77"/>
        <v>0</v>
      </c>
      <c r="R182" s="306">
        <f t="shared" ca="1" si="78"/>
        <v>0</v>
      </c>
      <c r="S182" s="307">
        <f t="shared" ca="1" si="79"/>
        <v>7.150000000000003</v>
      </c>
      <c r="T182" s="304">
        <f t="shared" ca="1" si="59"/>
        <v>70.141500000000036</v>
      </c>
      <c r="U182" s="311">
        <f t="shared" ca="1" si="60"/>
        <v>0</v>
      </c>
      <c r="V182" s="306">
        <f t="shared" ca="1" si="61"/>
        <v>1.1973437513523995</v>
      </c>
      <c r="W182" s="304">
        <f t="shared" ca="1" si="62"/>
        <v>162.09066806438193</v>
      </c>
      <c r="Y182" s="314" t="str">
        <f t="shared" ca="1" si="80"/>
        <v/>
      </c>
      <c r="Z182" s="315" t="str">
        <f t="shared" ca="1" si="81"/>
        <v/>
      </c>
      <c r="AA182" s="316" t="str">
        <f t="shared" ca="1" si="82"/>
        <v/>
      </c>
      <c r="AC182" s="310" t="e">
        <f t="shared" ca="1" si="83"/>
        <v>#N/A</v>
      </c>
      <c r="AD182" s="323" t="e">
        <f t="shared" ca="1" si="84"/>
        <v>#N/A</v>
      </c>
      <c r="AE182" s="324">
        <f t="shared" ca="1" si="63"/>
        <v>228.34289008040329</v>
      </c>
      <c r="AG182" s="306">
        <f t="shared" ca="1" si="85"/>
        <v>-32.35755553972988</v>
      </c>
      <c r="AH182" s="304">
        <f t="shared" ca="1" si="86"/>
        <v>-22.739567625522238</v>
      </c>
    </row>
    <row r="183" spans="1:34" x14ac:dyDescent="0.2">
      <c r="A183" s="347">
        <f t="shared" ca="1" si="64"/>
        <v>0.01</v>
      </c>
      <c r="B183" s="304">
        <f t="shared" ca="1" si="65"/>
        <v>1.7900000000000014</v>
      </c>
      <c r="D183" s="306">
        <f t="shared" ca="1" si="66"/>
        <v>-4.4652370930245713</v>
      </c>
      <c r="E183" s="307">
        <f t="shared" ca="1" si="67"/>
        <v>-32.035922330543691</v>
      </c>
      <c r="F183" s="304">
        <f t="shared" ca="1" si="68"/>
        <v>32.345612714331914</v>
      </c>
      <c r="G183" s="306">
        <f t="shared" ca="1" si="69"/>
        <v>44.814123335291391</v>
      </c>
      <c r="H183" s="307">
        <f t="shared" ca="1" si="70"/>
        <v>222.96625331677259</v>
      </c>
      <c r="I183" s="304">
        <f t="shared" ca="1" si="71"/>
        <v>227.42527513104147</v>
      </c>
      <c r="J183" s="306">
        <f t="shared" ca="1" si="72"/>
        <v>44.819410271774899</v>
      </c>
      <c r="K183" s="307">
        <f t="shared" ca="1" si="73"/>
        <v>230.57415440968754</v>
      </c>
      <c r="L183" s="304">
        <f t="shared" ca="1" si="58"/>
        <v>234.88980441656489</v>
      </c>
      <c r="M183" s="306">
        <f t="shared" ca="1" si="74"/>
        <v>1.3724484387286275</v>
      </c>
      <c r="N183" s="304">
        <f t="shared" ca="1" si="75"/>
        <v>78.635503138469517</v>
      </c>
      <c r="P183" s="310">
        <f t="shared" ca="1" si="76"/>
        <v>23</v>
      </c>
      <c r="Q183" s="304">
        <f t="shared" ca="1" si="77"/>
        <v>0</v>
      </c>
      <c r="R183" s="306">
        <f t="shared" ca="1" si="78"/>
        <v>0</v>
      </c>
      <c r="S183" s="307">
        <f t="shared" ca="1" si="79"/>
        <v>7.150000000000003</v>
      </c>
      <c r="T183" s="304">
        <f t="shared" ca="1" si="59"/>
        <v>70.141500000000036</v>
      </c>
      <c r="U183" s="311">
        <f t="shared" ca="1" si="60"/>
        <v>0</v>
      </c>
      <c r="V183" s="306">
        <f t="shared" ca="1" si="61"/>
        <v>1.1970765869523974</v>
      </c>
      <c r="W183" s="304">
        <f t="shared" ca="1" si="62"/>
        <v>161.59533828475736</v>
      </c>
      <c r="Y183" s="314" t="str">
        <f t="shared" ca="1" si="80"/>
        <v/>
      </c>
      <c r="Z183" s="315" t="str">
        <f t="shared" ca="1" si="81"/>
        <v/>
      </c>
      <c r="AA183" s="316" t="str">
        <f t="shared" ca="1" si="82"/>
        <v/>
      </c>
      <c r="AC183" s="310" t="e">
        <f t="shared" ca="1" si="83"/>
        <v>#N/A</v>
      </c>
      <c r="AD183" s="323" t="e">
        <f t="shared" ca="1" si="84"/>
        <v>#N/A</v>
      </c>
      <c r="AE183" s="324">
        <f t="shared" ca="1" si="63"/>
        <v>230.57415440968754</v>
      </c>
      <c r="AG183" s="306">
        <f t="shared" ca="1" si="85"/>
        <v>-32.287847589795248</v>
      </c>
      <c r="AH183" s="304">
        <f t="shared" ca="1" si="86"/>
        <v>-22.670023505507952</v>
      </c>
    </row>
    <row r="184" spans="1:34" x14ac:dyDescent="0.2">
      <c r="A184" s="347">
        <f t="shared" ca="1" si="64"/>
        <v>0.01</v>
      </c>
      <c r="B184" s="304">
        <f t="shared" ca="1" si="65"/>
        <v>1.8000000000000014</v>
      </c>
      <c r="D184" s="306">
        <f t="shared" ca="1" si="66"/>
        <v>-4.4534744241262931</v>
      </c>
      <c r="E184" s="307">
        <f t="shared" ca="1" si="67"/>
        <v>-31.967624264124289</v>
      </c>
      <c r="F184" s="304">
        <f t="shared" ca="1" si="68"/>
        <v>32.276344829279772</v>
      </c>
      <c r="G184" s="306">
        <f t="shared" ca="1" si="69"/>
        <v>44.76958859105013</v>
      </c>
      <c r="H184" s="307">
        <f t="shared" ca="1" si="70"/>
        <v>222.64657707413136</v>
      </c>
      <c r="I184" s="304">
        <f t="shared" ca="1" si="71"/>
        <v>227.10309188876977</v>
      </c>
      <c r="J184" s="306">
        <f t="shared" ca="1" si="72"/>
        <v>45.267328831406608</v>
      </c>
      <c r="K184" s="307">
        <f t="shared" ca="1" si="73"/>
        <v>232.80221856164206</v>
      </c>
      <c r="L184" s="304">
        <f t="shared" ca="1" si="58"/>
        <v>237.16240011172354</v>
      </c>
      <c r="M184" s="306">
        <f t="shared" ca="1" si="74"/>
        <v>1.3723633205862</v>
      </c>
      <c r="N184" s="304">
        <f t="shared" ca="1" si="75"/>
        <v>78.630626228148429</v>
      </c>
      <c r="P184" s="310">
        <f t="shared" ca="1" si="76"/>
        <v>23</v>
      </c>
      <c r="Q184" s="304">
        <f t="shared" ca="1" si="77"/>
        <v>0</v>
      </c>
      <c r="R184" s="306">
        <f t="shared" ca="1" si="78"/>
        <v>0</v>
      </c>
      <c r="S184" s="307">
        <f t="shared" ca="1" si="79"/>
        <v>7.150000000000003</v>
      </c>
      <c r="T184" s="304">
        <f t="shared" ca="1" si="59"/>
        <v>70.141500000000036</v>
      </c>
      <c r="U184" s="311">
        <f t="shared" ca="1" si="60"/>
        <v>0</v>
      </c>
      <c r="V184" s="306">
        <f t="shared" ca="1" si="61"/>
        <v>1.1968098645301457</v>
      </c>
      <c r="W184" s="304">
        <f t="shared" ca="1" si="62"/>
        <v>161.10190942114841</v>
      </c>
      <c r="Y184" s="314" t="str">
        <f t="shared" ca="1" si="80"/>
        <v/>
      </c>
      <c r="Z184" s="315" t="str">
        <f t="shared" ca="1" si="81"/>
        <v/>
      </c>
      <c r="AA184" s="316" t="str">
        <f t="shared" ca="1" si="82"/>
        <v/>
      </c>
      <c r="AC184" s="310" t="e">
        <f t="shared" ca="1" si="83"/>
        <v>#N/A</v>
      </c>
      <c r="AD184" s="323" t="e">
        <f t="shared" ca="1" si="84"/>
        <v>#N/A</v>
      </c>
      <c r="AE184" s="324">
        <f t="shared" ca="1" si="63"/>
        <v>232.80221856164206</v>
      </c>
      <c r="AG184" s="306">
        <f t="shared" ca="1" si="85"/>
        <v>-32.218406496382414</v>
      </c>
      <c r="AH184" s="304">
        <f t="shared" ca="1" si="86"/>
        <v>-22.600746613252767</v>
      </c>
    </row>
    <row r="185" spans="1:34" x14ac:dyDescent="0.2">
      <c r="A185" s="347">
        <f t="shared" ca="1" si="64"/>
        <v>0.01</v>
      </c>
      <c r="B185" s="304">
        <f t="shared" ca="1" si="65"/>
        <v>1.8100000000000014</v>
      </c>
      <c r="D185" s="306">
        <f t="shared" ca="1" si="66"/>
        <v>-4.4417560497335211</v>
      </c>
      <c r="E185" s="307">
        <f t="shared" ca="1" si="67"/>
        <v>-31.899588307478496</v>
      </c>
      <c r="F185" s="304">
        <f t="shared" ca="1" si="68"/>
        <v>32.207342811724828</v>
      </c>
      <c r="G185" s="306">
        <f t="shared" ca="1" si="69"/>
        <v>44.725171030552794</v>
      </c>
      <c r="H185" s="307">
        <f t="shared" ca="1" si="70"/>
        <v>222.32758119105657</v>
      </c>
      <c r="I185" s="304">
        <f t="shared" ca="1" si="71"/>
        <v>226.78160040439357</v>
      </c>
      <c r="J185" s="306">
        <f t="shared" ca="1" si="72"/>
        <v>45.714802629514622</v>
      </c>
      <c r="K185" s="307">
        <f t="shared" ca="1" si="73"/>
        <v>235.02708935296801</v>
      </c>
      <c r="L185" s="304">
        <f t="shared" ca="1" si="58"/>
        <v>239.43177714995034</v>
      </c>
      <c r="M185" s="306">
        <f t="shared" ca="1" si="74"/>
        <v>1.372278045680343</v>
      </c>
      <c r="N185" s="304">
        <f t="shared" ca="1" si="75"/>
        <v>78.625740335944442</v>
      </c>
      <c r="P185" s="310">
        <f t="shared" ca="1" si="76"/>
        <v>23</v>
      </c>
      <c r="Q185" s="304">
        <f t="shared" ca="1" si="77"/>
        <v>0</v>
      </c>
      <c r="R185" s="306">
        <f t="shared" ca="1" si="78"/>
        <v>0</v>
      </c>
      <c r="S185" s="307">
        <f t="shared" ca="1" si="79"/>
        <v>7.150000000000003</v>
      </c>
      <c r="T185" s="304">
        <f t="shared" ca="1" si="59"/>
        <v>70.141500000000036</v>
      </c>
      <c r="U185" s="311">
        <f t="shared" ca="1" si="60"/>
        <v>0</v>
      </c>
      <c r="V185" s="306">
        <f t="shared" ca="1" si="61"/>
        <v>1.1965435829973392</v>
      </c>
      <c r="W185" s="304">
        <f t="shared" ca="1" si="62"/>
        <v>160.61037177401525</v>
      </c>
      <c r="Y185" s="314" t="str">
        <f t="shared" ca="1" si="80"/>
        <v/>
      </c>
      <c r="Z185" s="315" t="str">
        <f t="shared" ca="1" si="81"/>
        <v/>
      </c>
      <c r="AA185" s="316" t="str">
        <f t="shared" ca="1" si="82"/>
        <v/>
      </c>
      <c r="AC185" s="310" t="e">
        <f t="shared" ca="1" si="83"/>
        <v>#N/A</v>
      </c>
      <c r="AD185" s="323" t="e">
        <f t="shared" ca="1" si="84"/>
        <v>#N/A</v>
      </c>
      <c r="AE185" s="324">
        <f t="shared" ca="1" si="63"/>
        <v>235.02708935296801</v>
      </c>
      <c r="AG185" s="306">
        <f t="shared" ca="1" si="85"/>
        <v>-32.149230893247434</v>
      </c>
      <c r="AH185" s="304">
        <f t="shared" ca="1" si="86"/>
        <v>-22.53173558337739</v>
      </c>
    </row>
    <row r="186" spans="1:34" x14ac:dyDescent="0.2">
      <c r="A186" s="347">
        <f t="shared" ca="1" si="64"/>
        <v>0.01</v>
      </c>
      <c r="B186" s="304">
        <f t="shared" ca="1" si="65"/>
        <v>1.8200000000000014</v>
      </c>
      <c r="D186" s="306">
        <f t="shared" ca="1" si="66"/>
        <v>-4.4300817427130701</v>
      </c>
      <c r="E186" s="307">
        <f t="shared" ca="1" si="67"/>
        <v>-31.831813123156749</v>
      </c>
      <c r="F186" s="304">
        <f t="shared" ca="1" si="68"/>
        <v>32.13860530506409</v>
      </c>
      <c r="G186" s="306">
        <f t="shared" ca="1" si="69"/>
        <v>44.680870213125665</v>
      </c>
      <c r="H186" s="307">
        <f t="shared" ca="1" si="70"/>
        <v>222.009263059825</v>
      </c>
      <c r="I186" s="304">
        <f t="shared" ca="1" si="71"/>
        <v>226.46079803658901</v>
      </c>
      <c r="J186" s="306">
        <f t="shared" ca="1" si="72"/>
        <v>46.161832835733016</v>
      </c>
      <c r="K186" s="307">
        <f t="shared" ca="1" si="73"/>
        <v>237.24877357422241</v>
      </c>
      <c r="L186" s="304">
        <f t="shared" ca="1" si="58"/>
        <v>241.6979424265478</v>
      </c>
      <c r="M186" s="306">
        <f t="shared" ca="1" si="74"/>
        <v>1.3721926137599745</v>
      </c>
      <c r="N186" s="304">
        <f t="shared" ca="1" si="75"/>
        <v>78.620845447471623</v>
      </c>
      <c r="P186" s="310">
        <f t="shared" ca="1" si="76"/>
        <v>23</v>
      </c>
      <c r="Q186" s="304">
        <f t="shared" ca="1" si="77"/>
        <v>0</v>
      </c>
      <c r="R186" s="306">
        <f t="shared" ca="1" si="78"/>
        <v>0</v>
      </c>
      <c r="S186" s="307">
        <f t="shared" ca="1" si="79"/>
        <v>7.150000000000003</v>
      </c>
      <c r="T186" s="304">
        <f t="shared" ca="1" si="59"/>
        <v>70.141500000000036</v>
      </c>
      <c r="U186" s="311">
        <f t="shared" ca="1" si="60"/>
        <v>0</v>
      </c>
      <c r="V186" s="306">
        <f t="shared" ca="1" si="61"/>
        <v>1.196277741270056</v>
      </c>
      <c r="W186" s="304">
        <f t="shared" ca="1" si="62"/>
        <v>160.12071570625298</v>
      </c>
      <c r="Y186" s="314" t="str">
        <f t="shared" ca="1" si="80"/>
        <v/>
      </c>
      <c r="Z186" s="315" t="str">
        <f t="shared" ca="1" si="81"/>
        <v/>
      </c>
      <c r="AA186" s="316" t="str">
        <f t="shared" ca="1" si="82"/>
        <v/>
      </c>
      <c r="AC186" s="310" t="e">
        <f t="shared" ca="1" si="83"/>
        <v>#N/A</v>
      </c>
      <c r="AD186" s="323" t="e">
        <f t="shared" ca="1" si="84"/>
        <v>#N/A</v>
      </c>
      <c r="AE186" s="324">
        <f t="shared" ca="1" si="63"/>
        <v>237.24877357422241</v>
      </c>
      <c r="AG186" s="306">
        <f t="shared" ca="1" si="85"/>
        <v>-32.080319422943781</v>
      </c>
      <c r="AH186" s="304">
        <f t="shared" ca="1" si="86"/>
        <v>-22.462989059302824</v>
      </c>
    </row>
    <row r="187" spans="1:34" x14ac:dyDescent="0.2">
      <c r="A187" s="347">
        <f t="shared" ca="1" si="64"/>
        <v>0.01</v>
      </c>
      <c r="B187" s="304">
        <f t="shared" ca="1" si="65"/>
        <v>1.8300000000000014</v>
      </c>
      <c r="D187" s="306">
        <f t="shared" ca="1" si="66"/>
        <v>-4.4184512773928839</v>
      </c>
      <c r="E187" s="307">
        <f t="shared" ca="1" si="67"/>
        <v>-31.764297382318489</v>
      </c>
      <c r="F187" s="304">
        <f t="shared" ca="1" si="68"/>
        <v>32.070130961426706</v>
      </c>
      <c r="G187" s="306">
        <f t="shared" ca="1" si="69"/>
        <v>44.636685700351734</v>
      </c>
      <c r="H187" s="307">
        <f t="shared" ca="1" si="70"/>
        <v>221.69162008600182</v>
      </c>
      <c r="I187" s="304">
        <f t="shared" ca="1" si="71"/>
        <v>226.14068215751925</v>
      </c>
      <c r="J187" s="306">
        <f t="shared" ca="1" si="72"/>
        <v>46.608420615300403</v>
      </c>
      <c r="K187" s="307">
        <f t="shared" ca="1" si="73"/>
        <v>239.46727798995155</v>
      </c>
      <c r="L187" s="304">
        <f t="shared" ca="1" si="58"/>
        <v>243.96090281061328</v>
      </c>
      <c r="M187" s="306">
        <f t="shared" ca="1" si="74"/>
        <v>1.3721070245732818</v>
      </c>
      <c r="N187" s="304">
        <f t="shared" ca="1" si="75"/>
        <v>78.615941548302189</v>
      </c>
      <c r="P187" s="310">
        <f t="shared" ca="1" si="76"/>
        <v>23</v>
      </c>
      <c r="Q187" s="304">
        <f t="shared" ca="1" si="77"/>
        <v>0</v>
      </c>
      <c r="R187" s="306">
        <f t="shared" ca="1" si="78"/>
        <v>0</v>
      </c>
      <c r="S187" s="307">
        <f t="shared" ca="1" si="79"/>
        <v>7.150000000000003</v>
      </c>
      <c r="T187" s="304">
        <f t="shared" ca="1" si="59"/>
        <v>70.141500000000036</v>
      </c>
      <c r="U187" s="311">
        <f t="shared" ca="1" si="60"/>
        <v>0</v>
      </c>
      <c r="V187" s="306">
        <f t="shared" ca="1" si="61"/>
        <v>1.1960123382687349</v>
      </c>
      <c r="W187" s="304">
        <f t="shared" ca="1" si="62"/>
        <v>159.63293164270709</v>
      </c>
      <c r="Y187" s="314" t="str">
        <f t="shared" ca="1" si="80"/>
        <v/>
      </c>
      <c r="Z187" s="315" t="str">
        <f t="shared" ca="1" si="81"/>
        <v/>
      </c>
      <c r="AA187" s="316" t="str">
        <f t="shared" ca="1" si="82"/>
        <v/>
      </c>
      <c r="AC187" s="310" t="e">
        <f t="shared" ca="1" si="83"/>
        <v>#N/A</v>
      </c>
      <c r="AD187" s="323" t="e">
        <f t="shared" ca="1" si="84"/>
        <v>#N/A</v>
      </c>
      <c r="AE187" s="324">
        <f t="shared" ca="1" si="63"/>
        <v>239.46727798995155</v>
      </c>
      <c r="AG187" s="306">
        <f t="shared" ca="1" si="85"/>
        <v>-32.011670736754141</v>
      </c>
      <c r="AH187" s="304">
        <f t="shared" ca="1" si="86"/>
        <v>-22.394505693182225</v>
      </c>
    </row>
    <row r="188" spans="1:34" x14ac:dyDescent="0.2">
      <c r="A188" s="347">
        <f t="shared" ca="1" si="64"/>
        <v>0.01</v>
      </c>
      <c r="B188" s="304">
        <f t="shared" ca="1" si="65"/>
        <v>1.8400000000000014</v>
      </c>
      <c r="D188" s="306">
        <f t="shared" ca="1" si="66"/>
        <v>-4.4068644295506925</v>
      </c>
      <c r="E188" s="307">
        <f t="shared" ca="1" si="67"/>
        <v>-31.697039764665334</v>
      </c>
      <c r="F188" s="304">
        <f t="shared" ca="1" si="68"/>
        <v>32.001918441606193</v>
      </c>
      <c r="G188" s="306">
        <f t="shared" ca="1" si="69"/>
        <v>44.592617056056227</v>
      </c>
      <c r="H188" s="307">
        <f t="shared" ca="1" si="70"/>
        <v>221.37464968835516</v>
      </c>
      <c r="I188" s="304">
        <f t="shared" ca="1" si="71"/>
        <v>225.82125015274812</v>
      </c>
      <c r="J188" s="306">
        <f t="shared" ca="1" si="72"/>
        <v>47.054567129082443</v>
      </c>
      <c r="K188" s="307">
        <f t="shared" ca="1" si="73"/>
        <v>241.68260933882334</v>
      </c>
      <c r="L188" s="304">
        <f t="shared" ca="1" si="58"/>
        <v>246.2206651451653</v>
      </c>
      <c r="M188" s="306">
        <f t="shared" ca="1" si="74"/>
        <v>1.3720212778677199</v>
      </c>
      <c r="N188" s="304">
        <f t="shared" ca="1" si="75"/>
        <v>78.611028623966334</v>
      </c>
      <c r="P188" s="310">
        <f t="shared" ca="1" si="76"/>
        <v>23</v>
      </c>
      <c r="Q188" s="304">
        <f t="shared" ca="1" si="77"/>
        <v>0</v>
      </c>
      <c r="R188" s="306">
        <f t="shared" ca="1" si="78"/>
        <v>0</v>
      </c>
      <c r="S188" s="307">
        <f t="shared" ca="1" si="79"/>
        <v>7.150000000000003</v>
      </c>
      <c r="T188" s="304">
        <f t="shared" ca="1" si="59"/>
        <v>70.141500000000036</v>
      </c>
      <c r="U188" s="311">
        <f t="shared" ca="1" si="60"/>
        <v>0</v>
      </c>
      <c r="V188" s="306">
        <f t="shared" ca="1" si="61"/>
        <v>1.195747372918152</v>
      </c>
      <c r="W188" s="304">
        <f t="shared" ca="1" si="62"/>
        <v>159.14701006969494</v>
      </c>
      <c r="Y188" s="314" t="str">
        <f t="shared" ca="1" si="80"/>
        <v/>
      </c>
      <c r="Z188" s="315" t="str">
        <f t="shared" ca="1" si="81"/>
        <v/>
      </c>
      <c r="AA188" s="316" t="str">
        <f t="shared" ca="1" si="82"/>
        <v/>
      </c>
      <c r="AC188" s="310" t="e">
        <f t="shared" ca="1" si="83"/>
        <v>#N/A</v>
      </c>
      <c r="AD188" s="323" t="e">
        <f t="shared" ca="1" si="84"/>
        <v>#N/A</v>
      </c>
      <c r="AE188" s="324">
        <f t="shared" ca="1" si="63"/>
        <v>241.68260933882334</v>
      </c>
      <c r="AG188" s="306">
        <f t="shared" ca="1" si="85"/>
        <v>-31.943283494622658</v>
      </c>
      <c r="AH188" s="304">
        <f t="shared" ca="1" si="86"/>
        <v>-22.326284145833149</v>
      </c>
    </row>
    <row r="189" spans="1:34" x14ac:dyDescent="0.2">
      <c r="A189" s="347">
        <f t="shared" ca="1" si="64"/>
        <v>0.01</v>
      </c>
      <c r="B189" s="304">
        <f t="shared" ca="1" si="65"/>
        <v>1.8500000000000014</v>
      </c>
      <c r="D189" s="306">
        <f t="shared" ca="1" si="66"/>
        <v>-4.3953209764028003</v>
      </c>
      <c r="E189" s="307">
        <f t="shared" ca="1" si="67"/>
        <v>-31.63003895837511</v>
      </c>
      <c r="F189" s="304">
        <f t="shared" ca="1" si="68"/>
        <v>31.933966414993513</v>
      </c>
      <c r="G189" s="306">
        <f t="shared" ca="1" si="69"/>
        <v>44.5486638462922</v>
      </c>
      <c r="H189" s="307">
        <f t="shared" ca="1" si="70"/>
        <v>221.05834929877142</v>
      </c>
      <c r="I189" s="304">
        <f t="shared" ca="1" si="71"/>
        <v>225.50249942115403</v>
      </c>
      <c r="J189" s="306">
        <f t="shared" ca="1" si="72"/>
        <v>47.500273533594182</v>
      </c>
      <c r="K189" s="307">
        <f t="shared" ca="1" si="73"/>
        <v>243.89477433375896</v>
      </c>
      <c r="L189" s="304">
        <f t="shared" ca="1" si="58"/>
        <v>248.4772362472697</v>
      </c>
      <c r="M189" s="306">
        <f t="shared" ca="1" si="74"/>
        <v>1.3719353733900079</v>
      </c>
      <c r="N189" s="304">
        <f t="shared" ca="1" si="75"/>
        <v>78.606106659952161</v>
      </c>
      <c r="P189" s="310">
        <f t="shared" ca="1" si="76"/>
        <v>23</v>
      </c>
      <c r="Q189" s="304">
        <f t="shared" ca="1" si="77"/>
        <v>0</v>
      </c>
      <c r="R189" s="306">
        <f t="shared" ca="1" si="78"/>
        <v>0</v>
      </c>
      <c r="S189" s="307">
        <f t="shared" ca="1" si="79"/>
        <v>7.150000000000003</v>
      </c>
      <c r="T189" s="304">
        <f t="shared" ca="1" si="59"/>
        <v>70.141500000000036</v>
      </c>
      <c r="U189" s="311">
        <f t="shared" ca="1" si="60"/>
        <v>0</v>
      </c>
      <c r="V189" s="306">
        <f t="shared" ca="1" si="61"/>
        <v>1.1954828441473968</v>
      </c>
      <c r="W189" s="304">
        <f t="shared" ca="1" si="62"/>
        <v>158.66294153453018</v>
      </c>
      <c r="Y189" s="314" t="str">
        <f t="shared" ca="1" si="80"/>
        <v/>
      </c>
      <c r="Z189" s="315" t="str">
        <f t="shared" ca="1" si="81"/>
        <v/>
      </c>
      <c r="AA189" s="316" t="str">
        <f t="shared" ca="1" si="82"/>
        <v/>
      </c>
      <c r="AC189" s="310" t="e">
        <f t="shared" ca="1" si="83"/>
        <v>#N/A</v>
      </c>
      <c r="AD189" s="323" t="e">
        <f t="shared" ca="1" si="84"/>
        <v>#N/A</v>
      </c>
      <c r="AE189" s="324">
        <f t="shared" ca="1" si="63"/>
        <v>243.89477433375896</v>
      </c>
      <c r="AG189" s="306">
        <f t="shared" ca="1" si="85"/>
        <v>-31.875156365087992</v>
      </c>
      <c r="AH189" s="304">
        <f t="shared" ca="1" si="86"/>
        <v>-22.258323086670611</v>
      </c>
    </row>
    <row r="190" spans="1:34" x14ac:dyDescent="0.2">
      <c r="A190" s="347">
        <f t="shared" ca="1" si="64"/>
        <v>0.01</v>
      </c>
      <c r="B190" s="304">
        <f t="shared" ca="1" si="65"/>
        <v>1.8600000000000014</v>
      </c>
      <c r="D190" s="306">
        <f t="shared" ca="1" si="66"/>
        <v>-4.3838206965929789</v>
      </c>
      <c r="E190" s="307">
        <f t="shared" ca="1" si="67"/>
        <v>-31.563293660036251</v>
      </c>
      <c r="F190" s="304">
        <f t="shared" ca="1" si="68"/>
        <v>31.866273559510557</v>
      </c>
      <c r="G190" s="306">
        <f t="shared" ca="1" si="69"/>
        <v>44.50482563932627</v>
      </c>
      <c r="H190" s="307">
        <f t="shared" ca="1" si="70"/>
        <v>220.74271636217105</v>
      </c>
      <c r="I190" s="304">
        <f t="shared" ca="1" si="71"/>
        <v>225.18442737484474</v>
      </c>
      <c r="J190" s="306">
        <f t="shared" ca="1" si="72"/>
        <v>47.945540981022276</v>
      </c>
      <c r="K190" s="307">
        <f t="shared" ca="1" si="73"/>
        <v>246.10377966206366</v>
      </c>
      <c r="L190" s="304">
        <f t="shared" ca="1" si="58"/>
        <v>250.73062290816506</v>
      </c>
      <c r="M190" s="306">
        <f t="shared" ca="1" si="74"/>
        <v>1.3718493108861285</v>
      </c>
      <c r="N190" s="304">
        <f t="shared" ca="1" si="75"/>
        <v>78.601175641705538</v>
      </c>
      <c r="P190" s="310">
        <f t="shared" ca="1" si="76"/>
        <v>23</v>
      </c>
      <c r="Q190" s="304">
        <f t="shared" ca="1" si="77"/>
        <v>0</v>
      </c>
      <c r="R190" s="306">
        <f t="shared" ca="1" si="78"/>
        <v>0</v>
      </c>
      <c r="S190" s="307">
        <f t="shared" ca="1" si="79"/>
        <v>7.150000000000003</v>
      </c>
      <c r="T190" s="304">
        <f t="shared" ca="1" si="59"/>
        <v>70.141500000000036</v>
      </c>
      <c r="U190" s="311">
        <f t="shared" ca="1" si="60"/>
        <v>0</v>
      </c>
      <c r="V190" s="306">
        <f t="shared" ca="1" si="61"/>
        <v>1.1952187508898509</v>
      </c>
      <c r="W190" s="304">
        <f t="shared" ca="1" si="62"/>
        <v>158.18071664505246</v>
      </c>
      <c r="Y190" s="314" t="str">
        <f t="shared" ca="1" si="80"/>
        <v/>
      </c>
      <c r="Z190" s="315" t="str">
        <f t="shared" ca="1" si="81"/>
        <v/>
      </c>
      <c r="AA190" s="316" t="str">
        <f t="shared" ca="1" si="82"/>
        <v/>
      </c>
      <c r="AC190" s="310" t="e">
        <f t="shared" ca="1" si="83"/>
        <v>#N/A</v>
      </c>
      <c r="AD190" s="323" t="e">
        <f t="shared" ca="1" si="84"/>
        <v>#N/A</v>
      </c>
      <c r="AE190" s="324">
        <f t="shared" ca="1" si="63"/>
        <v>246.10377966206366</v>
      </c>
      <c r="AG190" s="306">
        <f t="shared" ca="1" si="85"/>
        <v>-31.807288025216792</v>
      </c>
      <c r="AH190" s="304">
        <f t="shared" ca="1" si="86"/>
        <v>-22.190621193640574</v>
      </c>
    </row>
    <row r="191" spans="1:34" x14ac:dyDescent="0.2">
      <c r="A191" s="347">
        <f t="shared" ca="1" si="64"/>
        <v>0.01</v>
      </c>
      <c r="B191" s="304">
        <f t="shared" ca="1" si="65"/>
        <v>1.8700000000000014</v>
      </c>
      <c r="D191" s="306">
        <f t="shared" ca="1" si="66"/>
        <v>-4.3723633701814384</v>
      </c>
      <c r="E191" s="307">
        <f t="shared" ca="1" si="67"/>
        <v>-31.496802574582972</v>
      </c>
      <c r="F191" s="304">
        <f t="shared" ca="1" si="68"/>
        <v>31.798838561544365</v>
      </c>
      <c r="G191" s="306">
        <f t="shared" ca="1" si="69"/>
        <v>44.461102005624454</v>
      </c>
      <c r="H191" s="307">
        <f t="shared" ca="1" si="70"/>
        <v>220.42774833642522</v>
      </c>
      <c r="I191" s="304">
        <f t="shared" ca="1" si="71"/>
        <v>224.8670314390728</v>
      </c>
      <c r="J191" s="306">
        <f t="shared" ca="1" si="72"/>
        <v>48.39037061924703</v>
      </c>
      <c r="K191" s="307">
        <f t="shared" ca="1" si="73"/>
        <v>248.30963198555665</v>
      </c>
      <c r="L191" s="304">
        <f t="shared" ca="1" si="58"/>
        <v>252.98083189338803</v>
      </c>
      <c r="M191" s="306">
        <f t="shared" ca="1" si="74"/>
        <v>1.3717630901013251</v>
      </c>
      <c r="N191" s="304">
        <f t="shared" ca="1" si="75"/>
        <v>78.596235554629999</v>
      </c>
      <c r="P191" s="310">
        <f t="shared" ca="1" si="76"/>
        <v>23</v>
      </c>
      <c r="Q191" s="304">
        <f t="shared" ca="1" si="77"/>
        <v>0</v>
      </c>
      <c r="R191" s="306">
        <f t="shared" ca="1" si="78"/>
        <v>0</v>
      </c>
      <c r="S191" s="307">
        <f t="shared" ca="1" si="79"/>
        <v>7.150000000000003</v>
      </c>
      <c r="T191" s="304">
        <f t="shared" ca="1" si="59"/>
        <v>70.141500000000036</v>
      </c>
      <c r="U191" s="311">
        <f t="shared" ca="1" si="60"/>
        <v>0</v>
      </c>
      <c r="V191" s="306">
        <f t="shared" ca="1" si="61"/>
        <v>1.1949550920831629</v>
      </c>
      <c r="W191" s="304">
        <f t="shared" ca="1" si="62"/>
        <v>157.70032606916101</v>
      </c>
      <c r="Y191" s="314" t="str">
        <f t="shared" ca="1" si="80"/>
        <v/>
      </c>
      <c r="Z191" s="315" t="str">
        <f t="shared" ca="1" si="81"/>
        <v/>
      </c>
      <c r="AA191" s="316" t="str">
        <f t="shared" ca="1" si="82"/>
        <v/>
      </c>
      <c r="AC191" s="310" t="e">
        <f t="shared" ca="1" si="83"/>
        <v>#N/A</v>
      </c>
      <c r="AD191" s="323" t="e">
        <f t="shared" ca="1" si="84"/>
        <v>#N/A</v>
      </c>
      <c r="AE191" s="324">
        <f t="shared" ca="1" si="63"/>
        <v>248.30963198555665</v>
      </c>
      <c r="AG191" s="306">
        <f t="shared" ca="1" si="85"/>
        <v>-31.739677160537923</v>
      </c>
      <c r="AH191" s="304">
        <f t="shared" ca="1" si="86"/>
        <v>-22.123177153154181</v>
      </c>
    </row>
    <row r="192" spans="1:34" x14ac:dyDescent="0.2">
      <c r="A192" s="347">
        <f t="shared" ca="1" si="64"/>
        <v>0.01</v>
      </c>
      <c r="B192" s="304">
        <f t="shared" ca="1" si="65"/>
        <v>1.8800000000000014</v>
      </c>
      <c r="D192" s="306">
        <f t="shared" ca="1" si="66"/>
        <v>-4.3609487786339152</v>
      </c>
      <c r="E192" s="307">
        <f t="shared" ca="1" si="67"/>
        <v>-31.430564415230961</v>
      </c>
      <c r="F192" s="304">
        <f t="shared" ca="1" si="68"/>
        <v>31.731660115881922</v>
      </c>
      <c r="G192" s="306">
        <f t="shared" ca="1" si="69"/>
        <v>44.417492517838113</v>
      </c>
      <c r="H192" s="307">
        <f t="shared" ca="1" si="70"/>
        <v>220.11344269227291</v>
      </c>
      <c r="I192" s="304">
        <f t="shared" ca="1" si="71"/>
        <v>224.55030905215142</v>
      </c>
      <c r="J192" s="306">
        <f t="shared" ca="1" si="72"/>
        <v>48.834763591864345</v>
      </c>
      <c r="K192" s="307">
        <f t="shared" ca="1" si="73"/>
        <v>250.51233794070015</v>
      </c>
      <c r="L192" s="304">
        <f t="shared" ca="1" si="58"/>
        <v>255.22786994289797</v>
      </c>
      <c r="M192" s="306">
        <f t="shared" ca="1" si="74"/>
        <v>1.3716767107800996</v>
      </c>
      <c r="N192" s="304">
        <f t="shared" ca="1" si="75"/>
        <v>78.591286384086573</v>
      </c>
      <c r="P192" s="310">
        <f t="shared" ca="1" si="76"/>
        <v>23</v>
      </c>
      <c r="Q192" s="304">
        <f t="shared" ca="1" si="77"/>
        <v>0</v>
      </c>
      <c r="R192" s="306">
        <f t="shared" ca="1" si="78"/>
        <v>0</v>
      </c>
      <c r="S192" s="307">
        <f t="shared" ca="1" si="79"/>
        <v>7.150000000000003</v>
      </c>
      <c r="T192" s="304">
        <f t="shared" ca="1" si="59"/>
        <v>70.141500000000036</v>
      </c>
      <c r="U192" s="311">
        <f t="shared" ca="1" si="60"/>
        <v>0</v>
      </c>
      <c r="V192" s="306">
        <f t="shared" ca="1" si="61"/>
        <v>1.1946918666692297</v>
      </c>
      <c r="W192" s="304">
        <f t="shared" ca="1" si="62"/>
        <v>157.22176053435223</v>
      </c>
      <c r="Y192" s="314" t="str">
        <f t="shared" ca="1" si="80"/>
        <v/>
      </c>
      <c r="Z192" s="315" t="str">
        <f t="shared" ca="1" si="81"/>
        <v/>
      </c>
      <c r="AA192" s="316" t="str">
        <f t="shared" ca="1" si="82"/>
        <v/>
      </c>
      <c r="AC192" s="310" t="e">
        <f t="shared" ca="1" si="83"/>
        <v>#N/A</v>
      </c>
      <c r="AD192" s="323" t="e">
        <f t="shared" ca="1" si="84"/>
        <v>#N/A</v>
      </c>
      <c r="AE192" s="324">
        <f t="shared" ca="1" si="63"/>
        <v>250.51233794070015</v>
      </c>
      <c r="AG192" s="306">
        <f t="shared" ca="1" si="85"/>
        <v>-31.672322464977192</v>
      </c>
      <c r="AH192" s="304">
        <f t="shared" ca="1" si="86"/>
        <v>-22.055989660022508</v>
      </c>
    </row>
    <row r="193" spans="1:34" x14ac:dyDescent="0.2">
      <c r="A193" s="347">
        <f t="shared" ca="1" si="64"/>
        <v>0.01</v>
      </c>
      <c r="B193" s="304">
        <f t="shared" ca="1" si="65"/>
        <v>1.8900000000000015</v>
      </c>
      <c r="D193" s="306">
        <f t="shared" ca="1" si="66"/>
        <v>-4.3495767048108638</v>
      </c>
      <c r="E193" s="307">
        <f t="shared" ca="1" si="67"/>
        <v>-31.364577903413583</v>
      </c>
      <c r="F193" s="304">
        <f t="shared" ca="1" si="68"/>
        <v>31.664736925645425</v>
      </c>
      <c r="G193" s="306">
        <f t="shared" ca="1" si="69"/>
        <v>44.373996750790006</v>
      </c>
      <c r="H193" s="307">
        <f t="shared" ca="1" si="70"/>
        <v>219.79979691323877</v>
      </c>
      <c r="I193" s="304">
        <f t="shared" ca="1" si="71"/>
        <v>224.2342576653713</v>
      </c>
      <c r="J193" s="306">
        <f t="shared" ca="1" si="72"/>
        <v>49.278721038207486</v>
      </c>
      <c r="K193" s="307">
        <f t="shared" ca="1" si="73"/>
        <v>252.7119041387277</v>
      </c>
      <c r="L193" s="304">
        <f t="shared" ca="1" si="58"/>
        <v>257.47174377120098</v>
      </c>
      <c r="M193" s="306">
        <f t="shared" ca="1" si="74"/>
        <v>1.3715901726662107</v>
      </c>
      <c r="N193" s="304">
        <f t="shared" ca="1" si="75"/>
        <v>78.586328115393727</v>
      </c>
      <c r="P193" s="310">
        <f t="shared" ca="1" si="76"/>
        <v>23</v>
      </c>
      <c r="Q193" s="304">
        <f t="shared" ca="1" si="77"/>
        <v>0</v>
      </c>
      <c r="R193" s="306">
        <f t="shared" ca="1" si="78"/>
        <v>0</v>
      </c>
      <c r="S193" s="307">
        <f t="shared" ca="1" si="79"/>
        <v>7.150000000000003</v>
      </c>
      <c r="T193" s="304">
        <f t="shared" ca="1" si="59"/>
        <v>70.141500000000036</v>
      </c>
      <c r="U193" s="311">
        <f t="shared" ca="1" si="60"/>
        <v>0</v>
      </c>
      <c r="V193" s="306">
        <f t="shared" ca="1" si="61"/>
        <v>1.1944290735941712</v>
      </c>
      <c r="W193" s="304">
        <f t="shared" ca="1" si="62"/>
        <v>156.74501082726195</v>
      </c>
      <c r="Y193" s="314" t="str">
        <f t="shared" ca="1" si="80"/>
        <v/>
      </c>
      <c r="Z193" s="315" t="str">
        <f t="shared" ca="1" si="81"/>
        <v/>
      </c>
      <c r="AA193" s="316" t="str">
        <f t="shared" ca="1" si="82"/>
        <v/>
      </c>
      <c r="AC193" s="310" t="e">
        <f t="shared" ca="1" si="83"/>
        <v>#N/A</v>
      </c>
      <c r="AD193" s="323" t="e">
        <f t="shared" ca="1" si="84"/>
        <v>#N/A</v>
      </c>
      <c r="AE193" s="324">
        <f t="shared" ca="1" si="63"/>
        <v>252.7119041387277</v>
      </c>
      <c r="AG193" s="306">
        <f t="shared" ca="1" si="85"/>
        <v>-31.605222640792697</v>
      </c>
      <c r="AH193" s="304">
        <f t="shared" ca="1" si="86"/>
        <v>-21.989057417391912</v>
      </c>
    </row>
    <row r="194" spans="1:34" x14ac:dyDescent="0.2">
      <c r="A194" s="347">
        <f t="shared" ca="1" si="64"/>
        <v>0.01</v>
      </c>
      <c r="B194" s="304">
        <f t="shared" ca="1" si="65"/>
        <v>1.9000000000000015</v>
      </c>
      <c r="D194" s="306">
        <f t="shared" ca="1" si="66"/>
        <v>-4.3382469329567197</v>
      </c>
      <c r="E194" s="307">
        <f t="shared" ca="1" si="67"/>
        <v>-31.298841768718795</v>
      </c>
      <c r="F194" s="304">
        <f t="shared" ca="1" si="68"/>
        <v>31.598067702228324</v>
      </c>
      <c r="G194" s="306">
        <f t="shared" ca="1" si="69"/>
        <v>44.330614281460441</v>
      </c>
      <c r="H194" s="307">
        <f t="shared" ca="1" si="70"/>
        <v>219.48680849555157</v>
      </c>
      <c r="I194" s="304">
        <f t="shared" ca="1" si="71"/>
        <v>223.91887474291789</v>
      </c>
      <c r="J194" s="306">
        <f t="shared" ca="1" si="72"/>
        <v>49.722244093368737</v>
      </c>
      <c r="K194" s="307">
        <f t="shared" ca="1" si="73"/>
        <v>254.90833716577166</v>
      </c>
      <c r="L194" s="304">
        <f t="shared" ca="1" si="58"/>
        <v>259.71246006747396</v>
      </c>
      <c r="M194" s="306">
        <f t="shared" ca="1" si="74"/>
        <v>1.3715034755026716</v>
      </c>
      <c r="N194" s="304">
        <f t="shared" ca="1" si="75"/>
        <v>78.581360733827168</v>
      </c>
      <c r="P194" s="310">
        <f t="shared" ca="1" si="76"/>
        <v>23</v>
      </c>
      <c r="Q194" s="304">
        <f t="shared" ca="1" si="77"/>
        <v>0</v>
      </c>
      <c r="R194" s="306">
        <f t="shared" ca="1" si="78"/>
        <v>0</v>
      </c>
      <c r="S194" s="307">
        <f t="shared" ca="1" si="79"/>
        <v>7.150000000000003</v>
      </c>
      <c r="T194" s="304">
        <f t="shared" ca="1" si="59"/>
        <v>70.141500000000036</v>
      </c>
      <c r="U194" s="311">
        <f t="shared" ca="1" si="60"/>
        <v>0</v>
      </c>
      <c r="V194" s="306">
        <f t="shared" ca="1" si="61"/>
        <v>1.1941667118083077</v>
      </c>
      <c r="W194" s="304">
        <f t="shared" ca="1" si="62"/>
        <v>156.2700677932111</v>
      </c>
      <c r="Y194" s="314" t="str">
        <f t="shared" ca="1" si="80"/>
        <v/>
      </c>
      <c r="Z194" s="315" t="str">
        <f t="shared" ca="1" si="81"/>
        <v/>
      </c>
      <c r="AA194" s="316" t="str">
        <f t="shared" ca="1" si="82"/>
        <v/>
      </c>
      <c r="AC194" s="310" t="e">
        <f t="shared" ca="1" si="83"/>
        <v>#N/A</v>
      </c>
      <c r="AD194" s="323" t="e">
        <f t="shared" ca="1" si="84"/>
        <v>#N/A</v>
      </c>
      <c r="AE194" s="324">
        <f t="shared" ca="1" si="63"/>
        <v>254.90833716577166</v>
      </c>
      <c r="AG194" s="306">
        <f t="shared" ca="1" si="85"/>
        <v>-31.538376398510785</v>
      </c>
      <c r="AH194" s="304">
        <f t="shared" ca="1" si="86"/>
        <v>-21.922379136679982</v>
      </c>
    </row>
    <row r="195" spans="1:34" x14ac:dyDescent="0.2">
      <c r="A195" s="347">
        <f t="shared" ca="1" si="64"/>
        <v>0.01</v>
      </c>
      <c r="B195" s="304">
        <f t="shared" ca="1" si="65"/>
        <v>1.9100000000000015</v>
      </c>
      <c r="D195" s="306">
        <f t="shared" ca="1" si="66"/>
        <v>-4.3269592486892874</v>
      </c>
      <c r="E195" s="307">
        <f t="shared" ca="1" si="67"/>
        <v>-31.2333547488265</v>
      </c>
      <c r="F195" s="304">
        <f t="shared" ca="1" si="68"/>
        <v>31.531651165231747</v>
      </c>
      <c r="G195" s="306">
        <f t="shared" ca="1" si="69"/>
        <v>44.287344688973548</v>
      </c>
      <c r="H195" s="307">
        <f t="shared" ca="1" si="70"/>
        <v>219.17447494806331</v>
      </c>
      <c r="I195" s="304">
        <f t="shared" ca="1" si="71"/>
        <v>223.60415776178937</v>
      </c>
      <c r="J195" s="306">
        <f t="shared" ca="1" si="72"/>
        <v>50.165333888220907</v>
      </c>
      <c r="K195" s="307">
        <f t="shared" ca="1" si="73"/>
        <v>257.10164358298971</v>
      </c>
      <c r="L195" s="304">
        <f t="shared" ca="1" si="58"/>
        <v>261.95002549568756</v>
      </c>
      <c r="M195" s="306">
        <f t="shared" ca="1" si="74"/>
        <v>1.3714166190317478</v>
      </c>
      <c r="N195" s="304">
        <f t="shared" ca="1" si="75"/>
        <v>78.576384224619844</v>
      </c>
      <c r="P195" s="310">
        <f t="shared" ca="1" si="76"/>
        <v>23</v>
      </c>
      <c r="Q195" s="304">
        <f t="shared" ca="1" si="77"/>
        <v>0</v>
      </c>
      <c r="R195" s="306">
        <f t="shared" ca="1" si="78"/>
        <v>0</v>
      </c>
      <c r="S195" s="307">
        <f t="shared" ca="1" si="79"/>
        <v>7.150000000000003</v>
      </c>
      <c r="T195" s="304">
        <f t="shared" ca="1" si="59"/>
        <v>70.141500000000036</v>
      </c>
      <c r="U195" s="311">
        <f t="shared" ca="1" si="60"/>
        <v>0</v>
      </c>
      <c r="V195" s="306">
        <f t="shared" ca="1" si="61"/>
        <v>1.1939047802661416</v>
      </c>
      <c r="W195" s="304">
        <f t="shared" ca="1" si="62"/>
        <v>155.79692233575636</v>
      </c>
      <c r="Y195" s="314" t="str">
        <f t="shared" ca="1" si="80"/>
        <v/>
      </c>
      <c r="Z195" s="315" t="str">
        <f t="shared" ca="1" si="81"/>
        <v/>
      </c>
      <c r="AA195" s="316" t="str">
        <f t="shared" ca="1" si="82"/>
        <v/>
      </c>
      <c r="AC195" s="310" t="e">
        <f t="shared" ca="1" si="83"/>
        <v>#N/A</v>
      </c>
      <c r="AD195" s="323" t="e">
        <f t="shared" ca="1" si="84"/>
        <v>#N/A</v>
      </c>
      <c r="AE195" s="324">
        <f t="shared" ca="1" si="63"/>
        <v>257.10164358298971</v>
      </c>
      <c r="AG195" s="306">
        <f t="shared" ca="1" si="85"/>
        <v>-31.471782456862485</v>
      </c>
      <c r="AH195" s="304">
        <f t="shared" ca="1" si="86"/>
        <v>-21.855953537512033</v>
      </c>
    </row>
    <row r="196" spans="1:34" x14ac:dyDescent="0.2">
      <c r="A196" s="347">
        <f t="shared" ca="1" si="64"/>
        <v>0.01</v>
      </c>
      <c r="B196" s="304">
        <f t="shared" ca="1" si="65"/>
        <v>1.9200000000000015</v>
      </c>
      <c r="D196" s="306">
        <f t="shared" ca="1" si="66"/>
        <v>-4.3157134389892047</v>
      </c>
      <c r="E196" s="307">
        <f t="shared" ca="1" si="67"/>
        <v>-31.168115589446579</v>
      </c>
      <c r="F196" s="304">
        <f t="shared" ca="1" si="68"/>
        <v>31.465486042401679</v>
      </c>
      <c r="G196" s="306">
        <f t="shared" ca="1" si="69"/>
        <v>44.244187554583654</v>
      </c>
      <c r="H196" s="307">
        <f t="shared" ca="1" si="70"/>
        <v>218.86279379216884</v>
      </c>
      <c r="I196" s="304">
        <f t="shared" ca="1" si="71"/>
        <v>223.29010421171512</v>
      </c>
      <c r="J196" s="306">
        <f t="shared" ca="1" si="72"/>
        <v>50.607991549438694</v>
      </c>
      <c r="K196" s="307">
        <f t="shared" ca="1" si="73"/>
        <v>259.29182992669087</v>
      </c>
      <c r="L196" s="304">
        <f t="shared" ref="L196:L259" ca="1" si="87">SQRT(pos_x^2+pos_z^2)</f>
        <v>264.18444669472888</v>
      </c>
      <c r="M196" s="306">
        <f t="shared" ca="1" si="74"/>
        <v>1.3713296029949549</v>
      </c>
      <c r="N196" s="304">
        <f t="shared" ca="1" si="75"/>
        <v>78.571398572961655</v>
      </c>
      <c r="P196" s="310">
        <f t="shared" ca="1" si="76"/>
        <v>23</v>
      </c>
      <c r="Q196" s="304">
        <f t="shared" ca="1" si="77"/>
        <v>0</v>
      </c>
      <c r="R196" s="306">
        <f t="shared" ca="1" si="78"/>
        <v>0</v>
      </c>
      <c r="S196" s="307">
        <f t="shared" ca="1" si="79"/>
        <v>7.150000000000003</v>
      </c>
      <c r="T196" s="304">
        <f t="shared" ref="T196:T259" ca="1" si="88">m*g</f>
        <v>70.141500000000036</v>
      </c>
      <c r="U196" s="311">
        <f t="shared" ref="U196:U259" ca="1" si="89">IF(pos_xz&lt;L_rampe,Poids*COS(Beta),0)</f>
        <v>0</v>
      </c>
      <c r="V196" s="306">
        <f t="shared" ref="V196:V259" ca="1" si="90">Rho_moyen*(20000-Alt_rampe-pos_z)/(20000+Alt_rampe+pos_z)</f>
        <v>1.19364327792633</v>
      </c>
      <c r="W196" s="304">
        <f t="shared" ref="W196:W259" ca="1" si="91">1/2*Rho*Sref*Cx*vit_xz^2</f>
        <v>155.32556541624373</v>
      </c>
      <c r="Y196" s="314" t="str">
        <f t="shared" ca="1" si="80"/>
        <v/>
      </c>
      <c r="Z196" s="315" t="str">
        <f t="shared" ca="1" si="81"/>
        <v/>
      </c>
      <c r="AA196" s="316" t="str">
        <f t="shared" ca="1" si="82"/>
        <v/>
      </c>
      <c r="AC196" s="310" t="e">
        <f t="shared" ca="1" si="83"/>
        <v>#N/A</v>
      </c>
      <c r="AD196" s="323" t="e">
        <f t="shared" ca="1" si="84"/>
        <v>#N/A</v>
      </c>
      <c r="AE196" s="324">
        <f t="shared" ref="AE196:AE259" ca="1" si="92">IF(t&lt;T_para, pos_z, NA())</f>
        <v>259.29182992669087</v>
      </c>
      <c r="AG196" s="306">
        <f t="shared" ca="1" si="85"/>
        <v>-31.405439542720671</v>
      </c>
      <c r="AH196" s="304">
        <f t="shared" ca="1" si="86"/>
        <v>-21.789779347658225</v>
      </c>
    </row>
    <row r="197" spans="1:34" x14ac:dyDescent="0.2">
      <c r="A197" s="347">
        <f t="shared" ref="A197:A260" ca="1" si="93">IF(B196+0.01&lt;=T_ini+ROUNDUP(Temps_fin_propu,0), 0.01, IF(K196&gt;0, 0.1, 0.0001))</f>
        <v>0.01</v>
      </c>
      <c r="B197" s="304">
        <f t="shared" ref="B197:B260" ca="1" si="94">B196+pas</f>
        <v>1.9300000000000015</v>
      </c>
      <c r="D197" s="306">
        <f t="shared" ref="D197:D260" ca="1" si="95">IF(AND(L196&lt;L_rampe,Poussee&lt;Poids*SIN(M196)),0,(-W196+Poussee)/m*COS(M196)-U196/m*SIN(M196))</f>
        <v>-4.3045092921895121</v>
      </c>
      <c r="E197" s="307">
        <f t="shared" ref="E197:E260" ca="1" si="96">IF(AND(L196&lt;L_rampe,Poussee&lt;Poids*SIN(M196)),0,(-W196+Poussee)/m*SIN(M196)+U196/m*COS(M196)-Poids/m)</f>
        <v>-31.103123044257309</v>
      </c>
      <c r="F197" s="304">
        <f t="shared" ref="F197:F260" ca="1" si="97">SQRT(acc_x^2+acc_z^2)</f>
        <v>31.399571069566473</v>
      </c>
      <c r="G197" s="306">
        <f t="shared" ref="G197:G260" ca="1" si="98">G196+acc_x*pas</f>
        <v>44.20114246166176</v>
      </c>
      <c r="H197" s="307">
        <f t="shared" ref="H197:H260" ca="1" si="99">H196+acc_z*pas</f>
        <v>218.55176256172626</v>
      </c>
      <c r="I197" s="304">
        <f t="shared" ref="I197:I260" ca="1" si="100">SQRT(vit_x^2+vit_z^2)</f>
        <v>222.97671159507507</v>
      </c>
      <c r="J197" s="306">
        <f t="shared" ref="J197:J260" ca="1" si="101">J196+0.5*(vit_x+G196)*pas*(K196&gt;=0)</f>
        <v>51.050218199519918</v>
      </c>
      <c r="K197" s="307">
        <f t="shared" ref="K197:K260" ca="1" si="102">K196+0.5*(vit_z+H196)*pas</f>
        <v>261.47890270846034</v>
      </c>
      <c r="L197" s="304">
        <f t="shared" ca="1" si="87"/>
        <v>266.41573027852365</v>
      </c>
      <c r="M197" s="306">
        <f t="shared" ref="M197:M260" ca="1" si="103">IF(AND(L196&gt;L_rampe,G197&gt;0),ATAN2(G197,H197),$M$4)</f>
        <v>1.3712424271330568</v>
      </c>
      <c r="N197" s="304">
        <f t="shared" ref="N197:N260" ca="1" si="104">DEGREES(Beta)</f>
        <v>78.566403763999475</v>
      </c>
      <c r="P197" s="310">
        <f t="shared" ref="P197:P260" ca="1" si="105">MATCH(t-pas/2-T_ini,CdP_t)</f>
        <v>23</v>
      </c>
      <c r="Q197" s="304">
        <f t="shared" ref="Q197:Q260" ca="1" si="106">(INDEX(CdP,2,i_P+1)-INDEX(CdP,2,i_P+0))/(INDEX(CdP,1,i_P+1)-INDEX(CdP,1,i_P+0))*(t-pas/2-T_ini-INDEX(CdP,1,i_P+0))+INDEX(CdP,2,i_P+0)</f>
        <v>0</v>
      </c>
      <c r="R197" s="306">
        <f t="shared" ref="R197:R260" ca="1" si="107">Poussee/(g*ISP)</f>
        <v>0</v>
      </c>
      <c r="S197" s="307">
        <f t="shared" ref="S197:S260" ca="1" si="108">S196-Débit*pas</f>
        <v>7.150000000000003</v>
      </c>
      <c r="T197" s="304">
        <f t="shared" ca="1" si="88"/>
        <v>70.141500000000036</v>
      </c>
      <c r="U197" s="311">
        <f t="shared" ca="1" si="89"/>
        <v>0</v>
      </c>
      <c r="V197" s="306">
        <f t="shared" ca="1" si="90"/>
        <v>1.1933822037516677</v>
      </c>
      <c r="W197" s="304">
        <f t="shared" ca="1" si="91"/>
        <v>154.85598805336724</v>
      </c>
      <c r="Y197" s="314" t="str">
        <f t="shared" ref="Y197:Y260" ca="1" si="109">IF(AND(pos_z&lt;=0,K196&gt;0),"Impact balistique","") &amp; IF(AND(H198&lt;0,vit_z&gt;=0),"Apogée","") &amp; IF(AND(Poussee=0,Q196&gt;0),"Fin de propulsion","") &amp; IF(AND(L198&gt;L_rampe,pos_xz&lt;=L_rampe),"Sortie de rampe","")</f>
        <v/>
      </c>
      <c r="Z197" s="315" t="str">
        <f t="shared" ref="Z197:Z260" ca="1" si="110">IF(ABS(t-T_para)&lt;pas/2,"Para","")</f>
        <v/>
      </c>
      <c r="AA197" s="316" t="str">
        <f t="shared" ref="AA197:AA260" ca="1" si="111">IF(ABS(t-T_satellite)&lt;pas/2,"Satellite","")</f>
        <v/>
      </c>
      <c r="AC197" s="310" t="e">
        <f t="shared" ref="AC197:AC260" ca="1" si="112">IF(ABS(t-ROUND(t,0))&lt;0.001,t,NA())</f>
        <v>#N/A</v>
      </c>
      <c r="AD197" s="323" t="e">
        <f t="shared" ref="AD197:AD260" ca="1" si="113">IF(ABS(t-ROUND(t,0))&lt;0.001,pos_x,NA())</f>
        <v>#N/A</v>
      </c>
      <c r="AE197" s="324">
        <f t="shared" ca="1" si="92"/>
        <v>261.47890270846034</v>
      </c>
      <c r="AG197" s="306">
        <f t="shared" ref="AG197:AG260" ca="1" si="114">IF(AND(L196&lt;L_rampe,Poussee&lt;Poids*SIN(M196)),0,(-W196+Poussee)/m-Poids*SIN(M196)/m)</f>
        <v>-31.339346391037594</v>
      </c>
      <c r="AH197" s="304">
        <f t="shared" ref="AH197:AH260" ca="1" si="115">IF(AND(L196&lt;L_rampe,Poussee&lt;Poids*SIN(M196)), g*SIN(M196), (-W196+Poussee)/m)</f>
        <v>-21.723855302971142</v>
      </c>
    </row>
    <row r="198" spans="1:34" x14ac:dyDescent="0.2">
      <c r="A198" s="347">
        <f t="shared" ca="1" si="93"/>
        <v>0.01</v>
      </c>
      <c r="B198" s="304">
        <f t="shared" ca="1" si="94"/>
        <v>1.9400000000000015</v>
      </c>
      <c r="D198" s="306">
        <f t="shared" ca="1" si="95"/>
        <v>-4.2933465979653045</v>
      </c>
      <c r="E198" s="307">
        <f t="shared" ca="1" si="96"/>
        <v>-31.038375874844562</v>
      </c>
      <c r="F198" s="304">
        <f t="shared" ca="1" si="97"/>
        <v>31.333904990575196</v>
      </c>
      <c r="G198" s="306">
        <f t="shared" ca="1" si="98"/>
        <v>44.158208995682109</v>
      </c>
      <c r="H198" s="307">
        <f t="shared" ca="1" si="99"/>
        <v>218.24137880297781</v>
      </c>
      <c r="I198" s="304">
        <f t="shared" ca="1" si="100"/>
        <v>222.66397742681951</v>
      </c>
      <c r="J198" s="306">
        <f t="shared" ca="1" si="101"/>
        <v>51.492014956806635</v>
      </c>
      <c r="K198" s="307">
        <f t="shared" ca="1" si="102"/>
        <v>263.66286841528387</v>
      </c>
      <c r="L198" s="304">
        <f t="shared" ca="1" si="87"/>
        <v>268.64388283615784</v>
      </c>
      <c r="M198" s="306">
        <f t="shared" ca="1" si="103"/>
        <v>1.371155091186063</v>
      </c>
      <c r="N198" s="304">
        <f t="shared" ca="1" si="104"/>
        <v>78.561399782836958</v>
      </c>
      <c r="P198" s="310">
        <f t="shared" ca="1" si="105"/>
        <v>23</v>
      </c>
      <c r="Q198" s="304">
        <f t="shared" ca="1" si="106"/>
        <v>0</v>
      </c>
      <c r="R198" s="306">
        <f t="shared" ca="1" si="107"/>
        <v>0</v>
      </c>
      <c r="S198" s="307">
        <f t="shared" ca="1" si="108"/>
        <v>7.150000000000003</v>
      </c>
      <c r="T198" s="304">
        <f t="shared" ca="1" si="88"/>
        <v>70.141500000000036</v>
      </c>
      <c r="U198" s="311">
        <f t="shared" ca="1" si="89"/>
        <v>0</v>
      </c>
      <c r="V198" s="306">
        <f t="shared" ca="1" si="90"/>
        <v>1.1931215567090627</v>
      </c>
      <c r="W198" s="304">
        <f t="shared" ca="1" si="91"/>
        <v>154.38818132273065</v>
      </c>
      <c r="Y198" s="314" t="str">
        <f t="shared" ca="1" si="109"/>
        <v/>
      </c>
      <c r="Z198" s="315" t="str">
        <f t="shared" ca="1" si="110"/>
        <v/>
      </c>
      <c r="AA198" s="316" t="str">
        <f t="shared" ca="1" si="111"/>
        <v/>
      </c>
      <c r="AC198" s="310" t="e">
        <f t="shared" ca="1" si="112"/>
        <v>#N/A</v>
      </c>
      <c r="AD198" s="323" t="e">
        <f t="shared" ca="1" si="113"/>
        <v>#N/A</v>
      </c>
      <c r="AE198" s="324">
        <f t="shared" ca="1" si="92"/>
        <v>263.66286841528387</v>
      </c>
      <c r="AG198" s="306">
        <f t="shared" ca="1" si="114"/>
        <v>-31.273501744783182</v>
      </c>
      <c r="AH198" s="304">
        <f t="shared" ca="1" si="115"/>
        <v>-21.658180147324082</v>
      </c>
    </row>
    <row r="199" spans="1:34" x14ac:dyDescent="0.2">
      <c r="A199" s="347">
        <f t="shared" ca="1" si="93"/>
        <v>0.01</v>
      </c>
      <c r="B199" s="304">
        <f t="shared" ca="1" si="94"/>
        <v>1.9500000000000015</v>
      </c>
      <c r="D199" s="306">
        <f t="shared" ca="1" si="95"/>
        <v>-4.2822251473234889</v>
      </c>
      <c r="E199" s="307">
        <f t="shared" ca="1" si="96"/>
        <v>-30.973872850641342</v>
      </c>
      <c r="F199" s="304">
        <f t="shared" ca="1" si="97"/>
        <v>31.26848655723629</v>
      </c>
      <c r="G199" s="306">
        <f t="shared" ca="1" si="98"/>
        <v>44.115386744208877</v>
      </c>
      <c r="H199" s="307">
        <f t="shared" ca="1" si="99"/>
        <v>217.9316400744714</v>
      </c>
      <c r="I199" s="304">
        <f t="shared" ca="1" si="100"/>
        <v>222.35189923438944</v>
      </c>
      <c r="J199" s="306">
        <f t="shared" ca="1" si="101"/>
        <v>51.933382935506089</v>
      </c>
      <c r="K199" s="307">
        <f t="shared" ca="1" si="102"/>
        <v>265.8437335096711</v>
      </c>
      <c r="L199" s="304">
        <f t="shared" ca="1" si="87"/>
        <v>270.86891093199847</v>
      </c>
      <c r="M199" s="306">
        <f t="shared" ca="1" si="103"/>
        <v>1.3710675948932269</v>
      </c>
      <c r="N199" s="304">
        <f t="shared" ca="1" si="104"/>
        <v>78.556386614534404</v>
      </c>
      <c r="P199" s="310">
        <f t="shared" ca="1" si="105"/>
        <v>23</v>
      </c>
      <c r="Q199" s="304">
        <f t="shared" ca="1" si="106"/>
        <v>0</v>
      </c>
      <c r="R199" s="306">
        <f t="shared" ca="1" si="107"/>
        <v>0</v>
      </c>
      <c r="S199" s="307">
        <f t="shared" ca="1" si="108"/>
        <v>7.150000000000003</v>
      </c>
      <c r="T199" s="304">
        <f t="shared" ca="1" si="88"/>
        <v>70.141500000000036</v>
      </c>
      <c r="U199" s="311">
        <f t="shared" ca="1" si="89"/>
        <v>0</v>
      </c>
      <c r="V199" s="306">
        <f t="shared" ca="1" si="90"/>
        <v>1.1928613357695175</v>
      </c>
      <c r="W199" s="304">
        <f t="shared" ca="1" si="91"/>
        <v>153.92213635641397</v>
      </c>
      <c r="Y199" s="314" t="str">
        <f t="shared" ca="1" si="109"/>
        <v/>
      </c>
      <c r="Z199" s="315" t="str">
        <f t="shared" ca="1" si="110"/>
        <v/>
      </c>
      <c r="AA199" s="316" t="str">
        <f t="shared" ca="1" si="111"/>
        <v/>
      </c>
      <c r="AC199" s="310" t="e">
        <f t="shared" ca="1" si="112"/>
        <v>#N/A</v>
      </c>
      <c r="AD199" s="323" t="e">
        <f t="shared" ca="1" si="113"/>
        <v>#N/A</v>
      </c>
      <c r="AE199" s="324">
        <f t="shared" ca="1" si="92"/>
        <v>265.8437335096711</v>
      </c>
      <c r="AG199" s="306">
        <f t="shared" ca="1" si="114"/>
        <v>-31.207904354883688</v>
      </c>
      <c r="AH199" s="304">
        <f t="shared" ca="1" si="115"/>
        <v>-21.592752632549733</v>
      </c>
    </row>
    <row r="200" spans="1:34" x14ac:dyDescent="0.2">
      <c r="A200" s="347">
        <f t="shared" ca="1" si="93"/>
        <v>0.01</v>
      </c>
      <c r="B200" s="304">
        <f t="shared" ca="1" si="94"/>
        <v>1.9600000000000015</v>
      </c>
      <c r="D200" s="306">
        <f t="shared" ca="1" si="95"/>
        <v>-4.2711447325926351</v>
      </c>
      <c r="E200" s="307">
        <f t="shared" ca="1" si="96"/>
        <v>-30.909612748868007</v>
      </c>
      <c r="F200" s="304">
        <f t="shared" ca="1" si="97"/>
        <v>31.203314529256943</v>
      </c>
      <c r="G200" s="306">
        <f t="shared" ca="1" si="98"/>
        <v>44.072675296882949</v>
      </c>
      <c r="H200" s="307">
        <f t="shared" ca="1" si="99"/>
        <v>217.62254394698272</v>
      </c>
      <c r="I200" s="304">
        <f t="shared" ca="1" si="100"/>
        <v>222.04047455763757</v>
      </c>
      <c r="J200" s="306">
        <f t="shared" ca="1" si="101"/>
        <v>52.374323245711551</v>
      </c>
      <c r="K200" s="307">
        <f t="shared" ca="1" si="102"/>
        <v>268.02150442977836</v>
      </c>
      <c r="L200" s="304">
        <f t="shared" ca="1" si="87"/>
        <v>273.09082110581448</v>
      </c>
      <c r="M200" s="306">
        <f t="shared" ca="1" si="103"/>
        <v>1.3709799379930434</v>
      </c>
      <c r="N200" s="304">
        <f t="shared" ca="1" si="104"/>
        <v>78.551364244108683</v>
      </c>
      <c r="P200" s="310">
        <f t="shared" ca="1" si="105"/>
        <v>23</v>
      </c>
      <c r="Q200" s="304">
        <f t="shared" ca="1" si="106"/>
        <v>0</v>
      </c>
      <c r="R200" s="306">
        <f t="shared" ca="1" si="107"/>
        <v>0</v>
      </c>
      <c r="S200" s="307">
        <f t="shared" ca="1" si="108"/>
        <v>7.150000000000003</v>
      </c>
      <c r="T200" s="304">
        <f t="shared" ca="1" si="88"/>
        <v>70.141500000000036</v>
      </c>
      <c r="U200" s="311">
        <f t="shared" ca="1" si="89"/>
        <v>0</v>
      </c>
      <c r="V200" s="306">
        <f t="shared" ca="1" si="90"/>
        <v>1.1926015399081038</v>
      </c>
      <c r="W200" s="304">
        <f t="shared" ca="1" si="91"/>
        <v>153.45784434254276</v>
      </c>
      <c r="Y200" s="314" t="str">
        <f t="shared" ca="1" si="109"/>
        <v/>
      </c>
      <c r="Z200" s="315" t="str">
        <f t="shared" ca="1" si="110"/>
        <v/>
      </c>
      <c r="AA200" s="316" t="str">
        <f t="shared" ca="1" si="111"/>
        <v/>
      </c>
      <c r="AC200" s="310" t="e">
        <f t="shared" ca="1" si="112"/>
        <v>#N/A</v>
      </c>
      <c r="AD200" s="323" t="e">
        <f t="shared" ca="1" si="113"/>
        <v>#N/A</v>
      </c>
      <c r="AE200" s="324">
        <f t="shared" ca="1" si="92"/>
        <v>268.02150442977836</v>
      </c>
      <c r="AG200" s="306">
        <f t="shared" ca="1" si="114"/>
        <v>-31.142552980161078</v>
      </c>
      <c r="AH200" s="304">
        <f t="shared" ca="1" si="115"/>
        <v>-21.527571518379567</v>
      </c>
    </row>
    <row r="201" spans="1:34" x14ac:dyDescent="0.2">
      <c r="A201" s="347">
        <f t="shared" ca="1" si="93"/>
        <v>0.01</v>
      </c>
      <c r="B201" s="304">
        <f t="shared" ca="1" si="94"/>
        <v>1.9700000000000015</v>
      </c>
      <c r="D201" s="306">
        <f t="shared" ca="1" si="95"/>
        <v>-4.2601051474128875</v>
      </c>
      <c r="E201" s="307">
        <f t="shared" ca="1" si="96"/>
        <v>-30.845594354472894</v>
      </c>
      <c r="F201" s="304">
        <f t="shared" ca="1" si="97"/>
        <v>31.138387674182873</v>
      </c>
      <c r="G201" s="306">
        <f t="shared" ca="1" si="98"/>
        <v>44.030074245408819</v>
      </c>
      <c r="H201" s="307">
        <f t="shared" ca="1" si="99"/>
        <v>217.31408800343797</v>
      </c>
      <c r="I201" s="304">
        <f t="shared" ca="1" si="100"/>
        <v>221.72970094875021</v>
      </c>
      <c r="J201" s="306">
        <f t="shared" ca="1" si="101"/>
        <v>52.814836993423008</v>
      </c>
      <c r="K201" s="307">
        <f t="shared" ca="1" si="102"/>
        <v>270.19618758953044</v>
      </c>
      <c r="L201" s="304">
        <f t="shared" ca="1" si="87"/>
        <v>275.30961987289612</v>
      </c>
      <c r="M201" s="306">
        <f t="shared" ca="1" si="103"/>
        <v>1.3708921202232467</v>
      </c>
      <c r="N201" s="304">
        <f t="shared" ca="1" si="104"/>
        <v>78.546332656533082</v>
      </c>
      <c r="P201" s="310">
        <f t="shared" ca="1" si="105"/>
        <v>23</v>
      </c>
      <c r="Q201" s="304">
        <f t="shared" ca="1" si="106"/>
        <v>0</v>
      </c>
      <c r="R201" s="306">
        <f t="shared" ca="1" si="107"/>
        <v>0</v>
      </c>
      <c r="S201" s="307">
        <f t="shared" ca="1" si="108"/>
        <v>7.150000000000003</v>
      </c>
      <c r="T201" s="304">
        <f t="shared" ca="1" si="88"/>
        <v>70.141500000000036</v>
      </c>
      <c r="U201" s="311">
        <f t="shared" ca="1" si="89"/>
        <v>0</v>
      </c>
      <c r="V201" s="306">
        <f t="shared" ca="1" si="90"/>
        <v>1.192342168103945</v>
      </c>
      <c r="W201" s="304">
        <f t="shared" ca="1" si="91"/>
        <v>152.99529652486228</v>
      </c>
      <c r="Y201" s="314" t="str">
        <f t="shared" ca="1" si="109"/>
        <v/>
      </c>
      <c r="Z201" s="315" t="str">
        <f t="shared" ca="1" si="110"/>
        <v/>
      </c>
      <c r="AA201" s="316" t="str">
        <f t="shared" ca="1" si="111"/>
        <v/>
      </c>
      <c r="AC201" s="310" t="e">
        <f t="shared" ca="1" si="112"/>
        <v>#N/A</v>
      </c>
      <c r="AD201" s="323" t="e">
        <f t="shared" ca="1" si="113"/>
        <v>#N/A</v>
      </c>
      <c r="AE201" s="324">
        <f t="shared" ca="1" si="92"/>
        <v>270.19618758953044</v>
      </c>
      <c r="AG201" s="306">
        <f t="shared" ca="1" si="114"/>
        <v>-31.077446387272779</v>
      </c>
      <c r="AH201" s="304">
        <f t="shared" ca="1" si="115"/>
        <v>-21.462635572383594</v>
      </c>
    </row>
    <row r="202" spans="1:34" x14ac:dyDescent="0.2">
      <c r="A202" s="347">
        <f t="shared" ca="1" si="93"/>
        <v>0.01</v>
      </c>
      <c r="B202" s="304">
        <f t="shared" ca="1" si="94"/>
        <v>1.9800000000000015</v>
      </c>
      <c r="D202" s="306">
        <f t="shared" ca="1" si="95"/>
        <v>-4.2491061867260038</v>
      </c>
      <c r="E202" s="307">
        <f t="shared" ca="1" si="96"/>
        <v>-30.7818164600736</v>
      </c>
      <c r="F202" s="304">
        <f t="shared" ca="1" si="97"/>
        <v>31.073704767338754</v>
      </c>
      <c r="G202" s="306">
        <f t="shared" ca="1" si="98"/>
        <v>43.98758318354156</v>
      </c>
      <c r="H202" s="307">
        <f t="shared" ca="1" si="99"/>
        <v>217.00626983883723</v>
      </c>
      <c r="I202" s="304">
        <f t="shared" ca="1" si="100"/>
        <v>221.41957597216924</v>
      </c>
      <c r="J202" s="306">
        <f t="shared" ca="1" si="101"/>
        <v>53.254925280567761</v>
      </c>
      <c r="K202" s="307">
        <f t="shared" ca="1" si="102"/>
        <v>272.3677893787418</v>
      </c>
      <c r="L202" s="304">
        <f t="shared" ca="1" si="87"/>
        <v>277.52531372417457</v>
      </c>
      <c r="M202" s="306">
        <f t="shared" ca="1" si="103"/>
        <v>1.3708041413208081</v>
      </c>
      <c r="N202" s="304">
        <f t="shared" ca="1" si="104"/>
        <v>78.541291836737159</v>
      </c>
      <c r="P202" s="310">
        <f t="shared" ca="1" si="105"/>
        <v>23</v>
      </c>
      <c r="Q202" s="304">
        <f t="shared" ca="1" si="106"/>
        <v>0</v>
      </c>
      <c r="R202" s="306">
        <f t="shared" ca="1" si="107"/>
        <v>0</v>
      </c>
      <c r="S202" s="307">
        <f t="shared" ca="1" si="108"/>
        <v>7.150000000000003</v>
      </c>
      <c r="T202" s="304">
        <f t="shared" ca="1" si="88"/>
        <v>70.141500000000036</v>
      </c>
      <c r="U202" s="311">
        <f t="shared" ca="1" si="89"/>
        <v>0</v>
      </c>
      <c r="V202" s="306">
        <f t="shared" ca="1" si="90"/>
        <v>1.1920832193401929</v>
      </c>
      <c r="W202" s="304">
        <f t="shared" ca="1" si="91"/>
        <v>152.53448420231487</v>
      </c>
      <c r="Y202" s="314" t="str">
        <f t="shared" ca="1" si="109"/>
        <v/>
      </c>
      <c r="Z202" s="315" t="str">
        <f t="shared" ca="1" si="110"/>
        <v/>
      </c>
      <c r="AA202" s="316" t="str">
        <f t="shared" ca="1" si="111"/>
        <v/>
      </c>
      <c r="AC202" s="310" t="e">
        <f t="shared" ca="1" si="112"/>
        <v>#N/A</v>
      </c>
      <c r="AD202" s="323" t="e">
        <f t="shared" ca="1" si="113"/>
        <v>#N/A</v>
      </c>
      <c r="AE202" s="324">
        <f t="shared" ca="1" si="92"/>
        <v>272.3677893787418</v>
      </c>
      <c r="AG202" s="306">
        <f t="shared" ca="1" si="114"/>
        <v>-31.012583350652108</v>
      </c>
      <c r="AH202" s="304">
        <f t="shared" ca="1" si="115"/>
        <v>-21.397943569910801</v>
      </c>
    </row>
    <row r="203" spans="1:34" x14ac:dyDescent="0.2">
      <c r="A203" s="347">
        <f t="shared" ca="1" si="93"/>
        <v>0.01</v>
      </c>
      <c r="B203" s="304">
        <f t="shared" ca="1" si="94"/>
        <v>1.9900000000000015</v>
      </c>
      <c r="D203" s="306">
        <f t="shared" ca="1" si="95"/>
        <v>-4.2381476467654648</v>
      </c>
      <c r="E203" s="307">
        <f t="shared" ca="1" si="96"/>
        <v>-30.718277865898685</v>
      </c>
      <c r="F203" s="304">
        <f t="shared" ca="1" si="97"/>
        <v>31.009264591769099</v>
      </c>
      <c r="G203" s="306">
        <f t="shared" ca="1" si="98"/>
        <v>43.945201707073906</v>
      </c>
      <c r="H203" s="307">
        <f t="shared" ca="1" si="99"/>
        <v>216.69908706017824</v>
      </c>
      <c r="I203" s="304">
        <f t="shared" ca="1" si="100"/>
        <v>221.11009720451511</v>
      </c>
      <c r="J203" s="306">
        <f t="shared" ca="1" si="101"/>
        <v>53.69458920502084</v>
      </c>
      <c r="K203" s="307">
        <f t="shared" ca="1" si="102"/>
        <v>274.5363161632369</v>
      </c>
      <c r="L203" s="304">
        <f t="shared" ca="1" si="87"/>
        <v>279.73790912634047</v>
      </c>
      <c r="M203" s="306">
        <f t="shared" ca="1" si="103"/>
        <v>1.3707160010219339</v>
      </c>
      <c r="N203" s="304">
        <f t="shared" ca="1" si="104"/>
        <v>78.536241769606647</v>
      </c>
      <c r="P203" s="310">
        <f t="shared" ca="1" si="105"/>
        <v>23</v>
      </c>
      <c r="Q203" s="304">
        <f t="shared" ca="1" si="106"/>
        <v>0</v>
      </c>
      <c r="R203" s="306">
        <f t="shared" ca="1" si="107"/>
        <v>0</v>
      </c>
      <c r="S203" s="307">
        <f t="shared" ca="1" si="108"/>
        <v>7.150000000000003</v>
      </c>
      <c r="T203" s="304">
        <f t="shared" ca="1" si="88"/>
        <v>70.141500000000036</v>
      </c>
      <c r="U203" s="311">
        <f t="shared" ca="1" si="89"/>
        <v>0</v>
      </c>
      <c r="V203" s="306">
        <f t="shared" ca="1" si="90"/>
        <v>1.1918246926040073</v>
      </c>
      <c r="W203" s="304">
        <f t="shared" ca="1" si="91"/>
        <v>152.07539872862111</v>
      </c>
      <c r="Y203" s="314" t="str">
        <f t="shared" ca="1" si="109"/>
        <v/>
      </c>
      <c r="Z203" s="315" t="str">
        <f t="shared" ca="1" si="110"/>
        <v/>
      </c>
      <c r="AA203" s="316" t="str">
        <f t="shared" ca="1" si="111"/>
        <v/>
      </c>
      <c r="AC203" s="310" t="e">
        <f t="shared" ca="1" si="112"/>
        <v>#N/A</v>
      </c>
      <c r="AD203" s="323" t="e">
        <f t="shared" ca="1" si="113"/>
        <v>#N/A</v>
      </c>
      <c r="AE203" s="324">
        <f t="shared" ca="1" si="92"/>
        <v>274.5363161632369</v>
      </c>
      <c r="AG203" s="306">
        <f t="shared" ca="1" si="114"/>
        <v>-30.947962652449135</v>
      </c>
      <c r="AH203" s="304">
        <f t="shared" ca="1" si="115"/>
        <v>-21.333494294030043</v>
      </c>
    </row>
    <row r="204" spans="1:34" x14ac:dyDescent="0.2">
      <c r="A204" s="347">
        <f t="shared" ca="1" si="93"/>
        <v>0.01</v>
      </c>
      <c r="B204" s="304">
        <f t="shared" ca="1" si="94"/>
        <v>2.0000000000000013</v>
      </c>
      <c r="D204" s="306">
        <f t="shared" ca="1" si="95"/>
        <v>-4.2272293250466682</v>
      </c>
      <c r="E204" s="307">
        <f t="shared" ca="1" si="96"/>
        <v>-30.654977379729964</v>
      </c>
      <c r="F204" s="304">
        <f t="shared" ca="1" si="97"/>
        <v>30.945065938179713</v>
      </c>
      <c r="G204" s="306">
        <f t="shared" ca="1" si="98"/>
        <v>43.902929413823436</v>
      </c>
      <c r="H204" s="307">
        <f t="shared" ca="1" si="99"/>
        <v>216.39253728638096</v>
      </c>
      <c r="I204" s="304">
        <f t="shared" ca="1" si="100"/>
        <v>220.80126223451018</v>
      </c>
      <c r="J204" s="306">
        <f t="shared" ca="1" si="101"/>
        <v>54.133829860625326</v>
      </c>
      <c r="K204" s="307">
        <f t="shared" ca="1" si="102"/>
        <v>276.7017742849697</v>
      </c>
      <c r="L204" s="304">
        <f t="shared" ca="1" si="87"/>
        <v>281.94741252196206</v>
      </c>
      <c r="M204" s="306">
        <f t="shared" ca="1" si="103"/>
        <v>1.3706276990620634</v>
      </c>
      <c r="N204" s="304">
        <f t="shared" ca="1" si="104"/>
        <v>78.53118243998334</v>
      </c>
      <c r="P204" s="310">
        <f t="shared" ca="1" si="105"/>
        <v>23</v>
      </c>
      <c r="Q204" s="304">
        <f t="shared" ca="1" si="106"/>
        <v>0</v>
      </c>
      <c r="R204" s="306">
        <f t="shared" ca="1" si="107"/>
        <v>0</v>
      </c>
      <c r="S204" s="307">
        <f t="shared" ca="1" si="108"/>
        <v>7.150000000000003</v>
      </c>
      <c r="T204" s="304">
        <f t="shared" ca="1" si="88"/>
        <v>70.141500000000036</v>
      </c>
      <c r="U204" s="311">
        <f t="shared" ca="1" si="89"/>
        <v>0</v>
      </c>
      <c r="V204" s="306">
        <f t="shared" ca="1" si="90"/>
        <v>1.1915665868865359</v>
      </c>
      <c r="W204" s="304">
        <f t="shared" ca="1" si="91"/>
        <v>151.61803151186501</v>
      </c>
      <c r="Y204" s="314" t="str">
        <f t="shared" ca="1" si="109"/>
        <v/>
      </c>
      <c r="Z204" s="315" t="str">
        <f t="shared" ca="1" si="110"/>
        <v/>
      </c>
      <c r="AA204" s="316" t="str">
        <f t="shared" ca="1" si="111"/>
        <v/>
      </c>
      <c r="AC204" s="310">
        <f t="shared" ca="1" si="112"/>
        <v>2.0000000000000013</v>
      </c>
      <c r="AD204" s="323">
        <f t="shared" ca="1" si="113"/>
        <v>54.133829860625326</v>
      </c>
      <c r="AE204" s="324">
        <f t="shared" ca="1" si="92"/>
        <v>276.7017742849697</v>
      </c>
      <c r="AG204" s="306">
        <f t="shared" ca="1" si="114"/>
        <v>-30.883583082472128</v>
      </c>
      <c r="AH204" s="304">
        <f t="shared" ca="1" si="115"/>
        <v>-21.269286535471476</v>
      </c>
    </row>
    <row r="205" spans="1:34" x14ac:dyDescent="0.2">
      <c r="A205" s="347">
        <f t="shared" ca="1" si="93"/>
        <v>0.1</v>
      </c>
      <c r="B205" s="304">
        <f t="shared" ca="1" si="94"/>
        <v>2.1000000000000014</v>
      </c>
      <c r="D205" s="306">
        <f t="shared" ca="1" si="95"/>
        <v>-4.2163510203572141</v>
      </c>
      <c r="E205" s="307">
        <f t="shared" ca="1" si="96"/>
        <v>-30.591913816845256</v>
      </c>
      <c r="F205" s="304">
        <f t="shared" ca="1" si="97"/>
        <v>30.881107604879638</v>
      </c>
      <c r="G205" s="306">
        <f t="shared" ca="1" si="98"/>
        <v>43.481294311787714</v>
      </c>
      <c r="H205" s="307">
        <f t="shared" ca="1" si="99"/>
        <v>213.33334590469644</v>
      </c>
      <c r="I205" s="304">
        <f t="shared" ca="1" si="100"/>
        <v>217.71940526724109</v>
      </c>
      <c r="J205" s="306">
        <f t="shared" ca="1" si="101"/>
        <v>58.503041046905885</v>
      </c>
      <c r="K205" s="307">
        <f t="shared" ca="1" si="102"/>
        <v>298.18806844452359</v>
      </c>
      <c r="L205" s="304">
        <f t="shared" ca="1" si="87"/>
        <v>303.87288456591818</v>
      </c>
      <c r="M205" s="306">
        <f t="shared" ca="1" si="103"/>
        <v>1.3697317901147832</v>
      </c>
      <c r="N205" s="304">
        <f t="shared" ca="1" si="104"/>
        <v>78.479850638476165</v>
      </c>
      <c r="P205" s="310">
        <f t="shared" ca="1" si="105"/>
        <v>23</v>
      </c>
      <c r="Q205" s="304">
        <f t="shared" ca="1" si="106"/>
        <v>0</v>
      </c>
      <c r="R205" s="306">
        <f t="shared" ca="1" si="107"/>
        <v>0</v>
      </c>
      <c r="S205" s="307">
        <f t="shared" ca="1" si="108"/>
        <v>7.150000000000003</v>
      </c>
      <c r="T205" s="304">
        <f t="shared" ca="1" si="88"/>
        <v>70.141500000000036</v>
      </c>
      <c r="U205" s="311">
        <f t="shared" ca="1" si="89"/>
        <v>0</v>
      </c>
      <c r="V205" s="306">
        <f t="shared" ca="1" si="90"/>
        <v>1.1890085723304136</v>
      </c>
      <c r="W205" s="304">
        <f t="shared" ca="1" si="91"/>
        <v>147.09865376862822</v>
      </c>
      <c r="Y205" s="314" t="str">
        <f t="shared" ca="1" si="109"/>
        <v/>
      </c>
      <c r="Z205" s="315" t="str">
        <f t="shared" ca="1" si="110"/>
        <v/>
      </c>
      <c r="AA205" s="316" t="str">
        <f t="shared" ca="1" si="111"/>
        <v/>
      </c>
      <c r="AC205" s="310" t="e">
        <f t="shared" ca="1" si="112"/>
        <v>#N/A</v>
      </c>
      <c r="AD205" s="323" t="e">
        <f t="shared" ca="1" si="113"/>
        <v>#N/A</v>
      </c>
      <c r="AE205" s="324">
        <f t="shared" ca="1" si="92"/>
        <v>298.18806844452359</v>
      </c>
      <c r="AG205" s="306">
        <f t="shared" ca="1" si="114"/>
        <v>-30.819443438129497</v>
      </c>
      <c r="AH205" s="304">
        <f t="shared" ca="1" si="115"/>
        <v>-21.205319092568523</v>
      </c>
    </row>
    <row r="206" spans="1:34" x14ac:dyDescent="0.2">
      <c r="A206" s="347">
        <f t="shared" ca="1" si="93"/>
        <v>0.1</v>
      </c>
      <c r="B206" s="304">
        <f t="shared" ca="1" si="94"/>
        <v>2.2000000000000015</v>
      </c>
      <c r="D206" s="306">
        <f t="shared" ca="1" si="95"/>
        <v>-4.1087335688170796</v>
      </c>
      <c r="E206" s="307">
        <f t="shared" ca="1" si="96"/>
        <v>-29.968780770908779</v>
      </c>
      <c r="F206" s="304">
        <f t="shared" ca="1" si="97"/>
        <v>30.249124159788764</v>
      </c>
      <c r="G206" s="306">
        <f t="shared" ca="1" si="98"/>
        <v>43.070420954906005</v>
      </c>
      <c r="H206" s="307">
        <f t="shared" ca="1" si="99"/>
        <v>210.33646782760556</v>
      </c>
      <c r="I206" s="304">
        <f t="shared" ca="1" si="100"/>
        <v>214.70093353179942</v>
      </c>
      <c r="J206" s="306">
        <f t="shared" ca="1" si="101"/>
        <v>62.830626810240574</v>
      </c>
      <c r="K206" s="307">
        <f t="shared" ca="1" si="102"/>
        <v>319.37155913113872</v>
      </c>
      <c r="L206" s="304">
        <f t="shared" ca="1" si="87"/>
        <v>325.49328786815585</v>
      </c>
      <c r="M206" s="306">
        <f t="shared" ca="1" si="103"/>
        <v>1.3688192741761986</v>
      </c>
      <c r="N206" s="304">
        <f t="shared" ca="1" si="104"/>
        <v>78.427567326456852</v>
      </c>
      <c r="P206" s="310">
        <f t="shared" ca="1" si="105"/>
        <v>23</v>
      </c>
      <c r="Q206" s="304">
        <f t="shared" ca="1" si="106"/>
        <v>0</v>
      </c>
      <c r="R206" s="306">
        <f t="shared" ca="1" si="107"/>
        <v>0</v>
      </c>
      <c r="S206" s="307">
        <f t="shared" ca="1" si="108"/>
        <v>7.150000000000003</v>
      </c>
      <c r="T206" s="304">
        <f t="shared" ca="1" si="88"/>
        <v>70.141500000000036</v>
      </c>
      <c r="U206" s="311">
        <f t="shared" ca="1" si="89"/>
        <v>0</v>
      </c>
      <c r="V206" s="306">
        <f t="shared" ca="1" si="90"/>
        <v>1.1864919035466102</v>
      </c>
      <c r="W206" s="304">
        <f t="shared" ca="1" si="91"/>
        <v>142.74538567429104</v>
      </c>
      <c r="Y206" s="314" t="str">
        <f t="shared" ca="1" si="109"/>
        <v/>
      </c>
      <c r="Z206" s="315" t="str">
        <f t="shared" ca="1" si="110"/>
        <v/>
      </c>
      <c r="AA206" s="316" t="str">
        <f t="shared" ca="1" si="111"/>
        <v/>
      </c>
      <c r="AC206" s="310" t="e">
        <f t="shared" ca="1" si="112"/>
        <v>#N/A</v>
      </c>
      <c r="AD206" s="323" t="e">
        <f t="shared" ca="1" si="113"/>
        <v>#N/A</v>
      </c>
      <c r="AE206" s="324">
        <f t="shared" ca="1" si="92"/>
        <v>319.37155913113872</v>
      </c>
      <c r="AG206" s="306">
        <f t="shared" ca="1" si="114"/>
        <v>-30.185611245951733</v>
      </c>
      <c r="AH206" s="304">
        <f t="shared" ca="1" si="115"/>
        <v>-20.573238289318624</v>
      </c>
    </row>
    <row r="207" spans="1:34" x14ac:dyDescent="0.2">
      <c r="A207" s="347">
        <f t="shared" ca="1" si="93"/>
        <v>0.1</v>
      </c>
      <c r="B207" s="304">
        <f t="shared" ca="1" si="94"/>
        <v>2.3000000000000016</v>
      </c>
      <c r="D207" s="306">
        <f t="shared" ca="1" si="95"/>
        <v>-4.004988009327656</v>
      </c>
      <c r="E207" s="307">
        <f t="shared" ca="1" si="96"/>
        <v>-29.368551156392591</v>
      </c>
      <c r="F207" s="304">
        <f t="shared" ca="1" si="97"/>
        <v>29.640373242935166</v>
      </c>
      <c r="G207" s="306">
        <f t="shared" ca="1" si="98"/>
        <v>42.669922153973239</v>
      </c>
      <c r="H207" s="307">
        <f t="shared" ca="1" si="99"/>
        <v>207.39961271196631</v>
      </c>
      <c r="I207" s="304">
        <f t="shared" ca="1" si="100"/>
        <v>211.74352790510446</v>
      </c>
      <c r="J207" s="306">
        <f t="shared" ca="1" si="101"/>
        <v>67.117643965684536</v>
      </c>
      <c r="K207" s="307">
        <f t="shared" ca="1" si="102"/>
        <v>340.25836315811733</v>
      </c>
      <c r="L207" s="304">
        <f t="shared" ca="1" si="87"/>
        <v>346.81483796190963</v>
      </c>
      <c r="M207" s="306">
        <f t="shared" ca="1" si="103"/>
        <v>1.3678898710930063</v>
      </c>
      <c r="N207" s="304">
        <f t="shared" ca="1" si="104"/>
        <v>78.374316452323484</v>
      </c>
      <c r="P207" s="310">
        <f t="shared" ca="1" si="105"/>
        <v>23</v>
      </c>
      <c r="Q207" s="304">
        <f t="shared" ca="1" si="106"/>
        <v>0</v>
      </c>
      <c r="R207" s="306">
        <f t="shared" ca="1" si="107"/>
        <v>0</v>
      </c>
      <c r="S207" s="307">
        <f t="shared" ca="1" si="108"/>
        <v>7.150000000000003</v>
      </c>
      <c r="T207" s="304">
        <f t="shared" ca="1" si="88"/>
        <v>70.141500000000036</v>
      </c>
      <c r="U207" s="311">
        <f t="shared" ca="1" si="89"/>
        <v>0</v>
      </c>
      <c r="V207" s="306">
        <f t="shared" ca="1" si="90"/>
        <v>1.1840156145092371</v>
      </c>
      <c r="W207" s="304">
        <f t="shared" ca="1" si="91"/>
        <v>138.55019869069434</v>
      </c>
      <c r="Y207" s="314" t="str">
        <f t="shared" ca="1" si="109"/>
        <v/>
      </c>
      <c r="Z207" s="315" t="str">
        <f t="shared" ca="1" si="110"/>
        <v/>
      </c>
      <c r="AA207" s="316" t="str">
        <f t="shared" ca="1" si="111"/>
        <v/>
      </c>
      <c r="AC207" s="310" t="e">
        <f t="shared" ca="1" si="112"/>
        <v>#N/A</v>
      </c>
      <c r="AD207" s="323" t="e">
        <f t="shared" ca="1" si="113"/>
        <v>#N/A</v>
      </c>
      <c r="AE207" s="324">
        <f t="shared" ca="1" si="92"/>
        <v>340.25836315811733</v>
      </c>
      <c r="AG207" s="306">
        <f t="shared" ca="1" si="114"/>
        <v>-29.574970776690098</v>
      </c>
      <c r="AH207" s="304">
        <f t="shared" ca="1" si="115"/>
        <v>-19.96438960479594</v>
      </c>
    </row>
    <row r="208" spans="1:34" x14ac:dyDescent="0.2">
      <c r="A208" s="347">
        <f t="shared" ca="1" si="93"/>
        <v>0.1</v>
      </c>
      <c r="B208" s="304">
        <f t="shared" ca="1" si="94"/>
        <v>2.4000000000000017</v>
      </c>
      <c r="D208" s="306">
        <f t="shared" ca="1" si="95"/>
        <v>-3.9049260787954316</v>
      </c>
      <c r="E208" s="307">
        <f t="shared" ca="1" si="96"/>
        <v>-28.790117973700518</v>
      </c>
      <c r="F208" s="304">
        <f t="shared" ca="1" si="97"/>
        <v>29.053731956849369</v>
      </c>
      <c r="G208" s="306">
        <f t="shared" ca="1" si="98"/>
        <v>42.279429546093695</v>
      </c>
      <c r="H208" s="307">
        <f t="shared" ca="1" si="99"/>
        <v>204.52060091459626</v>
      </c>
      <c r="I208" s="304">
        <f t="shared" ca="1" si="100"/>
        <v>208.84498165196754</v>
      </c>
      <c r="J208" s="306">
        <f t="shared" ca="1" si="101"/>
        <v>71.365111550687885</v>
      </c>
      <c r="K208" s="307">
        <f t="shared" ca="1" si="102"/>
        <v>360.85437383944549</v>
      </c>
      <c r="L208" s="304">
        <f t="shared" ca="1" si="87"/>
        <v>367.84352415898314</v>
      </c>
      <c r="M208" s="306">
        <f t="shared" ca="1" si="103"/>
        <v>1.3669432923791616</v>
      </c>
      <c r="N208" s="304">
        <f t="shared" ca="1" si="104"/>
        <v>78.320081487043268</v>
      </c>
      <c r="P208" s="310">
        <f t="shared" ca="1" si="105"/>
        <v>23</v>
      </c>
      <c r="Q208" s="304">
        <f t="shared" ca="1" si="106"/>
        <v>0</v>
      </c>
      <c r="R208" s="306">
        <f t="shared" ca="1" si="107"/>
        <v>0</v>
      </c>
      <c r="S208" s="307">
        <f t="shared" ca="1" si="108"/>
        <v>7.150000000000003</v>
      </c>
      <c r="T208" s="304">
        <f t="shared" ca="1" si="88"/>
        <v>70.141500000000036</v>
      </c>
      <c r="U208" s="311">
        <f t="shared" ca="1" si="89"/>
        <v>0</v>
      </c>
      <c r="V208" s="306">
        <f t="shared" ca="1" si="90"/>
        <v>1.1815787761321765</v>
      </c>
      <c r="W208" s="304">
        <f t="shared" ca="1" si="91"/>
        <v>134.50554957619428</v>
      </c>
      <c r="Y208" s="314" t="str">
        <f t="shared" ca="1" si="109"/>
        <v/>
      </c>
      <c r="Z208" s="315" t="str">
        <f t="shared" ca="1" si="110"/>
        <v/>
      </c>
      <c r="AA208" s="316" t="str">
        <f t="shared" ca="1" si="111"/>
        <v/>
      </c>
      <c r="AC208" s="310" t="e">
        <f t="shared" ca="1" si="112"/>
        <v>#N/A</v>
      </c>
      <c r="AD208" s="323" t="e">
        <f t="shared" ca="1" si="113"/>
        <v>#N/A</v>
      </c>
      <c r="AE208" s="324">
        <f t="shared" ca="1" si="92"/>
        <v>360.85437383944549</v>
      </c>
      <c r="AG208" s="306">
        <f t="shared" ca="1" si="114"/>
        <v>-28.986398168576887</v>
      </c>
      <c r="AH208" s="304">
        <f t="shared" ca="1" si="115"/>
        <v>-19.377650166530671</v>
      </c>
    </row>
    <row r="209" spans="1:34" x14ac:dyDescent="0.2">
      <c r="A209" s="347">
        <f t="shared" ca="1" si="93"/>
        <v>0.1</v>
      </c>
      <c r="B209" s="304">
        <f t="shared" ca="1" si="94"/>
        <v>2.5000000000000018</v>
      </c>
      <c r="D209" s="306">
        <f t="shared" ca="1" si="95"/>
        <v>-3.808370886013281</v>
      </c>
      <c r="E209" s="307">
        <f t="shared" ca="1" si="96"/>
        <v>-28.232441136863763</v>
      </c>
      <c r="F209" s="304">
        <f t="shared" ca="1" si="97"/>
        <v>28.488145277499392</v>
      </c>
      <c r="G209" s="306">
        <f t="shared" ca="1" si="98"/>
        <v>41.89859245749237</v>
      </c>
      <c r="H209" s="307">
        <f t="shared" ca="1" si="99"/>
        <v>201.69735680090989</v>
      </c>
      <c r="I209" s="304">
        <f t="shared" ca="1" si="100"/>
        <v>206.00319364124573</v>
      </c>
      <c r="J209" s="306">
        <f t="shared" ca="1" si="101"/>
        <v>75.574012650867189</v>
      </c>
      <c r="K209" s="307">
        <f t="shared" ca="1" si="102"/>
        <v>381.1652717252208</v>
      </c>
      <c r="L209" s="304">
        <f t="shared" ca="1" si="87"/>
        <v>388.58512035011688</v>
      </c>
      <c r="M209" s="306">
        <f t="shared" ca="1" si="103"/>
        <v>1.3659792409642937</v>
      </c>
      <c r="N209" s="304">
        <f t="shared" ca="1" si="104"/>
        <v>78.264845409737717</v>
      </c>
      <c r="P209" s="310">
        <f t="shared" ca="1" si="105"/>
        <v>23</v>
      </c>
      <c r="Q209" s="304">
        <f t="shared" ca="1" si="106"/>
        <v>0</v>
      </c>
      <c r="R209" s="306">
        <f t="shared" ca="1" si="107"/>
        <v>0</v>
      </c>
      <c r="S209" s="307">
        <f t="shared" ca="1" si="108"/>
        <v>7.150000000000003</v>
      </c>
      <c r="T209" s="304">
        <f t="shared" ca="1" si="88"/>
        <v>70.141500000000036</v>
      </c>
      <c r="U209" s="311">
        <f t="shared" ca="1" si="89"/>
        <v>0</v>
      </c>
      <c r="V209" s="306">
        <f t="shared" ca="1" si="90"/>
        <v>1.1791804944282391</v>
      </c>
      <c r="W209" s="304">
        <f t="shared" ca="1" si="91"/>
        <v>130.60434542279737</v>
      </c>
      <c r="Y209" s="314" t="str">
        <f t="shared" ca="1" si="109"/>
        <v/>
      </c>
      <c r="Z209" s="315" t="str">
        <f t="shared" ca="1" si="110"/>
        <v/>
      </c>
      <c r="AA209" s="316" t="str">
        <f t="shared" ca="1" si="111"/>
        <v/>
      </c>
      <c r="AC209" s="310" t="e">
        <f t="shared" ca="1" si="112"/>
        <v>#N/A</v>
      </c>
      <c r="AD209" s="323" t="e">
        <f t="shared" ca="1" si="113"/>
        <v>#N/A</v>
      </c>
      <c r="AE209" s="324">
        <f t="shared" ca="1" si="92"/>
        <v>381.1652717252208</v>
      </c>
      <c r="AG209" s="306">
        <f t="shared" ca="1" si="114"/>
        <v>-28.418837398969032</v>
      </c>
      <c r="AH209" s="304">
        <f t="shared" ca="1" si="115"/>
        <v>-18.811964975691499</v>
      </c>
    </row>
    <row r="210" spans="1:34" x14ac:dyDescent="0.2">
      <c r="A210" s="347">
        <f t="shared" ca="1" si="93"/>
        <v>0.1</v>
      </c>
      <c r="B210" s="304">
        <f t="shared" ca="1" si="94"/>
        <v>2.6000000000000019</v>
      </c>
      <c r="D210" s="306">
        <f t="shared" ca="1" si="95"/>
        <v>-3.7151560921894689</v>
      </c>
      <c r="E210" s="307">
        <f t="shared" ca="1" si="96"/>
        <v>-27.694542652778686</v>
      </c>
      <c r="F210" s="304">
        <f t="shared" ca="1" si="97"/>
        <v>27.942621164377378</v>
      </c>
      <c r="G210" s="306">
        <f t="shared" ca="1" si="98"/>
        <v>41.527076848273424</v>
      </c>
      <c r="H210" s="307">
        <f t="shared" ca="1" si="99"/>
        <v>198.92790253563203</v>
      </c>
      <c r="I210" s="304">
        <f t="shared" ca="1" si="100"/>
        <v>203.21616205112309</v>
      </c>
      <c r="J210" s="306">
        <f t="shared" ca="1" si="101"/>
        <v>79.745296116155473</v>
      </c>
      <c r="K210" s="307">
        <f t="shared" ca="1" si="102"/>
        <v>401.19653469204792</v>
      </c>
      <c r="L210" s="304">
        <f t="shared" ca="1" si="87"/>
        <v>409.04519518209838</v>
      </c>
      <c r="M210" s="306">
        <f t="shared" ca="1" si="103"/>
        <v>1.3649974109314797</v>
      </c>
      <c r="N210" s="304">
        <f t="shared" ca="1" si="104"/>
        <v>78.208590692658291</v>
      </c>
      <c r="P210" s="310">
        <f t="shared" ca="1" si="105"/>
        <v>23</v>
      </c>
      <c r="Q210" s="304">
        <f t="shared" ca="1" si="106"/>
        <v>0</v>
      </c>
      <c r="R210" s="306">
        <f t="shared" ca="1" si="107"/>
        <v>0</v>
      </c>
      <c r="S210" s="307">
        <f t="shared" ca="1" si="108"/>
        <v>7.150000000000003</v>
      </c>
      <c r="T210" s="304">
        <f t="shared" ca="1" si="88"/>
        <v>70.141500000000036</v>
      </c>
      <c r="U210" s="311">
        <f t="shared" ca="1" si="89"/>
        <v>0</v>
      </c>
      <c r="V210" s="306">
        <f t="shared" ca="1" si="90"/>
        <v>1.1768199087821125</v>
      </c>
      <c r="W210" s="304">
        <f t="shared" ca="1" si="91"/>
        <v>126.83991161025551</v>
      </c>
      <c r="Y210" s="314" t="str">
        <f t="shared" ca="1" si="109"/>
        <v/>
      </c>
      <c r="Z210" s="315" t="str">
        <f t="shared" ca="1" si="110"/>
        <v/>
      </c>
      <c r="AA210" s="316" t="str">
        <f t="shared" ca="1" si="111"/>
        <v/>
      </c>
      <c r="AC210" s="310" t="e">
        <f t="shared" ca="1" si="112"/>
        <v>#N/A</v>
      </c>
      <c r="AD210" s="323" t="e">
        <f t="shared" ca="1" si="113"/>
        <v>#N/A</v>
      </c>
      <c r="AE210" s="324">
        <f t="shared" ca="1" si="92"/>
        <v>401.19653469204792</v>
      </c>
      <c r="AG210" s="306">
        <f t="shared" ca="1" si="114"/>
        <v>-27.871295393104845</v>
      </c>
      <c r="AH210" s="304">
        <f t="shared" ca="1" si="115"/>
        <v>-18.266342017174448</v>
      </c>
    </row>
    <row r="211" spans="1:34" x14ac:dyDescent="0.2">
      <c r="A211" s="347">
        <f t="shared" ca="1" si="93"/>
        <v>0.1</v>
      </c>
      <c r="B211" s="304">
        <f t="shared" ca="1" si="94"/>
        <v>2.700000000000002</v>
      </c>
      <c r="D211" s="306">
        <f t="shared" ca="1" si="95"/>
        <v>-3.6251251598490133</v>
      </c>
      <c r="E211" s="307">
        <f t="shared" ca="1" si="96"/>
        <v>-27.175502202640466</v>
      </c>
      <c r="F211" s="304">
        <f t="shared" ca="1" si="97"/>
        <v>27.416226078552224</v>
      </c>
      <c r="G211" s="306">
        <f t="shared" ca="1" si="98"/>
        <v>41.164564332288521</v>
      </c>
      <c r="H211" s="307">
        <f t="shared" ca="1" si="99"/>
        <v>196.21035231536797</v>
      </c>
      <c r="I211" s="304">
        <f t="shared" ca="1" si="100"/>
        <v>200.48197852272895</v>
      </c>
      <c r="J211" s="306">
        <f t="shared" ca="1" si="101"/>
        <v>83.879878175183563</v>
      </c>
      <c r="K211" s="307">
        <f t="shared" ca="1" si="102"/>
        <v>420.95344743459793</v>
      </c>
      <c r="L211" s="304">
        <f t="shared" ca="1" si="87"/>
        <v>429.22912164688501</v>
      </c>
      <c r="M211" s="306">
        <f t="shared" ca="1" si="103"/>
        <v>1.3639974872439269</v>
      </c>
      <c r="N211" s="304">
        <f t="shared" ca="1" si="104"/>
        <v>78.151299285526349</v>
      </c>
      <c r="P211" s="310">
        <f t="shared" ca="1" si="105"/>
        <v>23</v>
      </c>
      <c r="Q211" s="304">
        <f t="shared" ca="1" si="106"/>
        <v>0</v>
      </c>
      <c r="R211" s="306">
        <f t="shared" ca="1" si="107"/>
        <v>0</v>
      </c>
      <c r="S211" s="307">
        <f t="shared" ca="1" si="108"/>
        <v>7.150000000000003</v>
      </c>
      <c r="T211" s="304">
        <f t="shared" ca="1" si="88"/>
        <v>70.141500000000036</v>
      </c>
      <c r="U211" s="311">
        <f t="shared" ca="1" si="89"/>
        <v>0</v>
      </c>
      <c r="V211" s="306">
        <f t="shared" ca="1" si="90"/>
        <v>1.1744961903287467</v>
      </c>
      <c r="W211" s="304">
        <f t="shared" ca="1" si="91"/>
        <v>123.20596240135626</v>
      </c>
      <c r="Y211" s="314" t="str">
        <f t="shared" ca="1" si="109"/>
        <v/>
      </c>
      <c r="Z211" s="315" t="str">
        <f t="shared" ca="1" si="110"/>
        <v/>
      </c>
      <c r="AA211" s="316" t="str">
        <f t="shared" ca="1" si="111"/>
        <v/>
      </c>
      <c r="AC211" s="310" t="e">
        <f t="shared" ca="1" si="112"/>
        <v>#N/A</v>
      </c>
      <c r="AD211" s="323" t="e">
        <f t="shared" ca="1" si="113"/>
        <v>#N/A</v>
      </c>
      <c r="AE211" s="324">
        <f t="shared" ca="1" si="92"/>
        <v>420.95344743459793</v>
      </c>
      <c r="AG211" s="306">
        <f t="shared" ca="1" si="114"/>
        <v>-27.342837540763739</v>
      </c>
      <c r="AH211" s="304">
        <f t="shared" ca="1" si="115"/>
        <v>-17.739847777658106</v>
      </c>
    </row>
    <row r="212" spans="1:34" x14ac:dyDescent="0.2">
      <c r="A212" s="347">
        <f t="shared" ca="1" si="93"/>
        <v>0.1</v>
      </c>
      <c r="B212" s="304">
        <f t="shared" ca="1" si="94"/>
        <v>2.800000000000002</v>
      </c>
      <c r="D212" s="306">
        <f t="shared" ca="1" si="95"/>
        <v>-3.5381306636434817</v>
      </c>
      <c r="E212" s="307">
        <f t="shared" ca="1" si="96"/>
        <v>-26.674453087549537</v>
      </c>
      <c r="F212" s="304">
        <f t="shared" ca="1" si="97"/>
        <v>26.90808087011958</v>
      </c>
      <c r="G212" s="306">
        <f t="shared" ca="1" si="98"/>
        <v>40.810751265924175</v>
      </c>
      <c r="H212" s="307">
        <f t="shared" ca="1" si="99"/>
        <v>193.54290700661301</v>
      </c>
      <c r="I212" s="304">
        <f t="shared" ca="1" si="100"/>
        <v>197.79882272516079</v>
      </c>
      <c r="J212" s="306">
        <f t="shared" ca="1" si="101"/>
        <v>87.978643955094199</v>
      </c>
      <c r="K212" s="307">
        <f t="shared" ca="1" si="102"/>
        <v>440.44111040069697</v>
      </c>
      <c r="L212" s="304">
        <f t="shared" ca="1" si="87"/>
        <v>449.14208611883186</v>
      </c>
      <c r="M212" s="306">
        <f t="shared" ca="1" si="103"/>
        <v>1.3629791454600848</v>
      </c>
      <c r="N212" s="304">
        <f t="shared" ca="1" si="104"/>
        <v>78.092952599210378</v>
      </c>
      <c r="P212" s="310">
        <f t="shared" ca="1" si="105"/>
        <v>23</v>
      </c>
      <c r="Q212" s="304">
        <f t="shared" ca="1" si="106"/>
        <v>0</v>
      </c>
      <c r="R212" s="306">
        <f t="shared" ca="1" si="107"/>
        <v>0</v>
      </c>
      <c r="S212" s="307">
        <f t="shared" ca="1" si="108"/>
        <v>7.150000000000003</v>
      </c>
      <c r="T212" s="304">
        <f t="shared" ca="1" si="88"/>
        <v>70.141500000000036</v>
      </c>
      <c r="U212" s="311">
        <f t="shared" ca="1" si="89"/>
        <v>0</v>
      </c>
      <c r="V212" s="306">
        <f t="shared" ca="1" si="90"/>
        <v>1.1722085404295586</v>
      </c>
      <c r="W212" s="304">
        <f t="shared" ca="1" si="91"/>
        <v>119.69657393171246</v>
      </c>
      <c r="Y212" s="314" t="str">
        <f t="shared" ca="1" si="109"/>
        <v/>
      </c>
      <c r="Z212" s="315" t="str">
        <f t="shared" ca="1" si="110"/>
        <v/>
      </c>
      <c r="AA212" s="316" t="str">
        <f t="shared" ca="1" si="111"/>
        <v/>
      </c>
      <c r="AC212" s="310" t="e">
        <f t="shared" ca="1" si="112"/>
        <v>#N/A</v>
      </c>
      <c r="AD212" s="323" t="e">
        <f t="shared" ca="1" si="113"/>
        <v>#N/A</v>
      </c>
      <c r="AE212" s="324">
        <f t="shared" ca="1" si="92"/>
        <v>440.44111040069697</v>
      </c>
      <c r="AG212" s="306">
        <f t="shared" ca="1" si="114"/>
        <v>-26.832583582257335</v>
      </c>
      <c r="AH212" s="304">
        <f t="shared" ca="1" si="115"/>
        <v>-17.231603133056812</v>
      </c>
    </row>
    <row r="213" spans="1:34" x14ac:dyDescent="0.2">
      <c r="A213" s="347">
        <f t="shared" ca="1" si="93"/>
        <v>0.1</v>
      </c>
      <c r="B213" s="304">
        <f t="shared" ca="1" si="94"/>
        <v>2.9000000000000021</v>
      </c>
      <c r="D213" s="306">
        <f t="shared" ca="1" si="95"/>
        <v>-3.4540336572867165</v>
      </c>
      <c r="E213" s="307">
        <f t="shared" ca="1" si="96"/>
        <v>-26.190578504276068</v>
      </c>
      <c r="F213" s="304">
        <f t="shared" ca="1" si="97"/>
        <v>26.417357000546385</v>
      </c>
      <c r="G213" s="306">
        <f t="shared" ca="1" si="98"/>
        <v>40.465347900195503</v>
      </c>
      <c r="H213" s="307">
        <f t="shared" ca="1" si="99"/>
        <v>190.92384915618541</v>
      </c>
      <c r="I213" s="304">
        <f t="shared" ca="1" si="100"/>
        <v>195.16495729842921</v>
      </c>
      <c r="J213" s="306">
        <f t="shared" ca="1" si="101"/>
        <v>92.042448913400179</v>
      </c>
      <c r="K213" s="307">
        <f t="shared" ca="1" si="102"/>
        <v>459.66444820883692</v>
      </c>
      <c r="L213" s="304">
        <f t="shared" ca="1" si="87"/>
        <v>468.78909687524771</v>
      </c>
      <c r="M213" s="306">
        <f t="shared" ca="1" si="103"/>
        <v>1.3619420514366916</v>
      </c>
      <c r="N213" s="304">
        <f t="shared" ca="1" si="104"/>
        <v>78.033531488711702</v>
      </c>
      <c r="P213" s="310">
        <f t="shared" ca="1" si="105"/>
        <v>23</v>
      </c>
      <c r="Q213" s="304">
        <f t="shared" ca="1" si="106"/>
        <v>0</v>
      </c>
      <c r="R213" s="306">
        <f t="shared" ca="1" si="107"/>
        <v>0</v>
      </c>
      <c r="S213" s="307">
        <f t="shared" ca="1" si="108"/>
        <v>7.150000000000003</v>
      </c>
      <c r="T213" s="304">
        <f t="shared" ca="1" si="88"/>
        <v>70.141500000000036</v>
      </c>
      <c r="U213" s="311">
        <f t="shared" ca="1" si="89"/>
        <v>0</v>
      </c>
      <c r="V213" s="306">
        <f t="shared" ca="1" si="90"/>
        <v>1.1699561892394454</v>
      </c>
      <c r="W213" s="304">
        <f t="shared" ca="1" si="91"/>
        <v>116.30615937304361</v>
      </c>
      <c r="Y213" s="314" t="str">
        <f t="shared" ca="1" si="109"/>
        <v/>
      </c>
      <c r="Z213" s="315" t="str">
        <f t="shared" ca="1" si="110"/>
        <v/>
      </c>
      <c r="AA213" s="316" t="str">
        <f t="shared" ca="1" si="111"/>
        <v/>
      </c>
      <c r="AC213" s="310" t="e">
        <f t="shared" ca="1" si="112"/>
        <v>#N/A</v>
      </c>
      <c r="AD213" s="323" t="e">
        <f t="shared" ca="1" si="113"/>
        <v>#N/A</v>
      </c>
      <c r="AE213" s="324">
        <f t="shared" ca="1" si="92"/>
        <v>459.66444820883692</v>
      </c>
      <c r="AG213" s="306">
        <f t="shared" ca="1" si="114"/>
        <v>-26.339703829245444</v>
      </c>
      <c r="AH213" s="304">
        <f t="shared" ca="1" si="115"/>
        <v>-16.74077957086887</v>
      </c>
    </row>
    <row r="214" spans="1:34" x14ac:dyDescent="0.2">
      <c r="A214" s="347">
        <f t="shared" ca="1" si="93"/>
        <v>0.1</v>
      </c>
      <c r="B214" s="304">
        <f t="shared" ca="1" si="94"/>
        <v>3.0000000000000022</v>
      </c>
      <c r="D214" s="306">
        <f t="shared" ca="1" si="95"/>
        <v>-3.3727030914360183</v>
      </c>
      <c r="E214" s="307">
        <f t="shared" ca="1" si="96"/>
        <v>-25.723108120709355</v>
      </c>
      <c r="F214" s="304">
        <f t="shared" ca="1" si="97"/>
        <v>25.943273068999709</v>
      </c>
      <c r="G214" s="306">
        <f t="shared" ca="1" si="98"/>
        <v>40.128077591051898</v>
      </c>
      <c r="H214" s="307">
        <f t="shared" ca="1" si="99"/>
        <v>188.35153834411449</v>
      </c>
      <c r="I214" s="304">
        <f t="shared" ca="1" si="100"/>
        <v>192.57872314393384</v>
      </c>
      <c r="J214" s="306">
        <f t="shared" ca="1" si="101"/>
        <v>96.072120187962554</v>
      </c>
      <c r="K214" s="307">
        <f t="shared" ca="1" si="102"/>
        <v>478.62821758385189</v>
      </c>
      <c r="L214" s="304">
        <f t="shared" ca="1" si="87"/>
        <v>488.1749921338714</v>
      </c>
      <c r="M214" s="306">
        <f t="shared" ca="1" si="103"/>
        <v>1.3608858610192198</v>
      </c>
      <c r="N214" s="304">
        <f t="shared" ca="1" si="104"/>
        <v>77.973016235428418</v>
      </c>
      <c r="P214" s="310">
        <f t="shared" ca="1" si="105"/>
        <v>23</v>
      </c>
      <c r="Q214" s="304">
        <f t="shared" ca="1" si="106"/>
        <v>0</v>
      </c>
      <c r="R214" s="306">
        <f t="shared" ca="1" si="107"/>
        <v>0</v>
      </c>
      <c r="S214" s="307">
        <f t="shared" ca="1" si="108"/>
        <v>7.150000000000003</v>
      </c>
      <c r="T214" s="304">
        <f t="shared" ca="1" si="88"/>
        <v>70.141500000000036</v>
      </c>
      <c r="U214" s="311">
        <f t="shared" ca="1" si="89"/>
        <v>0</v>
      </c>
      <c r="V214" s="306">
        <f t="shared" ca="1" si="90"/>
        <v>1.1677383943581943</v>
      </c>
      <c r="W214" s="304">
        <f t="shared" ca="1" si="91"/>
        <v>113.0294460716887</v>
      </c>
      <c r="Y214" s="314" t="str">
        <f t="shared" ca="1" si="109"/>
        <v/>
      </c>
      <c r="Z214" s="315" t="str">
        <f t="shared" ca="1" si="110"/>
        <v/>
      </c>
      <c r="AA214" s="316" t="str">
        <f t="shared" ca="1" si="111"/>
        <v/>
      </c>
      <c r="AC214" s="310">
        <f t="shared" ca="1" si="112"/>
        <v>3.0000000000000022</v>
      </c>
      <c r="AD214" s="323">
        <f t="shared" ca="1" si="113"/>
        <v>96.072120187962554</v>
      </c>
      <c r="AE214" s="324">
        <f t="shared" ca="1" si="92"/>
        <v>478.62821758385189</v>
      </c>
      <c r="AG214" s="306">
        <f t="shared" ca="1" si="114"/>
        <v>-25.863415689463071</v>
      </c>
      <c r="AH214" s="304">
        <f t="shared" ca="1" si="115"/>
        <v>-16.266595716509588</v>
      </c>
    </row>
    <row r="215" spans="1:34" x14ac:dyDescent="0.2">
      <c r="A215" s="347">
        <f t="shared" ca="1" si="93"/>
        <v>0.1</v>
      </c>
      <c r="B215" s="304">
        <f t="shared" ca="1" si="94"/>
        <v>3.1000000000000023</v>
      </c>
      <c r="D215" s="306">
        <f t="shared" ca="1" si="95"/>
        <v>-3.2940152778716785</v>
      </c>
      <c r="E215" s="307">
        <f t="shared" ca="1" si="96"/>
        <v>-25.271314923655744</v>
      </c>
      <c r="F215" s="304">
        <f t="shared" ca="1" si="97"/>
        <v>25.485091614931218</v>
      </c>
      <c r="G215" s="306">
        <f t="shared" ca="1" si="98"/>
        <v>39.798676063264729</v>
      </c>
      <c r="H215" s="307">
        <f t="shared" ca="1" si="99"/>
        <v>185.8244068517489</v>
      </c>
      <c r="I215" s="304">
        <f t="shared" ca="1" si="100"/>
        <v>190.03853503485283</v>
      </c>
      <c r="J215" s="306">
        <f t="shared" ca="1" si="101"/>
        <v>100.06845787067839</v>
      </c>
      <c r="K215" s="307">
        <f t="shared" ca="1" si="102"/>
        <v>497.33701484364508</v>
      </c>
      <c r="L215" s="304">
        <f t="shared" ca="1" si="87"/>
        <v>507.30444763889443</v>
      </c>
      <c r="M215" s="306">
        <f t="shared" ca="1" si="103"/>
        <v>1.3598102197191644</v>
      </c>
      <c r="N215" s="304">
        <f t="shared" ca="1" si="104"/>
        <v>77.911386528665275</v>
      </c>
      <c r="P215" s="310">
        <f t="shared" ca="1" si="105"/>
        <v>23</v>
      </c>
      <c r="Q215" s="304">
        <f t="shared" ca="1" si="106"/>
        <v>0</v>
      </c>
      <c r="R215" s="306">
        <f t="shared" ca="1" si="107"/>
        <v>0</v>
      </c>
      <c r="S215" s="307">
        <f t="shared" ca="1" si="108"/>
        <v>7.150000000000003</v>
      </c>
      <c r="T215" s="304">
        <f t="shared" ca="1" si="88"/>
        <v>70.141500000000036</v>
      </c>
      <c r="U215" s="311">
        <f t="shared" ca="1" si="89"/>
        <v>0</v>
      </c>
      <c r="V215" s="306">
        <f t="shared" ca="1" si="90"/>
        <v>1.1655544395603907</v>
      </c>
      <c r="W215" s="304">
        <f t="shared" ca="1" si="91"/>
        <v>109.86145448426194</v>
      </c>
      <c r="Y215" s="314" t="str">
        <f t="shared" ca="1" si="109"/>
        <v/>
      </c>
      <c r="Z215" s="315" t="str">
        <f t="shared" ca="1" si="110"/>
        <v/>
      </c>
      <c r="AA215" s="316" t="str">
        <f t="shared" ca="1" si="111"/>
        <v/>
      </c>
      <c r="AC215" s="310" t="e">
        <f t="shared" ca="1" si="112"/>
        <v>#N/A</v>
      </c>
      <c r="AD215" s="323" t="e">
        <f t="shared" ca="1" si="113"/>
        <v>#N/A</v>
      </c>
      <c r="AE215" s="324">
        <f t="shared" ca="1" si="92"/>
        <v>497.33701484364508</v>
      </c>
      <c r="AG215" s="306">
        <f t="shared" ca="1" si="114"/>
        <v>-25.402980467625881</v>
      </c>
      <c r="AH215" s="304">
        <f t="shared" ca="1" si="115"/>
        <v>-15.80831413590051</v>
      </c>
    </row>
    <row r="216" spans="1:34" x14ac:dyDescent="0.2">
      <c r="A216" s="347">
        <f t="shared" ca="1" si="93"/>
        <v>0.1</v>
      </c>
      <c r="B216" s="304">
        <f t="shared" ca="1" si="94"/>
        <v>3.2000000000000024</v>
      </c>
      <c r="D216" s="306">
        <f t="shared" ca="1" si="95"/>
        <v>-3.2178533958005273</v>
      </c>
      <c r="E216" s="307">
        <f t="shared" ca="1" si="96"/>
        <v>-24.834512314429695</v>
      </c>
      <c r="F216" s="304">
        <f t="shared" ca="1" si="97"/>
        <v>25.042116172009607</v>
      </c>
      <c r="G216" s="306">
        <f t="shared" ca="1" si="98"/>
        <v>39.476890723684676</v>
      </c>
      <c r="H216" s="307">
        <f t="shared" ca="1" si="99"/>
        <v>183.34095562030595</v>
      </c>
      <c r="I216" s="304">
        <f t="shared" ca="1" si="100"/>
        <v>187.54287752131972</v>
      </c>
      <c r="J216" s="306">
        <f t="shared" ca="1" si="101"/>
        <v>104.03223621002586</v>
      </c>
      <c r="K216" s="307">
        <f t="shared" ca="1" si="102"/>
        <v>515.79528296724777</v>
      </c>
      <c r="L216" s="304">
        <f t="shared" ca="1" si="87"/>
        <v>526.18198382510388</v>
      </c>
      <c r="M216" s="306">
        <f t="shared" ca="1" si="103"/>
        <v>1.3587147623775839</v>
      </c>
      <c r="N216" s="304">
        <f t="shared" ca="1" si="104"/>
        <v>77.848621446356091</v>
      </c>
      <c r="P216" s="310">
        <f t="shared" ca="1" si="105"/>
        <v>23</v>
      </c>
      <c r="Q216" s="304">
        <f t="shared" ca="1" si="106"/>
        <v>0</v>
      </c>
      <c r="R216" s="306">
        <f t="shared" ca="1" si="107"/>
        <v>0</v>
      </c>
      <c r="S216" s="307">
        <f t="shared" ca="1" si="108"/>
        <v>7.150000000000003</v>
      </c>
      <c r="T216" s="304">
        <f t="shared" ca="1" si="88"/>
        <v>70.141500000000036</v>
      </c>
      <c r="U216" s="311">
        <f t="shared" ca="1" si="89"/>
        <v>0</v>
      </c>
      <c r="V216" s="306">
        <f t="shared" ca="1" si="90"/>
        <v>1.1634036335984057</v>
      </c>
      <c r="W216" s="304">
        <f t="shared" ca="1" si="91"/>
        <v>106.79747875027064</v>
      </c>
      <c r="Y216" s="314" t="str">
        <f t="shared" ca="1" si="109"/>
        <v/>
      </c>
      <c r="Z216" s="315" t="str">
        <f t="shared" ca="1" si="110"/>
        <v/>
      </c>
      <c r="AA216" s="316" t="str">
        <f t="shared" ca="1" si="111"/>
        <v/>
      </c>
      <c r="AC216" s="310" t="e">
        <f t="shared" ca="1" si="112"/>
        <v>#N/A</v>
      </c>
      <c r="AD216" s="323" t="e">
        <f t="shared" ca="1" si="113"/>
        <v>#N/A</v>
      </c>
      <c r="AE216" s="324">
        <f t="shared" ca="1" si="92"/>
        <v>515.79528296724777</v>
      </c>
      <c r="AG216" s="306">
        <f t="shared" ca="1" si="114"/>
        <v>-24.957700417602396</v>
      </c>
      <c r="AH216" s="304">
        <f t="shared" ca="1" si="115"/>
        <v>-15.365238389407258</v>
      </c>
    </row>
    <row r="217" spans="1:34" x14ac:dyDescent="0.2">
      <c r="A217" s="347">
        <f t="shared" ca="1" si="93"/>
        <v>0.1</v>
      </c>
      <c r="B217" s="304">
        <f t="shared" ca="1" si="94"/>
        <v>3.3000000000000025</v>
      </c>
      <c r="D217" s="306">
        <f t="shared" ca="1" si="95"/>
        <v>-3.1441070365289057</v>
      </c>
      <c r="E217" s="307">
        <f t="shared" ca="1" si="96"/>
        <v>-24.41205143015209</v>
      </c>
      <c r="F217" s="304">
        <f t="shared" ca="1" si="97"/>
        <v>24.61368855099823</v>
      </c>
      <c r="G217" s="306">
        <f t="shared" ca="1" si="98"/>
        <v>39.162480020031786</v>
      </c>
      <c r="H217" s="307">
        <f t="shared" ca="1" si="99"/>
        <v>180.89975047729075</v>
      </c>
      <c r="I217" s="304">
        <f t="shared" ca="1" si="100"/>
        <v>185.09030110750115</v>
      </c>
      <c r="J217" s="306">
        <f t="shared" ca="1" si="101"/>
        <v>107.96420474721168</v>
      </c>
      <c r="K217" s="307">
        <f t="shared" ca="1" si="102"/>
        <v>534.00731827212758</v>
      </c>
      <c r="L217" s="304">
        <f t="shared" ca="1" si="87"/>
        <v>544.81197258768748</v>
      </c>
      <c r="M217" s="306">
        <f t="shared" ca="1" si="103"/>
        <v>1.3575991128142724</v>
      </c>
      <c r="N217" s="304">
        <f t="shared" ca="1" si="104"/>
        <v>77.784699434962718</v>
      </c>
      <c r="P217" s="310">
        <f t="shared" ca="1" si="105"/>
        <v>23</v>
      </c>
      <c r="Q217" s="304">
        <f t="shared" ca="1" si="106"/>
        <v>0</v>
      </c>
      <c r="R217" s="306">
        <f t="shared" ca="1" si="107"/>
        <v>0</v>
      </c>
      <c r="S217" s="307">
        <f t="shared" ca="1" si="108"/>
        <v>7.150000000000003</v>
      </c>
      <c r="T217" s="304">
        <f t="shared" ca="1" si="88"/>
        <v>70.141500000000036</v>
      </c>
      <c r="U217" s="311">
        <f t="shared" ca="1" si="89"/>
        <v>0</v>
      </c>
      <c r="V217" s="306">
        <f t="shared" ca="1" si="90"/>
        <v>1.1612853090734749</v>
      </c>
      <c r="W217" s="304">
        <f t="shared" ca="1" si="91"/>
        <v>103.83306875744174</v>
      </c>
      <c r="Y217" s="314" t="str">
        <f t="shared" ca="1" si="109"/>
        <v/>
      </c>
      <c r="Z217" s="315" t="str">
        <f t="shared" ca="1" si="110"/>
        <v/>
      </c>
      <c r="AA217" s="316" t="str">
        <f t="shared" ca="1" si="111"/>
        <v/>
      </c>
      <c r="AC217" s="310" t="e">
        <f t="shared" ca="1" si="112"/>
        <v>#N/A</v>
      </c>
      <c r="AD217" s="323" t="e">
        <f t="shared" ca="1" si="113"/>
        <v>#N/A</v>
      </c>
      <c r="AE217" s="324">
        <f t="shared" ca="1" si="92"/>
        <v>534.00731827212758</v>
      </c>
      <c r="AG217" s="306">
        <f t="shared" ca="1" si="114"/>
        <v>-24.526916023445644</v>
      </c>
      <c r="AH217" s="304">
        <f t="shared" ca="1" si="115"/>
        <v>-14.936710314723161</v>
      </c>
    </row>
    <row r="218" spans="1:34" x14ac:dyDescent="0.2">
      <c r="A218" s="347">
        <f t="shared" ca="1" si="93"/>
        <v>0.1</v>
      </c>
      <c r="B218" s="304">
        <f t="shared" ca="1" si="94"/>
        <v>3.4000000000000026</v>
      </c>
      <c r="D218" s="306">
        <f t="shared" ca="1" si="95"/>
        <v>-3.0726717831238877</v>
      </c>
      <c r="E218" s="307">
        <f t="shared" ca="1" si="96"/>
        <v>-24.003318670865728</v>
      </c>
      <c r="F218" s="304">
        <f t="shared" ca="1" si="97"/>
        <v>24.199186331402487</v>
      </c>
      <c r="G218" s="306">
        <f t="shared" ca="1" si="98"/>
        <v>38.8552128417194</v>
      </c>
      <c r="H218" s="307">
        <f t="shared" ca="1" si="99"/>
        <v>178.49941861020417</v>
      </c>
      <c r="I218" s="304">
        <f t="shared" ca="1" si="100"/>
        <v>182.67941867970848</v>
      </c>
      <c r="J218" s="306">
        <f t="shared" ca="1" si="101"/>
        <v>111.86508939029925</v>
      </c>
      <c r="K218" s="307">
        <f t="shared" ca="1" si="102"/>
        <v>551.97727672650228</v>
      </c>
      <c r="L218" s="304">
        <f t="shared" ca="1" si="87"/>
        <v>563.19864368329695</v>
      </c>
      <c r="M218" s="306">
        <f t="shared" ca="1" si="103"/>
        <v>1.3564628834619008</v>
      </c>
      <c r="N218" s="304">
        <f t="shared" ca="1" si="104"/>
        <v>77.719598288512955</v>
      </c>
      <c r="P218" s="310">
        <f t="shared" ca="1" si="105"/>
        <v>23</v>
      </c>
      <c r="Q218" s="304">
        <f t="shared" ca="1" si="106"/>
        <v>0</v>
      </c>
      <c r="R218" s="306">
        <f t="shared" ca="1" si="107"/>
        <v>0</v>
      </c>
      <c r="S218" s="307">
        <f t="shared" ca="1" si="108"/>
        <v>7.150000000000003</v>
      </c>
      <c r="T218" s="304">
        <f t="shared" ca="1" si="88"/>
        <v>70.141500000000036</v>
      </c>
      <c r="U218" s="311">
        <f t="shared" ca="1" si="89"/>
        <v>0</v>
      </c>
      <c r="V218" s="306">
        <f t="shared" ca="1" si="90"/>
        <v>1.1591988213702751</v>
      </c>
      <c r="W218" s="304">
        <f t="shared" ca="1" si="91"/>
        <v>100.96401356968623</v>
      </c>
      <c r="Y218" s="314" t="str">
        <f t="shared" ca="1" si="109"/>
        <v/>
      </c>
      <c r="Z218" s="315" t="str">
        <f t="shared" ca="1" si="110"/>
        <v/>
      </c>
      <c r="AA218" s="316" t="str">
        <f t="shared" ca="1" si="111"/>
        <v/>
      </c>
      <c r="AC218" s="310" t="e">
        <f t="shared" ca="1" si="112"/>
        <v>#N/A</v>
      </c>
      <c r="AD218" s="323" t="e">
        <f t="shared" ca="1" si="113"/>
        <v>#N/A</v>
      </c>
      <c r="AE218" s="324">
        <f t="shared" ca="1" si="92"/>
        <v>551.97727672650228</v>
      </c>
      <c r="AG218" s="306">
        <f t="shared" ca="1" si="114"/>
        <v>-24.110003489104248</v>
      </c>
      <c r="AH218" s="304">
        <f t="shared" ca="1" si="115"/>
        <v>-14.522107518523313</v>
      </c>
    </row>
    <row r="219" spans="1:34" x14ac:dyDescent="0.2">
      <c r="A219" s="347">
        <f t="shared" ca="1" si="93"/>
        <v>0.1</v>
      </c>
      <c r="B219" s="304">
        <f t="shared" ca="1" si="94"/>
        <v>3.5000000000000027</v>
      </c>
      <c r="D219" s="306">
        <f t="shared" ca="1" si="95"/>
        <v>-3.003448822014021</v>
      </c>
      <c r="E219" s="307">
        <f t="shared" ca="1" si="96"/>
        <v>-23.607733414533563</v>
      </c>
      <c r="F219" s="304">
        <f t="shared" ca="1" si="97"/>
        <v>23.798020543695266</v>
      </c>
      <c r="G219" s="306">
        <f t="shared" ca="1" si="98"/>
        <v>38.554867959517999</v>
      </c>
      <c r="H219" s="307">
        <f t="shared" ca="1" si="99"/>
        <v>176.13864526875082</v>
      </c>
      <c r="I219" s="304">
        <f t="shared" ca="1" si="100"/>
        <v>180.3089021664951</v>
      </c>
      <c r="J219" s="306">
        <f t="shared" ca="1" si="101"/>
        <v>115.73559343036112</v>
      </c>
      <c r="K219" s="307">
        <f t="shared" ca="1" si="102"/>
        <v>569.70917992045008</v>
      </c>
      <c r="L219" s="304">
        <f t="shared" ca="1" si="87"/>
        <v>581.34609078612505</v>
      </c>
      <c r="M219" s="306">
        <f t="shared" ca="1" si="103"/>
        <v>1.3553056749844397</v>
      </c>
      <c r="N219" s="304">
        <f t="shared" ca="1" si="104"/>
        <v>77.65329512673766</v>
      </c>
      <c r="P219" s="310">
        <f t="shared" ca="1" si="105"/>
        <v>23</v>
      </c>
      <c r="Q219" s="304">
        <f t="shared" ca="1" si="106"/>
        <v>0</v>
      </c>
      <c r="R219" s="306">
        <f t="shared" ca="1" si="107"/>
        <v>0</v>
      </c>
      <c r="S219" s="307">
        <f t="shared" ca="1" si="108"/>
        <v>7.150000000000003</v>
      </c>
      <c r="T219" s="304">
        <f t="shared" ca="1" si="88"/>
        <v>70.141500000000036</v>
      </c>
      <c r="U219" s="311">
        <f t="shared" ca="1" si="89"/>
        <v>0</v>
      </c>
      <c r="V219" s="306">
        <f t="shared" ca="1" si="90"/>
        <v>1.1571435476507548</v>
      </c>
      <c r="W219" s="304">
        <f t="shared" ca="1" si="91"/>
        <v>98.186326100277412</v>
      </c>
      <c r="Y219" s="314" t="str">
        <f t="shared" ca="1" si="109"/>
        <v/>
      </c>
      <c r="Z219" s="315" t="str">
        <f t="shared" ca="1" si="110"/>
        <v/>
      </c>
      <c r="AA219" s="316" t="str">
        <f t="shared" ca="1" si="111"/>
        <v/>
      </c>
      <c r="AC219" s="310" t="e">
        <f t="shared" ca="1" si="112"/>
        <v>#N/A</v>
      </c>
      <c r="AD219" s="323" t="e">
        <f t="shared" ca="1" si="113"/>
        <v>#N/A</v>
      </c>
      <c r="AE219" s="324">
        <f t="shared" ca="1" si="92"/>
        <v>569.70917992045008</v>
      </c>
      <c r="AG219" s="306">
        <f t="shared" ca="1" si="114"/>
        <v>-23.706372418616283</v>
      </c>
      <c r="AH219" s="304">
        <f t="shared" ca="1" si="115"/>
        <v>-14.120841058697369</v>
      </c>
    </row>
    <row r="220" spans="1:34" x14ac:dyDescent="0.2">
      <c r="A220" s="347">
        <f t="shared" ca="1" si="93"/>
        <v>0.1</v>
      </c>
      <c r="B220" s="304">
        <f t="shared" ca="1" si="94"/>
        <v>3.6000000000000028</v>
      </c>
      <c r="D220" s="306">
        <f t="shared" ca="1" si="95"/>
        <v>-2.9363445837772408</v>
      </c>
      <c r="E220" s="307">
        <f t="shared" ca="1" si="96"/>
        <v>-23.224745903729019</v>
      </c>
      <c r="F220" s="304">
        <f t="shared" ca="1" si="97"/>
        <v>23.409633525697402</v>
      </c>
      <c r="G220" s="306">
        <f t="shared" ca="1" si="98"/>
        <v>38.261233501140275</v>
      </c>
      <c r="H220" s="307">
        <f t="shared" ca="1" si="99"/>
        <v>173.81617067837792</v>
      </c>
      <c r="I220" s="304">
        <f t="shared" ca="1" si="100"/>
        <v>177.97747941333415</v>
      </c>
      <c r="J220" s="306">
        <f t="shared" ca="1" si="101"/>
        <v>119.57639850339403</v>
      </c>
      <c r="K220" s="307">
        <f t="shared" ca="1" si="102"/>
        <v>587.2069207178065</v>
      </c>
      <c r="L220" s="304">
        <f t="shared" ca="1" si="87"/>
        <v>599.25827722104157</v>
      </c>
      <c r="M220" s="306">
        <f t="shared" ca="1" si="103"/>
        <v>1.3541270758791266</v>
      </c>
      <c r="N220" s="304">
        <f t="shared" ca="1" si="104"/>
        <v>77.58576637226534</v>
      </c>
      <c r="P220" s="310">
        <f t="shared" ca="1" si="105"/>
        <v>23</v>
      </c>
      <c r="Q220" s="304">
        <f t="shared" ca="1" si="106"/>
        <v>0</v>
      </c>
      <c r="R220" s="306">
        <f t="shared" ca="1" si="107"/>
        <v>0</v>
      </c>
      <c r="S220" s="307">
        <f t="shared" ca="1" si="108"/>
        <v>7.150000000000003</v>
      </c>
      <c r="T220" s="304">
        <f t="shared" ca="1" si="88"/>
        <v>70.141500000000036</v>
      </c>
      <c r="U220" s="311">
        <f t="shared" ca="1" si="89"/>
        <v>0</v>
      </c>
      <c r="V220" s="306">
        <f t="shared" ca="1" si="90"/>
        <v>1.155118885903321</v>
      </c>
      <c r="W220" s="304">
        <f t="shared" ca="1" si="91"/>
        <v>95.496228924111293</v>
      </c>
      <c r="Y220" s="314" t="str">
        <f t="shared" ca="1" si="109"/>
        <v/>
      </c>
      <c r="Z220" s="315" t="str">
        <f t="shared" ca="1" si="110"/>
        <v/>
      </c>
      <c r="AA220" s="316" t="str">
        <f t="shared" ca="1" si="111"/>
        <v/>
      </c>
      <c r="AC220" s="310" t="e">
        <f t="shared" ca="1" si="112"/>
        <v>#N/A</v>
      </c>
      <c r="AD220" s="323" t="e">
        <f t="shared" ca="1" si="113"/>
        <v>#N/A</v>
      </c>
      <c r="AE220" s="324">
        <f t="shared" ca="1" si="92"/>
        <v>587.2069207178065</v>
      </c>
      <c r="AG220" s="306">
        <f t="shared" ca="1" si="114"/>
        <v>-23.315463670357587</v>
      </c>
      <c r="AH220" s="304">
        <f t="shared" ca="1" si="115"/>
        <v>-13.732353300738094</v>
      </c>
    </row>
    <row r="221" spans="1:34" x14ac:dyDescent="0.2">
      <c r="A221" s="347">
        <f t="shared" ca="1" si="93"/>
        <v>0.1</v>
      </c>
      <c r="B221" s="304">
        <f t="shared" ca="1" si="94"/>
        <v>3.7000000000000028</v>
      </c>
      <c r="D221" s="306">
        <f t="shared" ca="1" si="95"/>
        <v>-2.8712704106283891</v>
      </c>
      <c r="E221" s="307">
        <f t="shared" ca="1" si="96"/>
        <v>-22.853835289384662</v>
      </c>
      <c r="F221" s="304">
        <f t="shared" ca="1" si="97"/>
        <v>23.033496938269575</v>
      </c>
      <c r="G221" s="306">
        <f t="shared" ca="1" si="98"/>
        <v>37.974106460077437</v>
      </c>
      <c r="H221" s="307">
        <f t="shared" ca="1" si="99"/>
        <v>171.53078714943945</v>
      </c>
      <c r="I221" s="304">
        <f t="shared" ca="1" si="100"/>
        <v>175.68393125595637</v>
      </c>
      <c r="J221" s="306">
        <f t="shared" ca="1" si="101"/>
        <v>123.38816550145492</v>
      </c>
      <c r="K221" s="307">
        <f t="shared" ca="1" si="102"/>
        <v>604.47426860919734</v>
      </c>
      <c r="L221" s="304">
        <f t="shared" ca="1" si="87"/>
        <v>616.93904139423569</v>
      </c>
      <c r="M221" s="306">
        <f t="shared" ca="1" si="103"/>
        <v>1.3529266620612068</v>
      </c>
      <c r="N221" s="304">
        <f t="shared" ca="1" si="104"/>
        <v>77.516987726829342</v>
      </c>
      <c r="P221" s="310">
        <f t="shared" ca="1" si="105"/>
        <v>23</v>
      </c>
      <c r="Q221" s="304">
        <f t="shared" ca="1" si="106"/>
        <v>0</v>
      </c>
      <c r="R221" s="306">
        <f t="shared" ca="1" si="107"/>
        <v>0</v>
      </c>
      <c r="S221" s="307">
        <f t="shared" ca="1" si="108"/>
        <v>7.150000000000003</v>
      </c>
      <c r="T221" s="304">
        <f t="shared" ca="1" si="88"/>
        <v>70.141500000000036</v>
      </c>
      <c r="U221" s="311">
        <f t="shared" ca="1" si="89"/>
        <v>0</v>
      </c>
      <c r="V221" s="306">
        <f t="shared" ca="1" si="90"/>
        <v>1.1531242540437556</v>
      </c>
      <c r="W221" s="304">
        <f t="shared" ca="1" si="91"/>
        <v>92.890141133011838</v>
      </c>
      <c r="Y221" s="314" t="str">
        <f t="shared" ca="1" si="109"/>
        <v/>
      </c>
      <c r="Z221" s="315" t="str">
        <f t="shared" ca="1" si="110"/>
        <v/>
      </c>
      <c r="AA221" s="316" t="str">
        <f t="shared" ca="1" si="111"/>
        <v/>
      </c>
      <c r="AC221" s="310" t="e">
        <f t="shared" ca="1" si="112"/>
        <v>#N/A</v>
      </c>
      <c r="AD221" s="323" t="e">
        <f t="shared" ca="1" si="113"/>
        <v>#N/A</v>
      </c>
      <c r="AE221" s="324">
        <f t="shared" ca="1" si="92"/>
        <v>604.47426860919734</v>
      </c>
      <c r="AG221" s="306">
        <f t="shared" ca="1" si="114"/>
        <v>-22.936747370495389</v>
      </c>
      <c r="AH221" s="304">
        <f t="shared" ca="1" si="115"/>
        <v>-13.356115933442133</v>
      </c>
    </row>
    <row r="222" spans="1:34" x14ac:dyDescent="0.2">
      <c r="A222" s="347">
        <f t="shared" ca="1" si="93"/>
        <v>0.1</v>
      </c>
      <c r="B222" s="304">
        <f t="shared" ca="1" si="94"/>
        <v>3.8000000000000029</v>
      </c>
      <c r="D222" s="306">
        <f t="shared" ca="1" si="95"/>
        <v>-2.8081422483553506</v>
      </c>
      <c r="E222" s="307">
        <f t="shared" ca="1" si="96"/>
        <v>-22.494507818357441</v>
      </c>
      <c r="F222" s="304">
        <f t="shared" ca="1" si="97"/>
        <v>22.669109926883813</v>
      </c>
      <c r="G222" s="306">
        <f t="shared" ca="1" si="98"/>
        <v>37.693292235241898</v>
      </c>
      <c r="H222" s="307">
        <f t="shared" ca="1" si="99"/>
        <v>169.2813363676037</v>
      </c>
      <c r="I222" s="304">
        <f t="shared" ca="1" si="100"/>
        <v>173.42708877777179</v>
      </c>
      <c r="J222" s="306">
        <f t="shared" ca="1" si="101"/>
        <v>127.17153543622089</v>
      </c>
      <c r="K222" s="307">
        <f t="shared" ca="1" si="102"/>
        <v>621.51487478504953</v>
      </c>
      <c r="L222" s="304">
        <f t="shared" ca="1" si="87"/>
        <v>634.39210194033922</v>
      </c>
      <c r="M222" s="306">
        <f t="shared" ca="1" si="103"/>
        <v>1.3517039964306288</v>
      </c>
      <c r="N222" s="304">
        <f t="shared" ca="1" si="104"/>
        <v>77.446934146441521</v>
      </c>
      <c r="P222" s="310">
        <f t="shared" ca="1" si="105"/>
        <v>23</v>
      </c>
      <c r="Q222" s="304">
        <f t="shared" ca="1" si="106"/>
        <v>0</v>
      </c>
      <c r="R222" s="306">
        <f t="shared" ca="1" si="107"/>
        <v>0</v>
      </c>
      <c r="S222" s="307">
        <f t="shared" ca="1" si="108"/>
        <v>7.150000000000003</v>
      </c>
      <c r="T222" s="304">
        <f t="shared" ca="1" si="88"/>
        <v>70.141500000000036</v>
      </c>
      <c r="U222" s="311">
        <f t="shared" ca="1" si="89"/>
        <v>0</v>
      </c>
      <c r="V222" s="306">
        <f t="shared" ca="1" si="90"/>
        <v>1.1511590890645349</v>
      </c>
      <c r="W222" s="304">
        <f t="shared" ca="1" si="91"/>
        <v>90.36466614708398</v>
      </c>
      <c r="Y222" s="314" t="str">
        <f t="shared" ca="1" si="109"/>
        <v/>
      </c>
      <c r="Z222" s="315" t="str">
        <f t="shared" ca="1" si="110"/>
        <v/>
      </c>
      <c r="AA222" s="316" t="str">
        <f t="shared" ca="1" si="111"/>
        <v/>
      </c>
      <c r="AC222" s="310" t="e">
        <f t="shared" ca="1" si="112"/>
        <v>#N/A</v>
      </c>
      <c r="AD222" s="323" t="e">
        <f t="shared" ca="1" si="113"/>
        <v>#N/A</v>
      </c>
      <c r="AE222" s="324">
        <f t="shared" ca="1" si="92"/>
        <v>621.51487478504953</v>
      </c>
      <c r="AG222" s="306">
        <f t="shared" ca="1" si="114"/>
        <v>-22.569721072209475</v>
      </c>
      <c r="AH222" s="304">
        <f t="shared" ca="1" si="115"/>
        <v>-12.991628130491161</v>
      </c>
    </row>
    <row r="223" spans="1:34" x14ac:dyDescent="0.2">
      <c r="A223" s="347">
        <f t="shared" ca="1" si="93"/>
        <v>0.1</v>
      </c>
      <c r="B223" s="304">
        <f t="shared" ca="1" si="94"/>
        <v>3.900000000000003</v>
      </c>
      <c r="D223" s="306">
        <f t="shared" ca="1" si="95"/>
        <v>-2.7468803606647536</v>
      </c>
      <c r="E223" s="307">
        <f t="shared" ca="1" si="96"/>
        <v>-22.146295152815018</v>
      </c>
      <c r="F223" s="304">
        <f t="shared" ca="1" si="97"/>
        <v>22.315997416907084</v>
      </c>
      <c r="G223" s="306">
        <f t="shared" ca="1" si="98"/>
        <v>37.418604199175427</v>
      </c>
      <c r="H223" s="307">
        <f t="shared" ca="1" si="99"/>
        <v>167.0667068523222</v>
      </c>
      <c r="I223" s="304">
        <f t="shared" ca="1" si="100"/>
        <v>171.20583073801637</v>
      </c>
      <c r="J223" s="306">
        <f t="shared" ca="1" si="101"/>
        <v>130.92713025794177</v>
      </c>
      <c r="K223" s="307">
        <f t="shared" ca="1" si="102"/>
        <v>638.33227694604579</v>
      </c>
      <c r="L223" s="304">
        <f t="shared" ca="1" si="87"/>
        <v>651.62106260364487</v>
      </c>
      <c r="M223" s="306">
        <f t="shared" ca="1" si="103"/>
        <v>1.350458628419835</v>
      </c>
      <c r="N223" s="304">
        <f t="shared" ca="1" si="104"/>
        <v>77.375579815482439</v>
      </c>
      <c r="P223" s="310">
        <f t="shared" ca="1" si="105"/>
        <v>23</v>
      </c>
      <c r="Q223" s="304">
        <f t="shared" ca="1" si="106"/>
        <v>0</v>
      </c>
      <c r="R223" s="306">
        <f t="shared" ca="1" si="107"/>
        <v>0</v>
      </c>
      <c r="S223" s="307">
        <f t="shared" ca="1" si="108"/>
        <v>7.150000000000003</v>
      </c>
      <c r="T223" s="304">
        <f t="shared" ca="1" si="88"/>
        <v>70.141500000000036</v>
      </c>
      <c r="U223" s="311">
        <f t="shared" ca="1" si="89"/>
        <v>0</v>
      </c>
      <c r="V223" s="306">
        <f t="shared" ca="1" si="90"/>
        <v>1.1492228462294516</v>
      </c>
      <c r="W223" s="304">
        <f t="shared" ca="1" si="91"/>
        <v>87.916580403215065</v>
      </c>
      <c r="Y223" s="314" t="str">
        <f t="shared" ca="1" si="109"/>
        <v/>
      </c>
      <c r="Z223" s="315" t="str">
        <f t="shared" ca="1" si="110"/>
        <v/>
      </c>
      <c r="AA223" s="316" t="str">
        <f t="shared" ca="1" si="111"/>
        <v/>
      </c>
      <c r="AC223" s="310" t="e">
        <f t="shared" ca="1" si="112"/>
        <v>#N/A</v>
      </c>
      <c r="AD223" s="323" t="e">
        <f t="shared" ca="1" si="113"/>
        <v>#N/A</v>
      </c>
      <c r="AE223" s="324">
        <f t="shared" ca="1" si="92"/>
        <v>638.33227694604579</v>
      </c>
      <c r="AG223" s="306">
        <f t="shared" ca="1" si="114"/>
        <v>-22.213908048507065</v>
      </c>
      <c r="AH223" s="304">
        <f t="shared" ca="1" si="115"/>
        <v>-12.638414845746006</v>
      </c>
    </row>
    <row r="224" spans="1:34" x14ac:dyDescent="0.2">
      <c r="A224" s="347">
        <f t="shared" ca="1" si="93"/>
        <v>0.1</v>
      </c>
      <c r="B224" s="304">
        <f t="shared" ca="1" si="94"/>
        <v>4.0000000000000027</v>
      </c>
      <c r="D224" s="306">
        <f t="shared" ca="1" si="95"/>
        <v>-2.6874090640879573</v>
      </c>
      <c r="E224" s="307">
        <f t="shared" ca="1" si="96"/>
        <v>-21.808752810564492</v>
      </c>
      <c r="F224" s="304">
        <f t="shared" ca="1" si="97"/>
        <v>21.973708531562139</v>
      </c>
      <c r="G224" s="306">
        <f t="shared" ca="1" si="98"/>
        <v>37.149863292766632</v>
      </c>
      <c r="H224" s="307">
        <f t="shared" ca="1" si="99"/>
        <v>164.88583157126575</v>
      </c>
      <c r="I224" s="304">
        <f t="shared" ca="1" si="100"/>
        <v>169.01908115836824</v>
      </c>
      <c r="J224" s="306">
        <f t="shared" ca="1" si="101"/>
        <v>134.65555363253887</v>
      </c>
      <c r="K224" s="307">
        <f t="shared" ca="1" si="102"/>
        <v>654.92990386722522</v>
      </c>
      <c r="L224" s="304">
        <f t="shared" ca="1" si="87"/>
        <v>668.62941686977729</v>
      </c>
      <c r="M224" s="306">
        <f t="shared" ca="1" si="103"/>
        <v>1.3491900935217331</v>
      </c>
      <c r="N224" s="304">
        <f t="shared" ca="1" si="104"/>
        <v>77.302898119656135</v>
      </c>
      <c r="P224" s="310">
        <f t="shared" ca="1" si="105"/>
        <v>23</v>
      </c>
      <c r="Q224" s="304">
        <f t="shared" ca="1" si="106"/>
        <v>0</v>
      </c>
      <c r="R224" s="306">
        <f t="shared" ca="1" si="107"/>
        <v>0</v>
      </c>
      <c r="S224" s="307">
        <f t="shared" ca="1" si="108"/>
        <v>7.150000000000003</v>
      </c>
      <c r="T224" s="304">
        <f t="shared" ca="1" si="88"/>
        <v>70.141500000000036</v>
      </c>
      <c r="U224" s="311">
        <f t="shared" ca="1" si="89"/>
        <v>0</v>
      </c>
      <c r="V224" s="306">
        <f t="shared" ca="1" si="90"/>
        <v>1.1473149983106805</v>
      </c>
      <c r="W224" s="304">
        <f t="shared" ca="1" si="91"/>
        <v>85.542822849096211</v>
      </c>
      <c r="Y224" s="314" t="str">
        <f t="shared" ca="1" si="109"/>
        <v/>
      </c>
      <c r="Z224" s="315" t="str">
        <f t="shared" ca="1" si="110"/>
        <v/>
      </c>
      <c r="AA224" s="316" t="str">
        <f t="shared" ca="1" si="111"/>
        <v/>
      </c>
      <c r="AC224" s="310">
        <f t="shared" ca="1" si="112"/>
        <v>4.0000000000000027</v>
      </c>
      <c r="AD224" s="323">
        <f t="shared" ca="1" si="113"/>
        <v>134.65555363253887</v>
      </c>
      <c r="AE224" s="324">
        <f t="shared" ca="1" si="92"/>
        <v>654.92990386722522</v>
      </c>
      <c r="AG224" s="306">
        <f t="shared" ca="1" si="114"/>
        <v>-21.868855707589784</v>
      </c>
      <c r="AH224" s="304">
        <f t="shared" ca="1" si="115"/>
        <v>-12.296025231218884</v>
      </c>
    </row>
    <row r="225" spans="1:34" x14ac:dyDescent="0.2">
      <c r="A225" s="347">
        <f t="shared" ca="1" si="93"/>
        <v>0.1</v>
      </c>
      <c r="B225" s="304">
        <f t="shared" ca="1" si="94"/>
        <v>4.1000000000000023</v>
      </c>
      <c r="D225" s="306">
        <f t="shared" ca="1" si="95"/>
        <v>-2.6296564817685528</v>
      </c>
      <c r="E225" s="307">
        <f t="shared" ca="1" si="96"/>
        <v>-21.481458716447037</v>
      </c>
      <c r="F225" s="304">
        <f t="shared" ca="1" si="97"/>
        <v>21.641815122547502</v>
      </c>
      <c r="G225" s="306">
        <f t="shared" ca="1" si="98"/>
        <v>36.88689764458978</v>
      </c>
      <c r="H225" s="307">
        <f t="shared" ca="1" si="99"/>
        <v>162.73768569962104</v>
      </c>
      <c r="I225" s="304">
        <f t="shared" ca="1" si="100"/>
        <v>166.86580705678168</v>
      </c>
      <c r="J225" s="306">
        <f t="shared" ca="1" si="101"/>
        <v>138.3573916794067</v>
      </c>
      <c r="K225" s="307">
        <f t="shared" ca="1" si="102"/>
        <v>671.31107973076951</v>
      </c>
      <c r="L225" s="304">
        <f t="shared" ca="1" si="87"/>
        <v>685.42055236301485</v>
      </c>
      <c r="M225" s="306">
        <f t="shared" ca="1" si="103"/>
        <v>1.3478979127968893</v>
      </c>
      <c r="N225" s="304">
        <f t="shared" ca="1" si="104"/>
        <v>77.228861617754433</v>
      </c>
      <c r="P225" s="310">
        <f t="shared" ca="1" si="105"/>
        <v>23</v>
      </c>
      <c r="Q225" s="304">
        <f t="shared" ca="1" si="106"/>
        <v>0</v>
      </c>
      <c r="R225" s="306">
        <f t="shared" ca="1" si="107"/>
        <v>0</v>
      </c>
      <c r="S225" s="307">
        <f t="shared" ca="1" si="108"/>
        <v>7.150000000000003</v>
      </c>
      <c r="T225" s="304">
        <f t="shared" ca="1" si="88"/>
        <v>70.141500000000036</v>
      </c>
      <c r="U225" s="311">
        <f t="shared" ca="1" si="89"/>
        <v>0</v>
      </c>
      <c r="V225" s="306">
        <f t="shared" ca="1" si="90"/>
        <v>1.1454350348656352</v>
      </c>
      <c r="W225" s="304">
        <f t="shared" ca="1" si="91"/>
        <v>83.240485177665605</v>
      </c>
      <c r="Y225" s="314" t="str">
        <f t="shared" ca="1" si="109"/>
        <v/>
      </c>
      <c r="Z225" s="315" t="str">
        <f t="shared" ca="1" si="110"/>
        <v/>
      </c>
      <c r="AA225" s="316" t="str">
        <f t="shared" ca="1" si="111"/>
        <v/>
      </c>
      <c r="AC225" s="310" t="e">
        <f t="shared" ca="1" si="112"/>
        <v>#N/A</v>
      </c>
      <c r="AD225" s="323" t="e">
        <f t="shared" ca="1" si="113"/>
        <v>#N/A</v>
      </c>
      <c r="AE225" s="324">
        <f t="shared" ca="1" si="92"/>
        <v>671.31107973076951</v>
      </c>
      <c r="AG225" s="306">
        <f t="shared" ca="1" si="114"/>
        <v>-21.534134120747591</v>
      </c>
      <c r="AH225" s="304">
        <f t="shared" ca="1" si="115"/>
        <v>-11.964031167705759</v>
      </c>
    </row>
    <row r="226" spans="1:34" x14ac:dyDescent="0.2">
      <c r="A226" s="347">
        <f t="shared" ca="1" si="93"/>
        <v>0.1</v>
      </c>
      <c r="B226" s="304">
        <f t="shared" ca="1" si="94"/>
        <v>4.200000000000002</v>
      </c>
      <c r="D226" s="306">
        <f t="shared" ca="1" si="95"/>
        <v>-2.5735543146055919</v>
      </c>
      <c r="E226" s="307">
        <f t="shared" ca="1" si="96"/>
        <v>-21.164011855822643</v>
      </c>
      <c r="F226" s="304">
        <f t="shared" ca="1" si="97"/>
        <v>21.319910404211985</v>
      </c>
      <c r="G226" s="306">
        <f t="shared" ca="1" si="98"/>
        <v>36.62954221312922</v>
      </c>
      <c r="H226" s="307">
        <f t="shared" ca="1" si="99"/>
        <v>160.62128451403876</v>
      </c>
      <c r="I226" s="304">
        <f t="shared" ca="1" si="100"/>
        <v>164.74501631819763</v>
      </c>
      <c r="J226" s="306">
        <f t="shared" ca="1" si="101"/>
        <v>142.03321367229265</v>
      </c>
      <c r="K226" s="307">
        <f t="shared" ca="1" si="102"/>
        <v>687.47902824145251</v>
      </c>
      <c r="L226" s="304">
        <f t="shared" ca="1" si="87"/>
        <v>701.99775502339821</v>
      </c>
      <c r="M226" s="306">
        <f t="shared" ca="1" si="103"/>
        <v>1.3465815923589219</v>
      </c>
      <c r="N226" s="304">
        <f t="shared" ca="1" si="104"/>
        <v>77.153442012172093</v>
      </c>
      <c r="P226" s="310">
        <f t="shared" ca="1" si="105"/>
        <v>23</v>
      </c>
      <c r="Q226" s="304">
        <f t="shared" ca="1" si="106"/>
        <v>0</v>
      </c>
      <c r="R226" s="306">
        <f t="shared" ca="1" si="107"/>
        <v>0</v>
      </c>
      <c r="S226" s="307">
        <f t="shared" ca="1" si="108"/>
        <v>7.150000000000003</v>
      </c>
      <c r="T226" s="304">
        <f t="shared" ca="1" si="88"/>
        <v>70.141500000000036</v>
      </c>
      <c r="U226" s="311">
        <f t="shared" ca="1" si="89"/>
        <v>0</v>
      </c>
      <c r="V226" s="306">
        <f t="shared" ca="1" si="90"/>
        <v>1.1435824615511532</v>
      </c>
      <c r="W226" s="304">
        <f t="shared" ca="1" si="91"/>
        <v>81.006802742750622</v>
      </c>
      <c r="Y226" s="314" t="str">
        <f t="shared" ca="1" si="109"/>
        <v/>
      </c>
      <c r="Z226" s="315" t="str">
        <f t="shared" ca="1" si="110"/>
        <v/>
      </c>
      <c r="AA226" s="316" t="str">
        <f t="shared" ca="1" si="111"/>
        <v/>
      </c>
      <c r="AC226" s="310" t="e">
        <f t="shared" ca="1" si="112"/>
        <v>#N/A</v>
      </c>
      <c r="AD226" s="323" t="e">
        <f t="shared" ca="1" si="113"/>
        <v>#N/A</v>
      </c>
      <c r="AE226" s="324">
        <f t="shared" ca="1" si="92"/>
        <v>687.47902824145251</v>
      </c>
      <c r="AG226" s="306">
        <f t="shared" ca="1" si="114"/>
        <v>-21.209334653667341</v>
      </c>
      <c r="AH226" s="304">
        <f t="shared" ca="1" si="115"/>
        <v>-11.642025898974206</v>
      </c>
    </row>
    <row r="227" spans="1:34" x14ac:dyDescent="0.2">
      <c r="A227" s="347">
        <f t="shared" ca="1" si="93"/>
        <v>0.1</v>
      </c>
      <c r="B227" s="304">
        <f t="shared" ca="1" si="94"/>
        <v>4.3000000000000016</v>
      </c>
      <c r="D227" s="306">
        <f t="shared" ca="1" si="95"/>
        <v>-2.5190376283645941</v>
      </c>
      <c r="E227" s="307">
        <f t="shared" ca="1" si="96"/>
        <v>-20.856031021979117</v>
      </c>
      <c r="F227" s="304">
        <f t="shared" ca="1" si="97"/>
        <v>21.007607683000746</v>
      </c>
      <c r="G227" s="306">
        <f t="shared" ca="1" si="98"/>
        <v>36.377638450292757</v>
      </c>
      <c r="H227" s="307">
        <f t="shared" ca="1" si="99"/>
        <v>158.53568141184084</v>
      </c>
      <c r="I227" s="304">
        <f t="shared" ca="1" si="100"/>
        <v>162.65575569261887</v>
      </c>
      <c r="J227" s="306">
        <f t="shared" ca="1" si="101"/>
        <v>145.68357270546375</v>
      </c>
      <c r="K227" s="307">
        <f t="shared" ca="1" si="102"/>
        <v>703.43687653774646</v>
      </c>
      <c r="L227" s="304">
        <f t="shared" ca="1" si="87"/>
        <v>718.36421307677131</v>
      </c>
      <c r="M227" s="306">
        <f t="shared" ca="1" si="103"/>
        <v>1.3452406228370255</v>
      </c>
      <c r="N227" s="304">
        <f t="shared" ca="1" si="104"/>
        <v>77.076610118111745</v>
      </c>
      <c r="P227" s="310">
        <f t="shared" ca="1" si="105"/>
        <v>23</v>
      </c>
      <c r="Q227" s="304">
        <f t="shared" ca="1" si="106"/>
        <v>0</v>
      </c>
      <c r="R227" s="306">
        <f t="shared" ca="1" si="107"/>
        <v>0</v>
      </c>
      <c r="S227" s="307">
        <f t="shared" ca="1" si="108"/>
        <v>7.150000000000003</v>
      </c>
      <c r="T227" s="304">
        <f t="shared" ca="1" si="88"/>
        <v>70.141500000000036</v>
      </c>
      <c r="U227" s="311">
        <f t="shared" ca="1" si="89"/>
        <v>0</v>
      </c>
      <c r="V227" s="306">
        <f t="shared" ca="1" si="90"/>
        <v>1.1417567994727216</v>
      </c>
      <c r="W227" s="304">
        <f t="shared" ca="1" si="91"/>
        <v>78.839146101975544</v>
      </c>
      <c r="Y227" s="314" t="str">
        <f t="shared" ca="1" si="109"/>
        <v/>
      </c>
      <c r="Z227" s="315" t="str">
        <f t="shared" ca="1" si="110"/>
        <v/>
      </c>
      <c r="AA227" s="316" t="str">
        <f t="shared" ca="1" si="111"/>
        <v/>
      </c>
      <c r="AC227" s="310" t="e">
        <f t="shared" ca="1" si="112"/>
        <v>#N/A</v>
      </c>
      <c r="AD227" s="323" t="e">
        <f t="shared" ca="1" si="113"/>
        <v>#N/A</v>
      </c>
      <c r="AE227" s="324">
        <f t="shared" ca="1" si="92"/>
        <v>703.43687653774646</v>
      </c>
      <c r="AG227" s="306">
        <f t="shared" ca="1" si="114"/>
        <v>-20.894068692864888</v>
      </c>
      <c r="AH227" s="304">
        <f t="shared" ca="1" si="115"/>
        <v>-11.329622761223858</v>
      </c>
    </row>
    <row r="228" spans="1:34" x14ac:dyDescent="0.2">
      <c r="A228" s="347">
        <f t="shared" ca="1" si="93"/>
        <v>0.1</v>
      </c>
      <c r="B228" s="304">
        <f t="shared" ca="1" si="94"/>
        <v>4.4000000000000012</v>
      </c>
      <c r="D228" s="306">
        <f t="shared" ca="1" si="95"/>
        <v>-2.4660446554922477</v>
      </c>
      <c r="E228" s="307">
        <f t="shared" ca="1" si="96"/>
        <v>-20.557153650028795</v>
      </c>
      <c r="F228" s="304">
        <f t="shared" ca="1" si="97"/>
        <v>20.704539174629655</v>
      </c>
      <c r="G228" s="306">
        <f t="shared" ca="1" si="98"/>
        <v>36.131033984743532</v>
      </c>
      <c r="H228" s="307">
        <f t="shared" ca="1" si="99"/>
        <v>156.47996604683797</v>
      </c>
      <c r="I228" s="304">
        <f t="shared" ca="1" si="100"/>
        <v>160.59710891179284</v>
      </c>
      <c r="J228" s="306">
        <f t="shared" ca="1" si="101"/>
        <v>149.30900632721557</v>
      </c>
      <c r="K228" s="307">
        <f t="shared" ca="1" si="102"/>
        <v>719.1876589106804</v>
      </c>
      <c r="L228" s="304">
        <f t="shared" ca="1" si="87"/>
        <v>734.52302080999857</v>
      </c>
      <c r="M228" s="306">
        <f t="shared" ca="1" si="103"/>
        <v>1.3438744788144841</v>
      </c>
      <c r="N228" s="304">
        <f t="shared" ca="1" si="104"/>
        <v>76.998335831413101</v>
      </c>
      <c r="P228" s="310">
        <f t="shared" ca="1" si="105"/>
        <v>23</v>
      </c>
      <c r="Q228" s="304">
        <f t="shared" ca="1" si="106"/>
        <v>0</v>
      </c>
      <c r="R228" s="306">
        <f t="shared" ca="1" si="107"/>
        <v>0</v>
      </c>
      <c r="S228" s="307">
        <f t="shared" ca="1" si="108"/>
        <v>7.150000000000003</v>
      </c>
      <c r="T228" s="304">
        <f t="shared" ca="1" si="88"/>
        <v>70.141500000000036</v>
      </c>
      <c r="U228" s="311">
        <f t="shared" ca="1" si="89"/>
        <v>0</v>
      </c>
      <c r="V228" s="306">
        <f t="shared" ca="1" si="90"/>
        <v>1.1399575845666239</v>
      </c>
      <c r="W228" s="304">
        <f t="shared" ca="1" si="91"/>
        <v>76.735013137770892</v>
      </c>
      <c r="Y228" s="314" t="str">
        <f t="shared" ca="1" si="109"/>
        <v/>
      </c>
      <c r="Z228" s="315" t="str">
        <f t="shared" ca="1" si="110"/>
        <v/>
      </c>
      <c r="AA228" s="316" t="str">
        <f t="shared" ca="1" si="111"/>
        <v/>
      </c>
      <c r="AC228" s="310" t="e">
        <f t="shared" ca="1" si="112"/>
        <v>#N/A</v>
      </c>
      <c r="AD228" s="323" t="e">
        <f t="shared" ca="1" si="113"/>
        <v>#N/A</v>
      </c>
      <c r="AE228" s="324">
        <f t="shared" ca="1" si="92"/>
        <v>719.1876589106804</v>
      </c>
      <c r="AG228" s="306">
        <f t="shared" ca="1" si="114"/>
        <v>-20.587966459688968</v>
      </c>
      <c r="AH228" s="304">
        <f t="shared" ca="1" si="115"/>
        <v>-11.026454000276296</v>
      </c>
    </row>
    <row r="229" spans="1:34" x14ac:dyDescent="0.2">
      <c r="A229" s="347">
        <f t="shared" ca="1" si="93"/>
        <v>0.1</v>
      </c>
      <c r="B229" s="304">
        <f t="shared" ca="1" si="94"/>
        <v>4.5000000000000009</v>
      </c>
      <c r="D229" s="306">
        <f t="shared" ca="1" si="95"/>
        <v>-2.4145166104826346</v>
      </c>
      <c r="E229" s="307">
        <f t="shared" ca="1" si="96"/>
        <v>-20.267034730514119</v>
      </c>
      <c r="F229" s="304">
        <f t="shared" ca="1" si="97"/>
        <v>20.41035490211187</v>
      </c>
      <c r="G229" s="306">
        <f t="shared" ca="1" si="98"/>
        <v>35.889582323695265</v>
      </c>
      <c r="H229" s="307">
        <f t="shared" ca="1" si="99"/>
        <v>154.45326257378656</v>
      </c>
      <c r="I229" s="304">
        <f t="shared" ca="1" si="100"/>
        <v>158.56819491643449</v>
      </c>
      <c r="J229" s="306">
        <f t="shared" ca="1" si="101"/>
        <v>152.91003714263752</v>
      </c>
      <c r="K229" s="307">
        <f t="shared" ca="1" si="102"/>
        <v>734.73432034171162</v>
      </c>
      <c r="L229" s="304">
        <f t="shared" ca="1" si="87"/>
        <v>750.47718216276212</v>
      </c>
      <c r="M229" s="306">
        <f t="shared" ca="1" si="103"/>
        <v>1.3424826182419747</v>
      </c>
      <c r="N229" s="304">
        <f t="shared" ca="1" si="104"/>
        <v>76.918588094937647</v>
      </c>
      <c r="P229" s="310">
        <f t="shared" ca="1" si="105"/>
        <v>23</v>
      </c>
      <c r="Q229" s="304">
        <f t="shared" ca="1" si="106"/>
        <v>0</v>
      </c>
      <c r="R229" s="306">
        <f t="shared" ca="1" si="107"/>
        <v>0</v>
      </c>
      <c r="S229" s="307">
        <f t="shared" ca="1" si="108"/>
        <v>7.150000000000003</v>
      </c>
      <c r="T229" s="304">
        <f t="shared" ca="1" si="88"/>
        <v>70.141500000000036</v>
      </c>
      <c r="U229" s="311">
        <f t="shared" ca="1" si="89"/>
        <v>0</v>
      </c>
      <c r="V229" s="306">
        <f t="shared" ca="1" si="90"/>
        <v>1.1381843670130265</v>
      </c>
      <c r="W229" s="304">
        <f t="shared" ca="1" si="91"/>
        <v>74.692021711625046</v>
      </c>
      <c r="Y229" s="314" t="str">
        <f t="shared" ca="1" si="109"/>
        <v/>
      </c>
      <c r="Z229" s="315" t="str">
        <f t="shared" ca="1" si="110"/>
        <v/>
      </c>
      <c r="AA229" s="316" t="str">
        <f t="shared" ca="1" si="111"/>
        <v/>
      </c>
      <c r="AC229" s="310" t="e">
        <f t="shared" ca="1" si="112"/>
        <v>#N/A</v>
      </c>
      <c r="AD229" s="323" t="e">
        <f t="shared" ca="1" si="113"/>
        <v>#N/A</v>
      </c>
      <c r="AE229" s="324">
        <f t="shared" ca="1" si="92"/>
        <v>734.73432034171162</v>
      </c>
      <c r="AG229" s="306">
        <f t="shared" ca="1" si="114"/>
        <v>-20.290675905011426</v>
      </c>
      <c r="AH229" s="304">
        <f t="shared" ca="1" si="115"/>
        <v>-10.732169669618303</v>
      </c>
    </row>
    <row r="230" spans="1:34" x14ac:dyDescent="0.2">
      <c r="A230" s="347">
        <f t="shared" ca="1" si="93"/>
        <v>0.1</v>
      </c>
      <c r="B230" s="304">
        <f t="shared" ca="1" si="94"/>
        <v>4.6000000000000005</v>
      </c>
      <c r="D230" s="306">
        <f t="shared" ca="1" si="95"/>
        <v>-2.3643975177436589</v>
      </c>
      <c r="E230" s="307">
        <f t="shared" ca="1" si="96"/>
        <v>-19.985345796536706</v>
      </c>
      <c r="F230" s="304">
        <f t="shared" ca="1" si="97"/>
        <v>20.124721668362515</v>
      </c>
      <c r="G230" s="306">
        <f t="shared" ca="1" si="98"/>
        <v>35.653142571920903</v>
      </c>
      <c r="H230" s="307">
        <f t="shared" ca="1" si="99"/>
        <v>152.4547279941329</v>
      </c>
      <c r="I230" s="304">
        <f t="shared" ca="1" si="100"/>
        <v>156.56816618654881</v>
      </c>
      <c r="J230" s="306">
        <f t="shared" ca="1" si="101"/>
        <v>156.48717338741832</v>
      </c>
      <c r="K230" s="307">
        <f t="shared" ca="1" si="102"/>
        <v>750.07971987010762</v>
      </c>
      <c r="L230" s="304">
        <f t="shared" ca="1" si="87"/>
        <v>766.22961414657107</v>
      </c>
      <c r="M230" s="306">
        <f t="shared" ca="1" si="103"/>
        <v>1.34106448182439</v>
      </c>
      <c r="N230" s="304">
        <f t="shared" ca="1" si="104"/>
        <v>76.83733486343624</v>
      </c>
      <c r="P230" s="310">
        <f t="shared" ca="1" si="105"/>
        <v>23</v>
      </c>
      <c r="Q230" s="304">
        <f t="shared" ca="1" si="106"/>
        <v>0</v>
      </c>
      <c r="R230" s="306">
        <f t="shared" ca="1" si="107"/>
        <v>0</v>
      </c>
      <c r="S230" s="307">
        <f t="shared" ca="1" si="108"/>
        <v>7.150000000000003</v>
      </c>
      <c r="T230" s="304">
        <f t="shared" ca="1" si="88"/>
        <v>70.141500000000036</v>
      </c>
      <c r="U230" s="311">
        <f t="shared" ca="1" si="89"/>
        <v>0</v>
      </c>
      <c r="V230" s="306">
        <f t="shared" ca="1" si="90"/>
        <v>1.1364367106781763</v>
      </c>
      <c r="W230" s="304">
        <f t="shared" ca="1" si="91"/>
        <v>72.707902810607237</v>
      </c>
      <c r="Y230" s="314" t="str">
        <f t="shared" ca="1" si="109"/>
        <v/>
      </c>
      <c r="Z230" s="315" t="str">
        <f t="shared" ca="1" si="110"/>
        <v/>
      </c>
      <c r="AA230" s="316" t="str">
        <f t="shared" ca="1" si="111"/>
        <v/>
      </c>
      <c r="AC230" s="310" t="e">
        <f t="shared" ca="1" si="112"/>
        <v>#N/A</v>
      </c>
      <c r="AD230" s="323" t="e">
        <f t="shared" ca="1" si="113"/>
        <v>#N/A</v>
      </c>
      <c r="AE230" s="324">
        <f t="shared" ca="1" si="92"/>
        <v>750.07971987010762</v>
      </c>
      <c r="AG230" s="306">
        <f t="shared" ca="1" si="114"/>
        <v>-20.001861678320005</v>
      </c>
      <c r="AH230" s="304">
        <f t="shared" ca="1" si="115"/>
        <v>-10.446436603024477</v>
      </c>
    </row>
    <row r="231" spans="1:34" x14ac:dyDescent="0.2">
      <c r="A231" s="347">
        <f t="shared" ca="1" si="93"/>
        <v>0.1</v>
      </c>
      <c r="B231" s="304">
        <f t="shared" ca="1" si="94"/>
        <v>4.7</v>
      </c>
      <c r="D231" s="306">
        <f t="shared" ca="1" si="95"/>
        <v>-2.3156340510035029</v>
      </c>
      <c r="E231" s="307">
        <f t="shared" ca="1" si="96"/>
        <v>-19.711773978760689</v>
      </c>
      <c r="F231" s="304">
        <f t="shared" ca="1" si="97"/>
        <v>19.847322097651208</v>
      </c>
      <c r="G231" s="306">
        <f t="shared" ca="1" si="98"/>
        <v>35.42157916682055</v>
      </c>
      <c r="H231" s="307">
        <f t="shared" ca="1" si="99"/>
        <v>150.48355059625683</v>
      </c>
      <c r="I231" s="304">
        <f t="shared" ca="1" si="100"/>
        <v>154.59620716798821</v>
      </c>
      <c r="J231" s="306">
        <f t="shared" ca="1" si="101"/>
        <v>160.0409094743554</v>
      </c>
      <c r="K231" s="307">
        <f t="shared" ca="1" si="102"/>
        <v>765.22663379962705</v>
      </c>
      <c r="L231" s="304">
        <f t="shared" ca="1" si="87"/>
        <v>781.78315010090057</v>
      </c>
      <c r="M231" s="306">
        <f t="shared" ca="1" si="103"/>
        <v>1.3396194923798341</v>
      </c>
      <c r="N231" s="304">
        <f t="shared" ca="1" si="104"/>
        <v>76.754543066822237</v>
      </c>
      <c r="P231" s="310">
        <f t="shared" ca="1" si="105"/>
        <v>23</v>
      </c>
      <c r="Q231" s="304">
        <f t="shared" ca="1" si="106"/>
        <v>0</v>
      </c>
      <c r="R231" s="306">
        <f t="shared" ca="1" si="107"/>
        <v>0</v>
      </c>
      <c r="S231" s="307">
        <f t="shared" ca="1" si="108"/>
        <v>7.150000000000003</v>
      </c>
      <c r="T231" s="304">
        <f t="shared" ca="1" si="88"/>
        <v>70.141500000000036</v>
      </c>
      <c r="U231" s="311">
        <f t="shared" ca="1" si="89"/>
        <v>0</v>
      </c>
      <c r="V231" s="306">
        <f t="shared" ca="1" si="90"/>
        <v>1.1347141925839879</v>
      </c>
      <c r="W231" s="304">
        <f t="shared" ca="1" si="91"/>
        <v>70.78049414870793</v>
      </c>
      <c r="Y231" s="314" t="str">
        <f t="shared" ca="1" si="109"/>
        <v/>
      </c>
      <c r="Z231" s="315" t="str">
        <f t="shared" ca="1" si="110"/>
        <v/>
      </c>
      <c r="AA231" s="316" t="str">
        <f t="shared" ca="1" si="111"/>
        <v>Satellite</v>
      </c>
      <c r="AC231" s="310" t="e">
        <f t="shared" ca="1" si="112"/>
        <v>#N/A</v>
      </c>
      <c r="AD231" s="323" t="e">
        <f t="shared" ca="1" si="113"/>
        <v>#N/A</v>
      </c>
      <c r="AE231" s="324">
        <f t="shared" ca="1" si="92"/>
        <v>765.22663379962705</v>
      </c>
      <c r="AG231" s="306">
        <f t="shared" ca="1" si="114"/>
        <v>-19.721204165472837</v>
      </c>
      <c r="AH231" s="304">
        <f t="shared" ca="1" si="115"/>
        <v>-10.16893745602898</v>
      </c>
    </row>
    <row r="232" spans="1:34" x14ac:dyDescent="0.2">
      <c r="A232" s="347">
        <f t="shared" ca="1" si="93"/>
        <v>0.1</v>
      </c>
      <c r="B232" s="304">
        <f t="shared" ca="1" si="94"/>
        <v>4.8</v>
      </c>
      <c r="D232" s="306">
        <f t="shared" ca="1" si="95"/>
        <v>-2.2681753833794258</v>
      </c>
      <c r="E232" s="307">
        <f t="shared" ca="1" si="96"/>
        <v>-19.446021123125981</v>
      </c>
      <c r="F232" s="304">
        <f t="shared" ca="1" si="97"/>
        <v>19.577853740663969</v>
      </c>
      <c r="G232" s="306">
        <f t="shared" ca="1" si="98"/>
        <v>35.19476162848261</v>
      </c>
      <c r="H232" s="307">
        <f t="shared" ca="1" si="99"/>
        <v>148.53894848394424</v>
      </c>
      <c r="I232" s="304">
        <f t="shared" ca="1" si="100"/>
        <v>152.6515327889031</v>
      </c>
      <c r="J232" s="306">
        <f t="shared" ca="1" si="101"/>
        <v>163.57172651412057</v>
      </c>
      <c r="K232" s="307">
        <f t="shared" ca="1" si="102"/>
        <v>780.17775875363714</v>
      </c>
      <c r="L232" s="304">
        <f t="shared" ca="1" si="87"/>
        <v>797.14054279572224</v>
      </c>
      <c r="M232" s="306">
        <f t="shared" ca="1" si="103"/>
        <v>1.3381470541693701</v>
      </c>
      <c r="N232" s="304">
        <f t="shared" ca="1" si="104"/>
        <v>76.670178571768858</v>
      </c>
      <c r="P232" s="310">
        <f t="shared" ca="1" si="105"/>
        <v>23</v>
      </c>
      <c r="Q232" s="304">
        <f t="shared" ca="1" si="106"/>
        <v>0</v>
      </c>
      <c r="R232" s="306">
        <f t="shared" ca="1" si="107"/>
        <v>0</v>
      </c>
      <c r="S232" s="307">
        <f t="shared" ca="1" si="108"/>
        <v>7.150000000000003</v>
      </c>
      <c r="T232" s="304">
        <f t="shared" ca="1" si="88"/>
        <v>70.141500000000036</v>
      </c>
      <c r="U232" s="311">
        <f t="shared" ca="1" si="89"/>
        <v>0</v>
      </c>
      <c r="V232" s="306">
        <f t="shared" ca="1" si="90"/>
        <v>1.133016402403429</v>
      </c>
      <c r="W232" s="304">
        <f t="shared" ca="1" si="91"/>
        <v>68.907734188725868</v>
      </c>
      <c r="Y232" s="314" t="str">
        <f t="shared" ca="1" si="109"/>
        <v/>
      </c>
      <c r="Z232" s="315" t="str">
        <f t="shared" ca="1" si="110"/>
        <v/>
      </c>
      <c r="AA232" s="316" t="str">
        <f t="shared" ca="1" si="111"/>
        <v/>
      </c>
      <c r="AC232" s="310" t="e">
        <f t="shared" ca="1" si="112"/>
        <v>#N/A</v>
      </c>
      <c r="AD232" s="323" t="e">
        <f t="shared" ca="1" si="113"/>
        <v>#N/A</v>
      </c>
      <c r="AE232" s="324">
        <f t="shared" ca="1" si="92"/>
        <v>780.17775875363714</v>
      </c>
      <c r="AG232" s="306">
        <f t="shared" ca="1" si="114"/>
        <v>-19.448398589865235</v>
      </c>
      <c r="AH232" s="304">
        <f t="shared" ca="1" si="115"/>
        <v>-9.8993698110080981</v>
      </c>
    </row>
    <row r="233" spans="1:34" x14ac:dyDescent="0.2">
      <c r="A233" s="347">
        <f t="shared" ca="1" si="93"/>
        <v>0.1</v>
      </c>
      <c r="B233" s="304">
        <f t="shared" ca="1" si="94"/>
        <v>4.8999999999999995</v>
      </c>
      <c r="D233" s="306">
        <f t="shared" ca="1" si="95"/>
        <v>-2.2219730473057964</v>
      </c>
      <c r="E233" s="307">
        <f t="shared" ca="1" si="96"/>
        <v>-19.187802966546137</v>
      </c>
      <c r="F233" s="304">
        <f t="shared" ca="1" si="97"/>
        <v>19.316028238381463</v>
      </c>
      <c r="G233" s="306">
        <f t="shared" ca="1" si="98"/>
        <v>34.972564323752032</v>
      </c>
      <c r="H233" s="307">
        <f t="shared" ca="1" si="99"/>
        <v>146.62016818728964</v>
      </c>
      <c r="I233" s="304">
        <f t="shared" ca="1" si="100"/>
        <v>150.73338706022653</v>
      </c>
      <c r="J233" s="306">
        <f t="shared" ca="1" si="101"/>
        <v>167.0800928117323</v>
      </c>
      <c r="K233" s="307">
        <f t="shared" ca="1" si="102"/>
        <v>794.93571458719885</v>
      </c>
      <c r="L233" s="304">
        <f t="shared" ca="1" si="87"/>
        <v>812.30446738906812</v>
      </c>
      <c r="M233" s="306">
        <f t="shared" ca="1" si="103"/>
        <v>1.33664655219601</v>
      </c>
      <c r="N233" s="304">
        <f t="shared" ca="1" si="104"/>
        <v>76.584206141544271</v>
      </c>
      <c r="P233" s="310">
        <f t="shared" ca="1" si="105"/>
        <v>23</v>
      </c>
      <c r="Q233" s="304">
        <f t="shared" ca="1" si="106"/>
        <v>0</v>
      </c>
      <c r="R233" s="306">
        <f t="shared" ca="1" si="107"/>
        <v>0</v>
      </c>
      <c r="S233" s="307">
        <f t="shared" ca="1" si="108"/>
        <v>7.150000000000003</v>
      </c>
      <c r="T233" s="304">
        <f t="shared" ca="1" si="88"/>
        <v>70.141500000000036</v>
      </c>
      <c r="U233" s="311">
        <f t="shared" ca="1" si="89"/>
        <v>0</v>
      </c>
      <c r="V233" s="306">
        <f t="shared" ca="1" si="90"/>
        <v>1.1313429419802226</v>
      </c>
      <c r="W233" s="304">
        <f t="shared" ca="1" si="91"/>
        <v>67.08765655331878</v>
      </c>
      <c r="Y233" s="314" t="str">
        <f t="shared" ca="1" si="109"/>
        <v/>
      </c>
      <c r="Z233" s="315" t="str">
        <f t="shared" ca="1" si="110"/>
        <v/>
      </c>
      <c r="AA233" s="316" t="str">
        <f t="shared" ca="1" si="111"/>
        <v/>
      </c>
      <c r="AC233" s="310" t="e">
        <f t="shared" ca="1" si="112"/>
        <v>#N/A</v>
      </c>
      <c r="AD233" s="323" t="e">
        <f t="shared" ca="1" si="113"/>
        <v>#N/A</v>
      </c>
      <c r="AE233" s="324">
        <f t="shared" ca="1" si="92"/>
        <v>794.93571458719885</v>
      </c>
      <c r="AG233" s="306">
        <f t="shared" ca="1" si="114"/>
        <v>-19.18315417220353</v>
      </c>
      <c r="AH233" s="304">
        <f t="shared" ca="1" si="115"/>
        <v>-9.6374453410805376</v>
      </c>
    </row>
    <row r="234" spans="1:34" x14ac:dyDescent="0.2">
      <c r="A234" s="347">
        <f t="shared" ca="1" si="93"/>
        <v>0.1</v>
      </c>
      <c r="B234" s="304">
        <f t="shared" ca="1" si="94"/>
        <v>4.9999999999999991</v>
      </c>
      <c r="D234" s="306">
        <f t="shared" ca="1" si="95"/>
        <v>-2.1769808035860017</v>
      </c>
      <c r="E234" s="307">
        <f t="shared" ca="1" si="96"/>
        <v>-18.936848366263476</v>
      </c>
      <c r="F234" s="304">
        <f t="shared" ca="1" si="97"/>
        <v>19.061570540384064</v>
      </c>
      <c r="G234" s="306">
        <f t="shared" ca="1" si="98"/>
        <v>34.75486624339343</v>
      </c>
      <c r="H234" s="307">
        <f t="shared" ca="1" si="99"/>
        <v>144.7264833506633</v>
      </c>
      <c r="I234" s="304">
        <f t="shared" ca="1" si="100"/>
        <v>148.8410417547727</v>
      </c>
      <c r="J234" s="306">
        <f t="shared" ca="1" si="101"/>
        <v>170.56646434008957</v>
      </c>
      <c r="K234" s="307">
        <f t="shared" ca="1" si="102"/>
        <v>809.50304716409653</v>
      </c>
      <c r="L234" s="304">
        <f t="shared" ca="1" si="87"/>
        <v>827.27752424771973</v>
      </c>
      <c r="M234" s="306">
        <f t="shared" ca="1" si="103"/>
        <v>1.3351173514713586</v>
      </c>
      <c r="N234" s="304">
        <f t="shared" ca="1" si="104"/>
        <v>76.496589393993403</v>
      </c>
      <c r="P234" s="310">
        <f t="shared" ca="1" si="105"/>
        <v>23</v>
      </c>
      <c r="Q234" s="304">
        <f t="shared" ca="1" si="106"/>
        <v>0</v>
      </c>
      <c r="R234" s="306">
        <f t="shared" ca="1" si="107"/>
        <v>0</v>
      </c>
      <c r="S234" s="307">
        <f t="shared" ca="1" si="108"/>
        <v>7.150000000000003</v>
      </c>
      <c r="T234" s="304">
        <f t="shared" ca="1" si="88"/>
        <v>70.141500000000036</v>
      </c>
      <c r="U234" s="311">
        <f t="shared" ca="1" si="89"/>
        <v>0</v>
      </c>
      <c r="V234" s="306">
        <f t="shared" ca="1" si="90"/>
        <v>1.1296934248714645</v>
      </c>
      <c r="W234" s="304">
        <f t="shared" ca="1" si="91"/>
        <v>65.318384796449266</v>
      </c>
      <c r="Y234" s="314" t="str">
        <f t="shared" ca="1" si="109"/>
        <v/>
      </c>
      <c r="Z234" s="315" t="str">
        <f t="shared" ca="1" si="110"/>
        <v/>
      </c>
      <c r="AA234" s="316" t="str">
        <f t="shared" ca="1" si="111"/>
        <v/>
      </c>
      <c r="AC234" s="310">
        <f t="shared" ca="1" si="112"/>
        <v>4.9999999999999991</v>
      </c>
      <c r="AD234" s="323">
        <f t="shared" ca="1" si="113"/>
        <v>170.56646434008957</v>
      </c>
      <c r="AE234" s="324">
        <f t="shared" ca="1" si="92"/>
        <v>809.50304716409653</v>
      </c>
      <c r="AG234" s="306">
        <f t="shared" ca="1" si="114"/>
        <v>-18.925193344484043</v>
      </c>
      <c r="AH234" s="304">
        <f t="shared" ca="1" si="115"/>
        <v>-9.382889028436189</v>
      </c>
    </row>
    <row r="235" spans="1:34" x14ac:dyDescent="0.2">
      <c r="A235" s="347">
        <f t="shared" ca="1" si="93"/>
        <v>0.1</v>
      </c>
      <c r="B235" s="304">
        <f t="shared" ca="1" si="94"/>
        <v>5.0999999999999988</v>
      </c>
      <c r="D235" s="306">
        <f t="shared" ca="1" si="95"/>
        <v>-2.1331545188940897</v>
      </c>
      <c r="E235" s="307">
        <f t="shared" ca="1" si="96"/>
        <v>-18.692898578894784</v>
      </c>
      <c r="F235" s="304">
        <f t="shared" ca="1" si="97"/>
        <v>18.814218173560253</v>
      </c>
      <c r="G235" s="306">
        <f t="shared" ca="1" si="98"/>
        <v>34.541550791504022</v>
      </c>
      <c r="H235" s="307">
        <f t="shared" ca="1" si="99"/>
        <v>142.85719349277383</v>
      </c>
      <c r="I235" s="304">
        <f t="shared" ca="1" si="100"/>
        <v>146.97379515993276</v>
      </c>
      <c r="J235" s="306">
        <f t="shared" ca="1" si="101"/>
        <v>174.03128519183443</v>
      </c>
      <c r="K235" s="307">
        <f t="shared" ca="1" si="102"/>
        <v>823.8822310062684</v>
      </c>
      <c r="L235" s="304">
        <f t="shared" ca="1" si="87"/>
        <v>842.0622416385786</v>
      </c>
      <c r="M235" s="306">
        <f t="shared" ca="1" si="103"/>
        <v>1.3335587962482136</v>
      </c>
      <c r="N235" s="304">
        <f t="shared" ca="1" si="104"/>
        <v>76.407290757569115</v>
      </c>
      <c r="P235" s="310">
        <f t="shared" ca="1" si="105"/>
        <v>23</v>
      </c>
      <c r="Q235" s="304">
        <f t="shared" ca="1" si="106"/>
        <v>0</v>
      </c>
      <c r="R235" s="306">
        <f t="shared" ca="1" si="107"/>
        <v>0</v>
      </c>
      <c r="S235" s="307">
        <f t="shared" ca="1" si="108"/>
        <v>7.150000000000003</v>
      </c>
      <c r="T235" s="304">
        <f t="shared" ca="1" si="88"/>
        <v>70.141500000000036</v>
      </c>
      <c r="U235" s="311">
        <f t="shared" ca="1" si="89"/>
        <v>0</v>
      </c>
      <c r="V235" s="306">
        <f t="shared" ca="1" si="90"/>
        <v>1.1280674759118721</v>
      </c>
      <c r="W235" s="304">
        <f t="shared" ca="1" si="91"/>
        <v>63.598127508835887</v>
      </c>
      <c r="Y235" s="314" t="str">
        <f t="shared" ca="1" si="109"/>
        <v/>
      </c>
      <c r="Z235" s="315" t="str">
        <f t="shared" ca="1" si="110"/>
        <v/>
      </c>
      <c r="AA235" s="316" t="str">
        <f t="shared" ca="1" si="111"/>
        <v/>
      </c>
      <c r="AC235" s="310" t="e">
        <f t="shared" ca="1" si="112"/>
        <v>#N/A</v>
      </c>
      <c r="AD235" s="323" t="e">
        <f t="shared" ca="1" si="113"/>
        <v>#N/A</v>
      </c>
      <c r="AE235" s="324">
        <f t="shared" ca="1" si="92"/>
        <v>823.8822310062684</v>
      </c>
      <c r="AG235" s="306">
        <f t="shared" ca="1" si="114"/>
        <v>-18.674251014139934</v>
      </c>
      <c r="AH235" s="304">
        <f t="shared" ca="1" si="115"/>
        <v>-9.1354384330698242</v>
      </c>
    </row>
    <row r="236" spans="1:34" x14ac:dyDescent="0.2">
      <c r="A236" s="347">
        <f t="shared" ca="1" si="93"/>
        <v>0.1</v>
      </c>
      <c r="B236" s="304">
        <f t="shared" ca="1" si="94"/>
        <v>5.1999999999999984</v>
      </c>
      <c r="D236" s="306">
        <f t="shared" ca="1" si="95"/>
        <v>-2.0904520511078686</v>
      </c>
      <c r="E236" s="307">
        <f t="shared" ca="1" si="96"/>
        <v>-18.45570658552877</v>
      </c>
      <c r="F236" s="304">
        <f t="shared" ca="1" si="97"/>
        <v>18.57372055752727</v>
      </c>
      <c r="G236" s="306">
        <f t="shared" ca="1" si="98"/>
        <v>34.332505586393232</v>
      </c>
      <c r="H236" s="307">
        <f t="shared" ca="1" si="99"/>
        <v>141.01162283422096</v>
      </c>
      <c r="I236" s="304">
        <f t="shared" ca="1" si="100"/>
        <v>145.13097089932359</v>
      </c>
      <c r="J236" s="306">
        <f t="shared" ca="1" si="101"/>
        <v>177.47498801072931</v>
      </c>
      <c r="K236" s="307">
        <f t="shared" ca="1" si="102"/>
        <v>838.07567182261812</v>
      </c>
      <c r="L236" s="304">
        <f t="shared" ca="1" si="87"/>
        <v>856.66107829779526</v>
      </c>
      <c r="M236" s="306">
        <f t="shared" ca="1" si="103"/>
        <v>1.3319702092173422</v>
      </c>
      <c r="N236" s="304">
        <f t="shared" ca="1" si="104"/>
        <v>76.316271425310973</v>
      </c>
      <c r="P236" s="310">
        <f t="shared" ca="1" si="105"/>
        <v>23</v>
      </c>
      <c r="Q236" s="304">
        <f t="shared" ca="1" si="106"/>
        <v>0</v>
      </c>
      <c r="R236" s="306">
        <f t="shared" ca="1" si="107"/>
        <v>0</v>
      </c>
      <c r="S236" s="307">
        <f t="shared" ca="1" si="108"/>
        <v>7.150000000000003</v>
      </c>
      <c r="T236" s="304">
        <f t="shared" ca="1" si="88"/>
        <v>70.141500000000036</v>
      </c>
      <c r="U236" s="311">
        <f t="shared" ca="1" si="89"/>
        <v>0</v>
      </c>
      <c r="V236" s="306">
        <f t="shared" ca="1" si="90"/>
        <v>1.1264647307984452</v>
      </c>
      <c r="W236" s="304">
        <f t="shared" ca="1" si="91"/>
        <v>61.925173733179548</v>
      </c>
      <c r="Y236" s="314" t="str">
        <f t="shared" ca="1" si="109"/>
        <v/>
      </c>
      <c r="Z236" s="315" t="str">
        <f t="shared" ca="1" si="110"/>
        <v/>
      </c>
      <c r="AA236" s="316" t="str">
        <f t="shared" ca="1" si="111"/>
        <v/>
      </c>
      <c r="AC236" s="310" t="e">
        <f t="shared" ca="1" si="112"/>
        <v>#N/A</v>
      </c>
      <c r="AD236" s="323" t="e">
        <f t="shared" ca="1" si="113"/>
        <v>#N/A</v>
      </c>
      <c r="AE236" s="324">
        <f t="shared" ca="1" si="92"/>
        <v>838.07567182261812</v>
      </c>
      <c r="AG236" s="306">
        <f t="shared" ca="1" si="114"/>
        <v>-18.430073874650358</v>
      </c>
      <c r="AH236" s="304">
        <f t="shared" ca="1" si="115"/>
        <v>-8.8948430082287917</v>
      </c>
    </row>
    <row r="237" spans="1:34" x14ac:dyDescent="0.2">
      <c r="A237" s="347">
        <f t="shared" ca="1" si="93"/>
        <v>0.1</v>
      </c>
      <c r="B237" s="304">
        <f t="shared" ca="1" si="94"/>
        <v>5.299999999999998</v>
      </c>
      <c r="D237" s="306">
        <f t="shared" ca="1" si="95"/>
        <v>-2.0488331419057322</v>
      </c>
      <c r="E237" s="307">
        <f t="shared" ca="1" si="96"/>
        <v>-18.22503645953427</v>
      </c>
      <c r="F237" s="304">
        <f t="shared" ca="1" si="97"/>
        <v>18.33983836337509</v>
      </c>
      <c r="G237" s="306">
        <f t="shared" ca="1" si="98"/>
        <v>34.127622272202657</v>
      </c>
      <c r="H237" s="307">
        <f t="shared" ca="1" si="99"/>
        <v>139.18911918826754</v>
      </c>
      <c r="I237" s="304">
        <f t="shared" ca="1" si="100"/>
        <v>143.31191681908345</v>
      </c>
      <c r="J237" s="306">
        <f t="shared" ca="1" si="101"/>
        <v>180.89799440365911</v>
      </c>
      <c r="K237" s="307">
        <f t="shared" ca="1" si="102"/>
        <v>852.08570892374257</v>
      </c>
      <c r="L237" s="304">
        <f t="shared" ca="1" si="87"/>
        <v>871.07642588428666</v>
      </c>
      <c r="M237" s="306">
        <f t="shared" ca="1" si="103"/>
        <v>1.33035089066653</v>
      </c>
      <c r="N237" s="304">
        <f t="shared" ca="1" si="104"/>
        <v>76.223491306662197</v>
      </c>
      <c r="P237" s="310">
        <f t="shared" ca="1" si="105"/>
        <v>23</v>
      </c>
      <c r="Q237" s="304">
        <f t="shared" ca="1" si="106"/>
        <v>0</v>
      </c>
      <c r="R237" s="306">
        <f t="shared" ca="1" si="107"/>
        <v>0</v>
      </c>
      <c r="S237" s="307">
        <f t="shared" ca="1" si="108"/>
        <v>7.150000000000003</v>
      </c>
      <c r="T237" s="304">
        <f t="shared" ca="1" si="88"/>
        <v>70.141500000000036</v>
      </c>
      <c r="U237" s="311">
        <f t="shared" ca="1" si="89"/>
        <v>0</v>
      </c>
      <c r="V237" s="306">
        <f t="shared" ca="1" si="90"/>
        <v>1.124884835694409</v>
      </c>
      <c r="W237" s="304">
        <f t="shared" ca="1" si="91"/>
        <v>60.297888666898849</v>
      </c>
      <c r="Y237" s="314" t="str">
        <f t="shared" ca="1" si="109"/>
        <v/>
      </c>
      <c r="Z237" s="315" t="str">
        <f t="shared" ca="1" si="110"/>
        <v/>
      </c>
      <c r="AA237" s="316" t="str">
        <f t="shared" ca="1" si="111"/>
        <v/>
      </c>
      <c r="AC237" s="310" t="e">
        <f t="shared" ca="1" si="112"/>
        <v>#N/A</v>
      </c>
      <c r="AD237" s="323" t="e">
        <f t="shared" ca="1" si="113"/>
        <v>#N/A</v>
      </c>
      <c r="AE237" s="324">
        <f t="shared" ca="1" si="92"/>
        <v>852.08570892374257</v>
      </c>
      <c r="AG237" s="306">
        <f t="shared" ca="1" si="114"/>
        <v>-18.192419759207606</v>
      </c>
      <c r="AH237" s="304">
        <f t="shared" ca="1" si="115"/>
        <v>-8.660863459185947</v>
      </c>
    </row>
    <row r="238" spans="1:34" x14ac:dyDescent="0.2">
      <c r="A238" s="347">
        <f t="shared" ca="1" si="93"/>
        <v>0.1</v>
      </c>
      <c r="B238" s="304">
        <f t="shared" ca="1" si="94"/>
        <v>5.3999999999999977</v>
      </c>
      <c r="D238" s="306">
        <f t="shared" ca="1" si="95"/>
        <v>-2.0082593161055962</v>
      </c>
      <c r="E238" s="307">
        <f t="shared" ca="1" si="96"/>
        <v>-18.00066277400899</v>
      </c>
      <c r="F238" s="304">
        <f t="shared" ca="1" si="97"/>
        <v>18.112342912619503</v>
      </c>
      <c r="G238" s="306">
        <f t="shared" ca="1" si="98"/>
        <v>33.926796340592098</v>
      </c>
      <c r="H238" s="307">
        <f t="shared" ca="1" si="99"/>
        <v>137.38905291086664</v>
      </c>
      <c r="I238" s="304">
        <f t="shared" ca="1" si="100"/>
        <v>141.51600393482329</v>
      </c>
      <c r="J238" s="306">
        <f t="shared" ca="1" si="101"/>
        <v>184.30071533429884</v>
      </c>
      <c r="K238" s="307">
        <f t="shared" ca="1" si="102"/>
        <v>865.9146175286993</v>
      </c>
      <c r="L238" s="304">
        <f t="shared" ca="1" si="87"/>
        <v>885.31061132384934</v>
      </c>
      <c r="M238" s="306">
        <f t="shared" ca="1" si="103"/>
        <v>1.3287001175998985</v>
      </c>
      <c r="N238" s="304">
        <f t="shared" ca="1" si="104"/>
        <v>76.12890897701034</v>
      </c>
      <c r="P238" s="310">
        <f t="shared" ca="1" si="105"/>
        <v>23</v>
      </c>
      <c r="Q238" s="304">
        <f t="shared" ca="1" si="106"/>
        <v>0</v>
      </c>
      <c r="R238" s="306">
        <f t="shared" ca="1" si="107"/>
        <v>0</v>
      </c>
      <c r="S238" s="307">
        <f t="shared" ca="1" si="108"/>
        <v>7.150000000000003</v>
      </c>
      <c r="T238" s="304">
        <f t="shared" ca="1" si="88"/>
        <v>70.141500000000036</v>
      </c>
      <c r="U238" s="311">
        <f t="shared" ca="1" si="89"/>
        <v>0</v>
      </c>
      <c r="V238" s="306">
        <f t="shared" ca="1" si="90"/>
        <v>1.1233274468513772</v>
      </c>
      <c r="W238" s="304">
        <f t="shared" ca="1" si="91"/>
        <v>58.714709631898629</v>
      </c>
      <c r="Y238" s="314" t="str">
        <f t="shared" ca="1" si="109"/>
        <v/>
      </c>
      <c r="Z238" s="315" t="str">
        <f t="shared" ca="1" si="110"/>
        <v/>
      </c>
      <c r="AA238" s="316" t="str">
        <f t="shared" ca="1" si="111"/>
        <v/>
      </c>
      <c r="AC238" s="310" t="e">
        <f t="shared" ca="1" si="112"/>
        <v>#N/A</v>
      </c>
      <c r="AD238" s="323" t="e">
        <f t="shared" ca="1" si="113"/>
        <v>#N/A</v>
      </c>
      <c r="AE238" s="324">
        <f t="shared" ca="1" si="92"/>
        <v>865.9146175286993</v>
      </c>
      <c r="AG238" s="306">
        <f t="shared" ca="1" si="114"/>
        <v>-17.961057034311281</v>
      </c>
      <c r="AH238" s="304">
        <f t="shared" ca="1" si="115"/>
        <v>-8.433271142223612</v>
      </c>
    </row>
    <row r="239" spans="1:34" x14ac:dyDescent="0.2">
      <c r="A239" s="347">
        <f t="shared" ca="1" si="93"/>
        <v>0.1</v>
      </c>
      <c r="B239" s="304">
        <f t="shared" ca="1" si="94"/>
        <v>5.4999999999999973</v>
      </c>
      <c r="D239" s="306">
        <f t="shared" ca="1" si="95"/>
        <v>-1.9686937872662609</v>
      </c>
      <c r="E239" s="307">
        <f t="shared" ca="1" si="96"/>
        <v>-17.782370046045386</v>
      </c>
      <c r="F239" s="304">
        <f t="shared" ca="1" si="97"/>
        <v>17.89101561350034</v>
      </c>
      <c r="G239" s="306">
        <f t="shared" ca="1" si="98"/>
        <v>33.729926961865473</v>
      </c>
      <c r="H239" s="307">
        <f t="shared" ca="1" si="99"/>
        <v>135.6108159062621</v>
      </c>
      <c r="I239" s="304">
        <f t="shared" ca="1" si="100"/>
        <v>139.74262543553019</v>
      </c>
      <c r="J239" s="306">
        <f t="shared" ca="1" si="101"/>
        <v>187.68355149942172</v>
      </c>
      <c r="K239" s="307">
        <f t="shared" ca="1" si="102"/>
        <v>879.5646109695557</v>
      </c>
      <c r="L239" s="304">
        <f t="shared" ca="1" si="87"/>
        <v>899.36589904969264</v>
      </c>
      <c r="M239" s="306">
        <f t="shared" ca="1" si="103"/>
        <v>1.3270171428153565</v>
      </c>
      <c r="N239" s="304">
        <f t="shared" ca="1" si="104"/>
        <v>76.032481624829146</v>
      </c>
      <c r="P239" s="310">
        <f t="shared" ca="1" si="105"/>
        <v>23</v>
      </c>
      <c r="Q239" s="304">
        <f t="shared" ca="1" si="106"/>
        <v>0</v>
      </c>
      <c r="R239" s="306">
        <f t="shared" ca="1" si="107"/>
        <v>0</v>
      </c>
      <c r="S239" s="307">
        <f t="shared" ca="1" si="108"/>
        <v>7.150000000000003</v>
      </c>
      <c r="T239" s="304">
        <f t="shared" ca="1" si="88"/>
        <v>70.141500000000036</v>
      </c>
      <c r="U239" s="311">
        <f t="shared" ca="1" si="89"/>
        <v>0</v>
      </c>
      <c r="V239" s="306">
        <f t="shared" ca="1" si="90"/>
        <v>1.1217922302487444</v>
      </c>
      <c r="W239" s="304">
        <f t="shared" ca="1" si="91"/>
        <v>57.174142292526028</v>
      </c>
      <c r="Y239" s="314" t="str">
        <f t="shared" ca="1" si="109"/>
        <v/>
      </c>
      <c r="Z239" s="315" t="str">
        <f t="shared" ca="1" si="110"/>
        <v/>
      </c>
      <c r="AA239" s="316" t="str">
        <f t="shared" ca="1" si="111"/>
        <v/>
      </c>
      <c r="AC239" s="310" t="e">
        <f t="shared" ca="1" si="112"/>
        <v>#N/A</v>
      </c>
      <c r="AD239" s="323" t="e">
        <f t="shared" ca="1" si="113"/>
        <v>#N/A</v>
      </c>
      <c r="AE239" s="324">
        <f t="shared" ca="1" si="92"/>
        <v>879.5646109695557</v>
      </c>
      <c r="AG239" s="306">
        <f t="shared" ca="1" si="114"/>
        <v>-17.735764030407964</v>
      </c>
      <c r="AH239" s="304">
        <f t="shared" ca="1" si="115"/>
        <v>-8.21184750096484</v>
      </c>
    </row>
    <row r="240" spans="1:34" x14ac:dyDescent="0.2">
      <c r="A240" s="347">
        <f t="shared" ca="1" si="93"/>
        <v>0.1</v>
      </c>
      <c r="B240" s="304">
        <f t="shared" ca="1" si="94"/>
        <v>5.599999999999997</v>
      </c>
      <c r="D240" s="306">
        <f t="shared" ca="1" si="95"/>
        <v>-1.9301013691097857</v>
      </c>
      <c r="E240" s="307">
        <f t="shared" ca="1" si="96"/>
        <v>-17.5699522152151</v>
      </c>
      <c r="F240" s="304">
        <f t="shared" ca="1" si="97"/>
        <v>17.675647431989059</v>
      </c>
      <c r="G240" s="306">
        <f t="shared" ca="1" si="98"/>
        <v>33.536916824954496</v>
      </c>
      <c r="H240" s="307">
        <f t="shared" ca="1" si="99"/>
        <v>133.85382068474058</v>
      </c>
      <c r="I240" s="304">
        <f t="shared" ca="1" si="100"/>
        <v>137.99119574098415</v>
      </c>
      <c r="J240" s="306">
        <f t="shared" ca="1" si="101"/>
        <v>191.04689368876274</v>
      </c>
      <c r="K240" s="307">
        <f t="shared" ca="1" si="102"/>
        <v>893.03784279910587</v>
      </c>
      <c r="L240" s="304">
        <f t="shared" ca="1" si="87"/>
        <v>913.24449314485651</v>
      </c>
      <c r="M240" s="306">
        <f t="shared" ca="1" si="103"/>
        <v>1.3253011939379291</v>
      </c>
      <c r="N240" s="304">
        <f t="shared" ca="1" si="104"/>
        <v>75.934164996292338</v>
      </c>
      <c r="P240" s="310">
        <f t="shared" ca="1" si="105"/>
        <v>23</v>
      </c>
      <c r="Q240" s="304">
        <f t="shared" ca="1" si="106"/>
        <v>0</v>
      </c>
      <c r="R240" s="306">
        <f t="shared" ca="1" si="107"/>
        <v>0</v>
      </c>
      <c r="S240" s="307">
        <f t="shared" ca="1" si="108"/>
        <v>7.150000000000003</v>
      </c>
      <c r="T240" s="304">
        <f t="shared" ca="1" si="88"/>
        <v>70.141500000000036</v>
      </c>
      <c r="U240" s="311">
        <f t="shared" ca="1" si="89"/>
        <v>0</v>
      </c>
      <c r="V240" s="306">
        <f t="shared" ca="1" si="90"/>
        <v>1.1202788612493759</v>
      </c>
      <c r="W240" s="304">
        <f t="shared" ca="1" si="91"/>
        <v>55.674757104354605</v>
      </c>
      <c r="Y240" s="314" t="str">
        <f t="shared" ca="1" si="109"/>
        <v/>
      </c>
      <c r="Z240" s="315" t="str">
        <f t="shared" ca="1" si="110"/>
        <v/>
      </c>
      <c r="AA240" s="316" t="str">
        <f t="shared" ca="1" si="111"/>
        <v/>
      </c>
      <c r="AC240" s="310" t="e">
        <f t="shared" ca="1" si="112"/>
        <v>#N/A</v>
      </c>
      <c r="AD240" s="323" t="e">
        <f t="shared" ca="1" si="113"/>
        <v>#N/A</v>
      </c>
      <c r="AE240" s="324">
        <f t="shared" ca="1" si="92"/>
        <v>893.03784279910587</v>
      </c>
      <c r="AG240" s="306">
        <f t="shared" ca="1" si="114"/>
        <v>-17.516328506921468</v>
      </c>
      <c r="AH240" s="304">
        <f t="shared" ca="1" si="115"/>
        <v>-7.9963835374162242</v>
      </c>
    </row>
    <row r="241" spans="1:34" x14ac:dyDescent="0.2">
      <c r="A241" s="347">
        <f t="shared" ca="1" si="93"/>
        <v>0.1</v>
      </c>
      <c r="B241" s="304">
        <f t="shared" ca="1" si="94"/>
        <v>5.6999999999999966</v>
      </c>
      <c r="D241" s="306">
        <f t="shared" ca="1" si="95"/>
        <v>-1.8924483923582662</v>
      </c>
      <c r="E241" s="307">
        <f t="shared" ca="1" si="96"/>
        <v>-17.363212153878209</v>
      </c>
      <c r="F241" s="304">
        <f t="shared" ca="1" si="97"/>
        <v>17.466038395077554</v>
      </c>
      <c r="G241" s="306">
        <f t="shared" ca="1" si="98"/>
        <v>33.347671985718669</v>
      </c>
      <c r="H241" s="307">
        <f t="shared" ca="1" si="99"/>
        <v>132.11749946935277</v>
      </c>
      <c r="I241" s="304">
        <f t="shared" ca="1" si="100"/>
        <v>136.26114960949624</v>
      </c>
      <c r="J241" s="306">
        <f t="shared" ca="1" si="101"/>
        <v>194.3911231292964</v>
      </c>
      <c r="K241" s="307">
        <f t="shared" ca="1" si="102"/>
        <v>906.3364088068106</v>
      </c>
      <c r="L241" s="304">
        <f t="shared" ca="1" si="87"/>
        <v>926.94853939164034</v>
      </c>
      <c r="M241" s="306">
        <f t="shared" ca="1" si="103"/>
        <v>1.3235514724065638</v>
      </c>
      <c r="N241" s="304">
        <f t="shared" ca="1" si="104"/>
        <v>75.833913337221944</v>
      </c>
      <c r="P241" s="310">
        <f t="shared" ca="1" si="105"/>
        <v>23</v>
      </c>
      <c r="Q241" s="304">
        <f t="shared" ca="1" si="106"/>
        <v>0</v>
      </c>
      <c r="R241" s="306">
        <f t="shared" ca="1" si="107"/>
        <v>0</v>
      </c>
      <c r="S241" s="307">
        <f t="shared" ca="1" si="108"/>
        <v>7.150000000000003</v>
      </c>
      <c r="T241" s="304">
        <f t="shared" ca="1" si="88"/>
        <v>70.141500000000036</v>
      </c>
      <c r="U241" s="311">
        <f t="shared" ca="1" si="89"/>
        <v>0</v>
      </c>
      <c r="V241" s="306">
        <f t="shared" ca="1" si="90"/>
        <v>1.1187870242707234</v>
      </c>
      <c r="W241" s="304">
        <f t="shared" ca="1" si="91"/>
        <v>54.215185977796516</v>
      </c>
      <c r="Y241" s="314" t="str">
        <f t="shared" ca="1" si="109"/>
        <v/>
      </c>
      <c r="Z241" s="315" t="str">
        <f t="shared" ca="1" si="110"/>
        <v/>
      </c>
      <c r="AA241" s="316" t="str">
        <f t="shared" ca="1" si="111"/>
        <v/>
      </c>
      <c r="AC241" s="310" t="e">
        <f t="shared" ca="1" si="112"/>
        <v>#N/A</v>
      </c>
      <c r="AD241" s="323" t="e">
        <f t="shared" ca="1" si="113"/>
        <v>#N/A</v>
      </c>
      <c r="AE241" s="324">
        <f t="shared" ca="1" si="92"/>
        <v>906.3364088068106</v>
      </c>
      <c r="AG241" s="306">
        <f t="shared" ca="1" si="114"/>
        <v>-17.30254714922533</v>
      </c>
      <c r="AH241" s="304">
        <f t="shared" ca="1" si="115"/>
        <v>-7.7866793152943474</v>
      </c>
    </row>
    <row r="242" spans="1:34" x14ac:dyDescent="0.2">
      <c r="A242" s="347">
        <f t="shared" ca="1" si="93"/>
        <v>0.1</v>
      </c>
      <c r="B242" s="304">
        <f t="shared" ca="1" si="94"/>
        <v>5.7999999999999963</v>
      </c>
      <c r="D242" s="306">
        <f t="shared" ca="1" si="95"/>
        <v>-1.8557026266103314</v>
      </c>
      <c r="E242" s="307">
        <f t="shared" ca="1" si="96"/>
        <v>-17.161961207111034</v>
      </c>
      <c r="F242" s="304">
        <f t="shared" ca="1" si="97"/>
        <v>17.261997124110309</v>
      </c>
      <c r="G242" s="306">
        <f t="shared" ca="1" si="98"/>
        <v>33.162101723057638</v>
      </c>
      <c r="H242" s="307">
        <f t="shared" ca="1" si="99"/>
        <v>130.40130334864165</v>
      </c>
      <c r="I242" s="304">
        <f t="shared" ca="1" si="100"/>
        <v>134.55194129299986</v>
      </c>
      <c r="J242" s="306">
        <f t="shared" ca="1" si="101"/>
        <v>197.71661181473522</v>
      </c>
      <c r="K242" s="307">
        <f t="shared" ca="1" si="102"/>
        <v>919.46234894771032</v>
      </c>
      <c r="L242" s="304">
        <f t="shared" ca="1" si="87"/>
        <v>940.48012723286161</v>
      </c>
      <c r="M242" s="306">
        <f t="shared" ca="1" si="103"/>
        <v>1.3217671524118704</v>
      </c>
      <c r="N242" s="304">
        <f t="shared" ca="1" si="104"/>
        <v>75.731679332225198</v>
      </c>
      <c r="P242" s="310">
        <f t="shared" ca="1" si="105"/>
        <v>23</v>
      </c>
      <c r="Q242" s="304">
        <f t="shared" ca="1" si="106"/>
        <v>0</v>
      </c>
      <c r="R242" s="306">
        <f t="shared" ca="1" si="107"/>
        <v>0</v>
      </c>
      <c r="S242" s="307">
        <f t="shared" ca="1" si="108"/>
        <v>7.150000000000003</v>
      </c>
      <c r="T242" s="304">
        <f t="shared" ca="1" si="88"/>
        <v>70.141500000000036</v>
      </c>
      <c r="U242" s="311">
        <f t="shared" ca="1" si="89"/>
        <v>0</v>
      </c>
      <c r="V242" s="306">
        <f t="shared" ca="1" si="90"/>
        <v>1.1173164124705528</v>
      </c>
      <c r="W242" s="304">
        <f t="shared" ca="1" si="91"/>
        <v>52.794119141781756</v>
      </c>
      <c r="Y242" s="314" t="str">
        <f t="shared" ca="1" si="109"/>
        <v/>
      </c>
      <c r="Z242" s="315" t="str">
        <f t="shared" ca="1" si="110"/>
        <v/>
      </c>
      <c r="AA242" s="316" t="str">
        <f t="shared" ca="1" si="111"/>
        <v/>
      </c>
      <c r="AC242" s="310" t="e">
        <f t="shared" ca="1" si="112"/>
        <v>#N/A</v>
      </c>
      <c r="AD242" s="323" t="e">
        <f t="shared" ca="1" si="113"/>
        <v>#N/A</v>
      </c>
      <c r="AE242" s="324">
        <f t="shared" ca="1" si="92"/>
        <v>919.46234894771032</v>
      </c>
      <c r="AG242" s="306">
        <f t="shared" ca="1" si="114"/>
        <v>-17.094225095297833</v>
      </c>
      <c r="AH242" s="304">
        <f t="shared" ca="1" si="115"/>
        <v>-7.5825434933981111</v>
      </c>
    </row>
    <row r="243" spans="1:34" x14ac:dyDescent="0.2">
      <c r="A243" s="347">
        <f t="shared" ca="1" si="93"/>
        <v>0.1</v>
      </c>
      <c r="B243" s="304">
        <f t="shared" ca="1" si="94"/>
        <v>5.8999999999999959</v>
      </c>
      <c r="D243" s="306">
        <f t="shared" ca="1" si="95"/>
        <v>-1.8198332069117331</v>
      </c>
      <c r="E243" s="307">
        <f t="shared" ca="1" si="96"/>
        <v>-16.9660187602171</v>
      </c>
      <c r="F243" s="304">
        <f t="shared" ca="1" si="97"/>
        <v>17.063340396095285</v>
      </c>
      <c r="G243" s="306">
        <f t="shared" ca="1" si="98"/>
        <v>32.980118402366465</v>
      </c>
      <c r="H243" s="307">
        <f t="shared" ca="1" si="99"/>
        <v>128.70470147261994</v>
      </c>
      <c r="I243" s="304">
        <f t="shared" ca="1" si="100"/>
        <v>132.86304373673792</v>
      </c>
      <c r="J243" s="306">
        <f t="shared" ca="1" si="101"/>
        <v>201.02372282100643</v>
      </c>
      <c r="K243" s="307">
        <f t="shared" ca="1" si="102"/>
        <v>932.41764918877345</v>
      </c>
      <c r="L243" s="304">
        <f t="shared" ca="1" si="87"/>
        <v>953.84129164947319</v>
      </c>
      <c r="M243" s="306">
        <f t="shared" ca="1" si="103"/>
        <v>1.3199473797820975</v>
      </c>
      <c r="N243" s="304">
        <f t="shared" ca="1" si="104"/>
        <v>75.627414040865801</v>
      </c>
      <c r="P243" s="310">
        <f t="shared" ca="1" si="105"/>
        <v>23</v>
      </c>
      <c r="Q243" s="304">
        <f t="shared" ca="1" si="106"/>
        <v>0</v>
      </c>
      <c r="R243" s="306">
        <f t="shared" ca="1" si="107"/>
        <v>0</v>
      </c>
      <c r="S243" s="307">
        <f t="shared" ca="1" si="108"/>
        <v>7.150000000000003</v>
      </c>
      <c r="T243" s="304">
        <f t="shared" ca="1" si="88"/>
        <v>70.141500000000036</v>
      </c>
      <c r="U243" s="311">
        <f t="shared" ca="1" si="89"/>
        <v>0</v>
      </c>
      <c r="V243" s="306">
        <f t="shared" ca="1" si="90"/>
        <v>1.1158667274465057</v>
      </c>
      <c r="W243" s="304">
        <f t="shared" ca="1" si="91"/>
        <v>51.410302193878401</v>
      </c>
      <c r="Y243" s="314" t="str">
        <f t="shared" ca="1" si="109"/>
        <v/>
      </c>
      <c r="Z243" s="315" t="str">
        <f t="shared" ca="1" si="110"/>
        <v/>
      </c>
      <c r="AA243" s="316" t="str">
        <f t="shared" ca="1" si="111"/>
        <v/>
      </c>
      <c r="AC243" s="310" t="e">
        <f t="shared" ca="1" si="112"/>
        <v>#N/A</v>
      </c>
      <c r="AD243" s="323" t="e">
        <f t="shared" ca="1" si="113"/>
        <v>#N/A</v>
      </c>
      <c r="AE243" s="324">
        <f t="shared" ca="1" si="92"/>
        <v>932.41764918877345</v>
      </c>
      <c r="AG243" s="306">
        <f t="shared" ca="1" si="114"/>
        <v>-16.891175489971623</v>
      </c>
      <c r="AH243" s="304">
        <f t="shared" ca="1" si="115"/>
        <v>-7.38379288696248</v>
      </c>
    </row>
    <row r="244" spans="1:34" x14ac:dyDescent="0.2">
      <c r="A244" s="347">
        <f t="shared" ca="1" si="93"/>
        <v>0.1</v>
      </c>
      <c r="B244" s="304">
        <f t="shared" ca="1" si="94"/>
        <v>5.9999999999999956</v>
      </c>
      <c r="D244" s="306">
        <f t="shared" ca="1" si="95"/>
        <v>-1.7848105647009731</v>
      </c>
      <c r="E244" s="307">
        <f t="shared" ca="1" si="96"/>
        <v>-16.77521183194218</v>
      </c>
      <c r="F244" s="304">
        <f t="shared" ca="1" si="97"/>
        <v>16.869892731087567</v>
      </c>
      <c r="G244" s="306">
        <f t="shared" ca="1" si="98"/>
        <v>32.801637345896367</v>
      </c>
      <c r="H244" s="307">
        <f t="shared" ca="1" si="99"/>
        <v>127.02718028942573</v>
      </c>
      <c r="I244" s="304">
        <f t="shared" ca="1" si="100"/>
        <v>131.19394782097979</v>
      </c>
      <c r="J244" s="306">
        <f t="shared" ca="1" si="101"/>
        <v>204.31281060841957</v>
      </c>
      <c r="K244" s="307">
        <f t="shared" ca="1" si="102"/>
        <v>945.20424327687579</v>
      </c>
      <c r="L244" s="304">
        <f t="shared" ca="1" si="87"/>
        <v>967.03401495879314</v>
      </c>
      <c r="M244" s="306">
        <f t="shared" ca="1" si="103"/>
        <v>1.3180912708144721</v>
      </c>
      <c r="N244" s="304">
        <f t="shared" ca="1" si="104"/>
        <v>75.52106683070447</v>
      </c>
      <c r="P244" s="310">
        <f t="shared" ca="1" si="105"/>
        <v>23</v>
      </c>
      <c r="Q244" s="304">
        <f t="shared" ca="1" si="106"/>
        <v>0</v>
      </c>
      <c r="R244" s="306">
        <f t="shared" ca="1" si="107"/>
        <v>0</v>
      </c>
      <c r="S244" s="307">
        <f t="shared" ca="1" si="108"/>
        <v>7.150000000000003</v>
      </c>
      <c r="T244" s="304">
        <f t="shared" ca="1" si="88"/>
        <v>70.141500000000036</v>
      </c>
      <c r="U244" s="311">
        <f t="shared" ca="1" si="89"/>
        <v>0</v>
      </c>
      <c r="V244" s="306">
        <f t="shared" ca="1" si="90"/>
        <v>1.11443767894879</v>
      </c>
      <c r="W244" s="304">
        <f t="shared" ca="1" si="91"/>
        <v>50.062533324265587</v>
      </c>
      <c r="Y244" s="314" t="str">
        <f t="shared" ca="1" si="109"/>
        <v/>
      </c>
      <c r="Z244" s="315" t="str">
        <f t="shared" ca="1" si="110"/>
        <v/>
      </c>
      <c r="AA244" s="316" t="str">
        <f t="shared" ca="1" si="111"/>
        <v/>
      </c>
      <c r="AC244" s="310">
        <f t="shared" ca="1" si="112"/>
        <v>5.9999999999999956</v>
      </c>
      <c r="AD244" s="323">
        <f t="shared" ca="1" si="113"/>
        <v>204.31281060841957</v>
      </c>
      <c r="AE244" s="324">
        <f t="shared" ca="1" si="92"/>
        <v>945.20424327687579</v>
      </c>
      <c r="AG244" s="306">
        <f t="shared" ca="1" si="114"/>
        <v>-16.693219064846993</v>
      </c>
      <c r="AH244" s="304">
        <f t="shared" ca="1" si="115"/>
        <v>-7.1902520550878855</v>
      </c>
    </row>
    <row r="245" spans="1:34" x14ac:dyDescent="0.2">
      <c r="A245" s="347">
        <f t="shared" ca="1" si="93"/>
        <v>0.1</v>
      </c>
      <c r="B245" s="304">
        <f t="shared" ca="1" si="94"/>
        <v>6.0999999999999952</v>
      </c>
      <c r="D245" s="306">
        <f t="shared" ca="1" si="95"/>
        <v>-1.7506063628353532</v>
      </c>
      <c r="E245" s="307">
        <f t="shared" ca="1" si="96"/>
        <v>-16.589374691657653</v>
      </c>
      <c r="F245" s="304">
        <f t="shared" ca="1" si="97"/>
        <v>16.681486003884999</v>
      </c>
      <c r="G245" s="306">
        <f t="shared" ca="1" si="98"/>
        <v>32.626576709612834</v>
      </c>
      <c r="H245" s="307">
        <f t="shared" ca="1" si="99"/>
        <v>125.36824282025997</v>
      </c>
      <c r="I245" s="304">
        <f t="shared" ca="1" si="100"/>
        <v>129.54416164238322</v>
      </c>
      <c r="J245" s="306">
        <f t="shared" ca="1" si="101"/>
        <v>207.58422131119502</v>
      </c>
      <c r="K245" s="307">
        <f t="shared" ca="1" si="102"/>
        <v>957.82401443236006</v>
      </c>
      <c r="L245" s="304">
        <f t="shared" ca="1" si="87"/>
        <v>980.06022853735737</v>
      </c>
      <c r="M245" s="306">
        <f t="shared" ca="1" si="103"/>
        <v>1.3161979110488611</v>
      </c>
      <c r="N245" s="304">
        <f t="shared" ca="1" si="104"/>
        <v>75.412585307035087</v>
      </c>
      <c r="P245" s="310">
        <f t="shared" ca="1" si="105"/>
        <v>23</v>
      </c>
      <c r="Q245" s="304">
        <f t="shared" ca="1" si="106"/>
        <v>0</v>
      </c>
      <c r="R245" s="306">
        <f t="shared" ca="1" si="107"/>
        <v>0</v>
      </c>
      <c r="S245" s="307">
        <f t="shared" ca="1" si="108"/>
        <v>7.150000000000003</v>
      </c>
      <c r="T245" s="304">
        <f t="shared" ca="1" si="88"/>
        <v>70.141500000000036</v>
      </c>
      <c r="U245" s="311">
        <f t="shared" ca="1" si="89"/>
        <v>0</v>
      </c>
      <c r="V245" s="306">
        <f t="shared" ca="1" si="90"/>
        <v>1.1130289846053065</v>
      </c>
      <c r="W245" s="304">
        <f t="shared" ca="1" si="91"/>
        <v>48.749660701922799</v>
      </c>
      <c r="Y245" s="314" t="str">
        <f t="shared" ca="1" si="109"/>
        <v/>
      </c>
      <c r="Z245" s="315" t="str">
        <f t="shared" ca="1" si="110"/>
        <v/>
      </c>
      <c r="AA245" s="316" t="str">
        <f t="shared" ca="1" si="111"/>
        <v/>
      </c>
      <c r="AC245" s="310" t="e">
        <f t="shared" ca="1" si="112"/>
        <v>#N/A</v>
      </c>
      <c r="AD245" s="323" t="e">
        <f t="shared" ca="1" si="113"/>
        <v>#N/A</v>
      </c>
      <c r="AE245" s="324">
        <f t="shared" ca="1" si="92"/>
        <v>957.82401443236006</v>
      </c>
      <c r="AG245" s="306">
        <f t="shared" ca="1" si="114"/>
        <v>-16.500183742081173</v>
      </c>
      <c r="AH245" s="304">
        <f t="shared" ca="1" si="115"/>
        <v>-7.0017529124846947</v>
      </c>
    </row>
    <row r="246" spans="1:34" x14ac:dyDescent="0.2">
      <c r="A246" s="347">
        <f t="shared" ca="1" si="93"/>
        <v>0.1</v>
      </c>
      <c r="B246" s="304">
        <f t="shared" ca="1" si="94"/>
        <v>6.1999999999999948</v>
      </c>
      <c r="D246" s="306">
        <f t="shared" ca="1" si="95"/>
        <v>-1.7171934344250901</v>
      </c>
      <c r="E246" s="307">
        <f t="shared" ca="1" si="96"/>
        <v>-16.408348498907394</v>
      </c>
      <c r="F246" s="304">
        <f t="shared" ca="1" si="97"/>
        <v>16.49795907840813</v>
      </c>
      <c r="G246" s="306">
        <f t="shared" ca="1" si="98"/>
        <v>32.454857366170323</v>
      </c>
      <c r="H246" s="307">
        <f t="shared" ca="1" si="99"/>
        <v>123.72740797036923</v>
      </c>
      <c r="I246" s="304">
        <f t="shared" ca="1" si="100"/>
        <v>127.91320983277937</v>
      </c>
      <c r="J246" s="306">
        <f t="shared" ca="1" si="101"/>
        <v>210.83829301498417</v>
      </c>
      <c r="K246" s="307">
        <f t="shared" ca="1" si="102"/>
        <v>970.27879697189155</v>
      </c>
      <c r="L246" s="304">
        <f t="shared" ca="1" si="87"/>
        <v>992.92181447216353</v>
      </c>
      <c r="M246" s="306">
        <f t="shared" ca="1" si="103"/>
        <v>1.3142663539805191</v>
      </c>
      <c r="N246" s="304">
        <f t="shared" ca="1" si="104"/>
        <v>75.301915239130423</v>
      </c>
      <c r="P246" s="310">
        <f t="shared" ca="1" si="105"/>
        <v>23</v>
      </c>
      <c r="Q246" s="304">
        <f t="shared" ca="1" si="106"/>
        <v>0</v>
      </c>
      <c r="R246" s="306">
        <f t="shared" ca="1" si="107"/>
        <v>0</v>
      </c>
      <c r="S246" s="307">
        <f t="shared" ca="1" si="108"/>
        <v>7.150000000000003</v>
      </c>
      <c r="T246" s="304">
        <f t="shared" ca="1" si="88"/>
        <v>70.141500000000036</v>
      </c>
      <c r="U246" s="311">
        <f t="shared" ca="1" si="89"/>
        <v>0</v>
      </c>
      <c r="V246" s="306">
        <f t="shared" ca="1" si="90"/>
        <v>1.1116403696585857</v>
      </c>
      <c r="W246" s="304">
        <f t="shared" ca="1" si="91"/>
        <v>47.470580012268378</v>
      </c>
      <c r="Y246" s="314" t="str">
        <f t="shared" ca="1" si="109"/>
        <v/>
      </c>
      <c r="Z246" s="315" t="str">
        <f t="shared" ca="1" si="110"/>
        <v/>
      </c>
      <c r="AA246" s="316" t="str">
        <f t="shared" ca="1" si="111"/>
        <v/>
      </c>
      <c r="AC246" s="310" t="e">
        <f t="shared" ca="1" si="112"/>
        <v>#N/A</v>
      </c>
      <c r="AD246" s="323" t="e">
        <f t="shared" ca="1" si="113"/>
        <v>#N/A</v>
      </c>
      <c r="AE246" s="324">
        <f t="shared" ca="1" si="92"/>
        <v>970.27879697189155</v>
      </c>
      <c r="AG246" s="306">
        <f t="shared" ca="1" si="114"/>
        <v>-16.311904260397277</v>
      </c>
      <c r="AH246" s="304">
        <f t="shared" ca="1" si="115"/>
        <v>-6.8181343639052834</v>
      </c>
    </row>
    <row r="247" spans="1:34" x14ac:dyDescent="0.2">
      <c r="A247" s="347">
        <f t="shared" ca="1" si="93"/>
        <v>0.1</v>
      </c>
      <c r="B247" s="304">
        <f t="shared" ca="1" si="94"/>
        <v>6.2999999999999945</v>
      </c>
      <c r="D247" s="306">
        <f t="shared" ca="1" si="95"/>
        <v>-1.6845457252235621</v>
      </c>
      <c r="E247" s="307">
        <f t="shared" ca="1" si="96"/>
        <v>-16.231980963833493</v>
      </c>
      <c r="F247" s="304">
        <f t="shared" ca="1" si="97"/>
        <v>16.319157463258385</v>
      </c>
      <c r="G247" s="306">
        <f t="shared" ca="1" si="98"/>
        <v>32.286402793647966</v>
      </c>
      <c r="H247" s="307">
        <f t="shared" ca="1" si="99"/>
        <v>122.10420987398588</v>
      </c>
      <c r="I247" s="304">
        <f t="shared" ca="1" si="100"/>
        <v>126.30063291331548</v>
      </c>
      <c r="J247" s="306">
        <f t="shared" ca="1" si="101"/>
        <v>214.07535602297509</v>
      </c>
      <c r="K247" s="307">
        <f t="shared" ca="1" si="102"/>
        <v>982.57037786410933</v>
      </c>
      <c r="L247" s="304">
        <f t="shared" ca="1" si="87"/>
        <v>1005.6206071438583</v>
      </c>
      <c r="M247" s="306">
        <f t="shared" ca="1" si="103"/>
        <v>1.3122956197084794</v>
      </c>
      <c r="N247" s="304">
        <f t="shared" ca="1" si="104"/>
        <v>75.189000482800765</v>
      </c>
      <c r="P247" s="310">
        <f t="shared" ca="1" si="105"/>
        <v>23</v>
      </c>
      <c r="Q247" s="304">
        <f t="shared" ca="1" si="106"/>
        <v>0</v>
      </c>
      <c r="R247" s="306">
        <f t="shared" ca="1" si="107"/>
        <v>0</v>
      </c>
      <c r="S247" s="307">
        <f t="shared" ca="1" si="108"/>
        <v>7.150000000000003</v>
      </c>
      <c r="T247" s="304">
        <f t="shared" ca="1" si="88"/>
        <v>70.141500000000036</v>
      </c>
      <c r="U247" s="311">
        <f t="shared" ca="1" si="89"/>
        <v>0</v>
      </c>
      <c r="V247" s="306">
        <f t="shared" ca="1" si="90"/>
        <v>1.1102715667139291</v>
      </c>
      <c r="W247" s="304">
        <f t="shared" ca="1" si="91"/>
        <v>46.224232136282176</v>
      </c>
      <c r="Y247" s="314" t="str">
        <f t="shared" ca="1" si="109"/>
        <v/>
      </c>
      <c r="Z247" s="315" t="str">
        <f t="shared" ca="1" si="110"/>
        <v/>
      </c>
      <c r="AA247" s="316" t="str">
        <f t="shared" ca="1" si="111"/>
        <v/>
      </c>
      <c r="AC247" s="310" t="e">
        <f t="shared" ca="1" si="112"/>
        <v>#N/A</v>
      </c>
      <c r="AD247" s="323" t="e">
        <f t="shared" ca="1" si="113"/>
        <v>#N/A</v>
      </c>
      <c r="AE247" s="324">
        <f t="shared" ca="1" si="92"/>
        <v>982.57037786410933</v>
      </c>
      <c r="AG247" s="306">
        <f t="shared" ca="1" si="114"/>
        <v>-16.128221821775782</v>
      </c>
      <c r="AH247" s="304">
        <f t="shared" ca="1" si="115"/>
        <v>-6.6392419597578121</v>
      </c>
    </row>
    <row r="248" spans="1:34" x14ac:dyDescent="0.2">
      <c r="A248" s="347">
        <f t="shared" ca="1" si="93"/>
        <v>0.1</v>
      </c>
      <c r="B248" s="304">
        <f t="shared" ca="1" si="94"/>
        <v>6.3999999999999941</v>
      </c>
      <c r="D248" s="306">
        <f t="shared" ca="1" si="95"/>
        <v>-1.6526382393406185</v>
      </c>
      <c r="E248" s="307">
        <f t="shared" ca="1" si="96"/>
        <v>-16.060126027106445</v>
      </c>
      <c r="F248" s="304">
        <f t="shared" ca="1" si="97"/>
        <v>16.144932987060454</v>
      </c>
      <c r="G248" s="306">
        <f t="shared" ca="1" si="98"/>
        <v>32.121138969713904</v>
      </c>
      <c r="H248" s="307">
        <f t="shared" ca="1" si="99"/>
        <v>120.49819727127523</v>
      </c>
      <c r="I248" s="304">
        <f t="shared" ca="1" si="100"/>
        <v>124.70598668203077</v>
      </c>
      <c r="J248" s="306">
        <f t="shared" ca="1" si="101"/>
        <v>217.29573311114319</v>
      </c>
      <c r="K248" s="307">
        <f t="shared" ca="1" si="102"/>
        <v>994.70049822137241</v>
      </c>
      <c r="L248" s="304">
        <f t="shared" ca="1" si="87"/>
        <v>1018.1583947452162</v>
      </c>
      <c r="M248" s="306">
        <f t="shared" ca="1" si="103"/>
        <v>1.310284693515938</v>
      </c>
      <c r="N248" s="304">
        <f t="shared" ca="1" si="104"/>
        <v>75.073782899055828</v>
      </c>
      <c r="P248" s="310">
        <f t="shared" ca="1" si="105"/>
        <v>23</v>
      </c>
      <c r="Q248" s="304">
        <f t="shared" ca="1" si="106"/>
        <v>0</v>
      </c>
      <c r="R248" s="306">
        <f t="shared" ca="1" si="107"/>
        <v>0</v>
      </c>
      <c r="S248" s="307">
        <f t="shared" ca="1" si="108"/>
        <v>7.150000000000003</v>
      </c>
      <c r="T248" s="304">
        <f t="shared" ca="1" si="88"/>
        <v>70.141500000000036</v>
      </c>
      <c r="U248" s="311">
        <f t="shared" ca="1" si="89"/>
        <v>0</v>
      </c>
      <c r="V248" s="306">
        <f t="shared" ca="1" si="90"/>
        <v>1.1089223154981982</v>
      </c>
      <c r="W248" s="304">
        <f t="shared" ca="1" si="91"/>
        <v>45.009600961879364</v>
      </c>
      <c r="Y248" s="314" t="str">
        <f t="shared" ca="1" si="109"/>
        <v/>
      </c>
      <c r="Z248" s="315" t="str">
        <f t="shared" ca="1" si="110"/>
        <v/>
      </c>
      <c r="AA248" s="316" t="str">
        <f t="shared" ca="1" si="111"/>
        <v/>
      </c>
      <c r="AC248" s="310" t="e">
        <f t="shared" ca="1" si="112"/>
        <v>#N/A</v>
      </c>
      <c r="AD248" s="323" t="e">
        <f t="shared" ca="1" si="113"/>
        <v>#N/A</v>
      </c>
      <c r="AE248" s="324">
        <f t="shared" ca="1" si="92"/>
        <v>994.70049822137241</v>
      </c>
      <c r="AG248" s="306">
        <f t="shared" ca="1" si="114"/>
        <v>-15.948983757401555</v>
      </c>
      <c r="AH248" s="304">
        <f t="shared" ca="1" si="115"/>
        <v>-6.4649275715079941</v>
      </c>
    </row>
    <row r="249" spans="1:34" x14ac:dyDescent="0.2">
      <c r="A249" s="347">
        <f t="shared" ca="1" si="93"/>
        <v>0.1</v>
      </c>
      <c r="B249" s="304">
        <f t="shared" ca="1" si="94"/>
        <v>6.4999999999999938</v>
      </c>
      <c r="D249" s="306">
        <f t="shared" ca="1" si="95"/>
        <v>-1.6214469880630231</v>
      </c>
      <c r="E249" s="307">
        <f t="shared" ca="1" si="96"/>
        <v>-15.892643558086554</v>
      </c>
      <c r="F249" s="304">
        <f t="shared" ca="1" si="97"/>
        <v>15.975143492297297</v>
      </c>
      <c r="G249" s="306">
        <f t="shared" ca="1" si="98"/>
        <v>31.958994270907603</v>
      </c>
      <c r="H249" s="307">
        <f t="shared" ca="1" si="99"/>
        <v>118.90893291546658</v>
      </c>
      <c r="I249" s="304">
        <f t="shared" ca="1" si="100"/>
        <v>123.1288416330749</v>
      </c>
      <c r="J249" s="306">
        <f t="shared" ca="1" si="101"/>
        <v>220.49973977317427</v>
      </c>
      <c r="K249" s="307">
        <f t="shared" ca="1" si="102"/>
        <v>1006.6708547307095</v>
      </c>
      <c r="L249" s="304">
        <f t="shared" ca="1" si="87"/>
        <v>1030.5369207380659</v>
      </c>
      <c r="M249" s="306">
        <f t="shared" ca="1" si="103"/>
        <v>1.3082325243787392</v>
      </c>
      <c r="N249" s="304">
        <f t="shared" ca="1" si="104"/>
        <v>74.956202268647331</v>
      </c>
      <c r="P249" s="310">
        <f t="shared" ca="1" si="105"/>
        <v>23</v>
      </c>
      <c r="Q249" s="304">
        <f t="shared" ca="1" si="106"/>
        <v>0</v>
      </c>
      <c r="R249" s="306">
        <f t="shared" ca="1" si="107"/>
        <v>0</v>
      </c>
      <c r="S249" s="307">
        <f t="shared" ca="1" si="108"/>
        <v>7.150000000000003</v>
      </c>
      <c r="T249" s="304">
        <f t="shared" ca="1" si="88"/>
        <v>70.141500000000036</v>
      </c>
      <c r="U249" s="311">
        <f t="shared" ca="1" si="89"/>
        <v>0</v>
      </c>
      <c r="V249" s="306">
        <f t="shared" ca="1" si="90"/>
        <v>1.1075923626287116</v>
      </c>
      <c r="W249" s="304">
        <f t="shared" ca="1" si="91"/>
        <v>43.825711318977341</v>
      </c>
      <c r="Y249" s="314" t="str">
        <f t="shared" ca="1" si="109"/>
        <v/>
      </c>
      <c r="Z249" s="315" t="str">
        <f t="shared" ca="1" si="110"/>
        <v/>
      </c>
      <c r="AA249" s="316" t="str">
        <f t="shared" ca="1" si="111"/>
        <v/>
      </c>
      <c r="AC249" s="310" t="e">
        <f t="shared" ca="1" si="112"/>
        <v>#N/A</v>
      </c>
      <c r="AD249" s="323" t="e">
        <f t="shared" ca="1" si="113"/>
        <v>#N/A</v>
      </c>
      <c r="AE249" s="324">
        <f t="shared" ca="1" si="92"/>
        <v>1006.6708547307095</v>
      </c>
      <c r="AG249" s="306">
        <f t="shared" ca="1" si="114"/>
        <v>-15.774043211539091</v>
      </c>
      <c r="AH249" s="304">
        <f t="shared" ca="1" si="115"/>
        <v>-6.2950490855775305</v>
      </c>
    </row>
    <row r="250" spans="1:34" x14ac:dyDescent="0.2">
      <c r="A250" s="347">
        <f t="shared" ca="1" si="93"/>
        <v>0.1</v>
      </c>
      <c r="B250" s="304">
        <f t="shared" ca="1" si="94"/>
        <v>6.5999999999999934</v>
      </c>
      <c r="D250" s="306">
        <f t="shared" ca="1" si="95"/>
        <v>-1.5909489415819833</v>
      </c>
      <c r="E250" s="307">
        <f t="shared" ca="1" si="96"/>
        <v>-15.729399070036262</v>
      </c>
      <c r="F250" s="304">
        <f t="shared" ca="1" si="97"/>
        <v>15.809652546440686</v>
      </c>
      <c r="G250" s="306">
        <f t="shared" ca="1" si="98"/>
        <v>31.799899376749405</v>
      </c>
      <c r="H250" s="307">
        <f t="shared" ca="1" si="99"/>
        <v>117.33599300846295</v>
      </c>
      <c r="I250" s="304">
        <f t="shared" ca="1" si="100"/>
        <v>121.56878240590162</v>
      </c>
      <c r="J250" s="306">
        <f t="shared" ca="1" si="101"/>
        <v>223.68768445555713</v>
      </c>
      <c r="K250" s="307">
        <f t="shared" ca="1" si="102"/>
        <v>1018.483101026906</v>
      </c>
      <c r="L250" s="304">
        <f t="shared" ca="1" si="87"/>
        <v>1042.7578852516397</v>
      </c>
      <c r="M250" s="306">
        <f t="shared" ca="1" si="103"/>
        <v>1.3061380233978299</v>
      </c>
      <c r="N250" s="304">
        <f t="shared" ca="1" si="104"/>
        <v>74.836196202255223</v>
      </c>
      <c r="P250" s="310">
        <f t="shared" ca="1" si="105"/>
        <v>23</v>
      </c>
      <c r="Q250" s="304">
        <f t="shared" ca="1" si="106"/>
        <v>0</v>
      </c>
      <c r="R250" s="306">
        <f t="shared" ca="1" si="107"/>
        <v>0</v>
      </c>
      <c r="S250" s="307">
        <f t="shared" ca="1" si="108"/>
        <v>7.150000000000003</v>
      </c>
      <c r="T250" s="304">
        <f t="shared" ca="1" si="88"/>
        <v>70.141500000000036</v>
      </c>
      <c r="U250" s="311">
        <f t="shared" ca="1" si="89"/>
        <v>0</v>
      </c>
      <c r="V250" s="306">
        <f t="shared" ca="1" si="90"/>
        <v>1.1062814613917595</v>
      </c>
      <c r="W250" s="304">
        <f t="shared" ca="1" si="91"/>
        <v>42.671627030317261</v>
      </c>
      <c r="Y250" s="314" t="str">
        <f t="shared" ca="1" si="109"/>
        <v/>
      </c>
      <c r="Z250" s="315" t="str">
        <f t="shared" ca="1" si="110"/>
        <v/>
      </c>
      <c r="AA250" s="316" t="str">
        <f t="shared" ca="1" si="111"/>
        <v/>
      </c>
      <c r="AC250" s="310" t="e">
        <f t="shared" ca="1" si="112"/>
        <v>#N/A</v>
      </c>
      <c r="AD250" s="323" t="e">
        <f t="shared" ca="1" si="113"/>
        <v>#N/A</v>
      </c>
      <c r="AE250" s="324">
        <f t="shared" ca="1" si="92"/>
        <v>1018.483101026906</v>
      </c>
      <c r="AG250" s="306">
        <f t="shared" ca="1" si="114"/>
        <v>-15.603258842100512</v>
      </c>
      <c r="AH250" s="304">
        <f t="shared" ca="1" si="115"/>
        <v>-6.1294701145422827</v>
      </c>
    </row>
    <row r="251" spans="1:34" x14ac:dyDescent="0.2">
      <c r="A251" s="347">
        <f t="shared" ca="1" si="93"/>
        <v>0.1</v>
      </c>
      <c r="B251" s="304">
        <f t="shared" ca="1" si="94"/>
        <v>6.6999999999999931</v>
      </c>
      <c r="D251" s="306">
        <f t="shared" ca="1" si="95"/>
        <v>-1.5611219834422749</v>
      </c>
      <c r="E251" s="307">
        <f t="shared" ca="1" si="96"/>
        <v>-15.570263451288469</v>
      </c>
      <c r="F251" s="304">
        <f t="shared" ca="1" si="97"/>
        <v>15.648329169266482</v>
      </c>
      <c r="G251" s="306">
        <f t="shared" ca="1" si="98"/>
        <v>31.643787178405177</v>
      </c>
      <c r="H251" s="307">
        <f t="shared" ca="1" si="99"/>
        <v>115.7789666633341</v>
      </c>
      <c r="I251" s="304">
        <f t="shared" ca="1" si="100"/>
        <v>120.02540726288592</v>
      </c>
      <c r="J251" s="306">
        <f t="shared" ca="1" si="101"/>
        <v>226.85986878331485</v>
      </c>
      <c r="K251" s="307">
        <f t="shared" ca="1" si="102"/>
        <v>1030.1388490104957</v>
      </c>
      <c r="L251" s="304">
        <f t="shared" ca="1" si="87"/>
        <v>1054.8229464251581</v>
      </c>
      <c r="M251" s="306">
        <f t="shared" ca="1" si="103"/>
        <v>1.3040000621512844</v>
      </c>
      <c r="N251" s="304">
        <f t="shared" ca="1" si="104"/>
        <v>74.71370004606564</v>
      </c>
      <c r="P251" s="310">
        <f t="shared" ca="1" si="105"/>
        <v>23</v>
      </c>
      <c r="Q251" s="304">
        <f t="shared" ca="1" si="106"/>
        <v>0</v>
      </c>
      <c r="R251" s="306">
        <f t="shared" ca="1" si="107"/>
        <v>0</v>
      </c>
      <c r="S251" s="307">
        <f t="shared" ca="1" si="108"/>
        <v>7.150000000000003</v>
      </c>
      <c r="T251" s="304">
        <f t="shared" ca="1" si="88"/>
        <v>70.141500000000036</v>
      </c>
      <c r="U251" s="311">
        <f t="shared" ca="1" si="89"/>
        <v>0</v>
      </c>
      <c r="V251" s="306">
        <f t="shared" ca="1" si="90"/>
        <v>1.104989371530257</v>
      </c>
      <c r="W251" s="304">
        <f t="shared" ca="1" si="91"/>
        <v>41.546449070672644</v>
      </c>
      <c r="Y251" s="314" t="str">
        <f t="shared" ca="1" si="109"/>
        <v/>
      </c>
      <c r="Z251" s="315" t="str">
        <f t="shared" ca="1" si="110"/>
        <v/>
      </c>
      <c r="AA251" s="316" t="str">
        <f t="shared" ca="1" si="111"/>
        <v/>
      </c>
      <c r="AC251" s="310" t="e">
        <f t="shared" ca="1" si="112"/>
        <v>#N/A</v>
      </c>
      <c r="AD251" s="323" t="e">
        <f t="shared" ca="1" si="113"/>
        <v>#N/A</v>
      </c>
      <c r="AE251" s="324">
        <f t="shared" ca="1" si="92"/>
        <v>1030.1388490104957</v>
      </c>
      <c r="AG251" s="306">
        <f t="shared" ca="1" si="114"/>
        <v>-15.436494536754573</v>
      </c>
      <c r="AH251" s="304">
        <f t="shared" ca="1" si="115"/>
        <v>-5.9680597245198941</v>
      </c>
    </row>
    <row r="252" spans="1:34" x14ac:dyDescent="0.2">
      <c r="A252" s="347">
        <f t="shared" ca="1" si="93"/>
        <v>0.1</v>
      </c>
      <c r="B252" s="304">
        <f t="shared" ca="1" si="94"/>
        <v>6.7999999999999927</v>
      </c>
      <c r="D252" s="306">
        <f t="shared" ca="1" si="95"/>
        <v>-1.5319448675408893</v>
      </c>
      <c r="E252" s="307">
        <f t="shared" ca="1" si="96"/>
        <v>-15.415112711354721</v>
      </c>
      <c r="F252" s="304">
        <f t="shared" ca="1" si="97"/>
        <v>15.491047575324103</v>
      </c>
      <c r="G252" s="306">
        <f t="shared" ca="1" si="98"/>
        <v>31.490592691651088</v>
      </c>
      <c r="H252" s="307">
        <f t="shared" ca="1" si="99"/>
        <v>114.23745539219863</v>
      </c>
      <c r="I252" s="304">
        <f t="shared" ca="1" si="100"/>
        <v>118.49832759392024</v>
      </c>
      <c r="J252" s="306">
        <f t="shared" ca="1" si="101"/>
        <v>230.01658777681766</v>
      </c>
      <c r="K252" s="307">
        <f t="shared" ca="1" si="102"/>
        <v>1041.6396701132724</v>
      </c>
      <c r="L252" s="304">
        <f t="shared" ca="1" si="87"/>
        <v>1066.7337216973021</v>
      </c>
      <c r="M252" s="306">
        <f t="shared" ca="1" si="103"/>
        <v>1.3018174709612136</v>
      </c>
      <c r="N252" s="304">
        <f t="shared" ca="1" si="104"/>
        <v>74.588646782472139</v>
      </c>
      <c r="P252" s="310">
        <f t="shared" ca="1" si="105"/>
        <v>23</v>
      </c>
      <c r="Q252" s="304">
        <f t="shared" ca="1" si="106"/>
        <v>0</v>
      </c>
      <c r="R252" s="306">
        <f t="shared" ca="1" si="107"/>
        <v>0</v>
      </c>
      <c r="S252" s="307">
        <f t="shared" ca="1" si="108"/>
        <v>7.150000000000003</v>
      </c>
      <c r="T252" s="304">
        <f t="shared" ca="1" si="88"/>
        <v>70.141500000000036</v>
      </c>
      <c r="U252" s="311">
        <f t="shared" ca="1" si="89"/>
        <v>0</v>
      </c>
      <c r="V252" s="306">
        <f t="shared" ca="1" si="90"/>
        <v>1.1037158590400964</v>
      </c>
      <c r="W252" s="304">
        <f t="shared" ca="1" si="91"/>
        <v>40.449313827601415</v>
      </c>
      <c r="Y252" s="314" t="str">
        <f t="shared" ca="1" si="109"/>
        <v/>
      </c>
      <c r="Z252" s="315" t="str">
        <f t="shared" ca="1" si="110"/>
        <v/>
      </c>
      <c r="AA252" s="316" t="str">
        <f t="shared" ca="1" si="111"/>
        <v/>
      </c>
      <c r="AC252" s="310" t="e">
        <f t="shared" ca="1" si="112"/>
        <v>#N/A</v>
      </c>
      <c r="AD252" s="323" t="e">
        <f t="shared" ca="1" si="113"/>
        <v>#N/A</v>
      </c>
      <c r="AE252" s="324">
        <f t="shared" ca="1" si="92"/>
        <v>1041.6396701132724</v>
      </c>
      <c r="AG252" s="306">
        <f t="shared" ca="1" si="114"/>
        <v>-15.273619143501596</v>
      </c>
      <c r="AH252" s="304">
        <f t="shared" ca="1" si="115"/>
        <v>-5.8106921777164509</v>
      </c>
    </row>
    <row r="253" spans="1:34" x14ac:dyDescent="0.2">
      <c r="A253" s="347">
        <f t="shared" ca="1" si="93"/>
        <v>0.1</v>
      </c>
      <c r="B253" s="304">
        <f t="shared" ca="1" si="94"/>
        <v>6.8999999999999924</v>
      </c>
      <c r="D253" s="306">
        <f t="shared" ca="1" si="95"/>
        <v>-1.5033971775154611</v>
      </c>
      <c r="E253" s="307">
        <f t="shared" ca="1" si="96"/>
        <v>-15.263827741029257</v>
      </c>
      <c r="F253" s="304">
        <f t="shared" ca="1" si="97"/>
        <v>15.337686930602533</v>
      </c>
      <c r="G253" s="306">
        <f t="shared" ca="1" si="98"/>
        <v>31.340252973899542</v>
      </c>
      <c r="H253" s="307">
        <f t="shared" ca="1" si="99"/>
        <v>112.7110726180957</v>
      </c>
      <c r="I253" s="304">
        <f t="shared" ca="1" si="100"/>
        <v>116.98716744664631</v>
      </c>
      <c r="J253" s="306">
        <f t="shared" ca="1" si="101"/>
        <v>233.1581300600952</v>
      </c>
      <c r="K253" s="307">
        <f t="shared" ca="1" si="102"/>
        <v>1052.987096513787</v>
      </c>
      <c r="L253" s="304">
        <f t="shared" ca="1" si="87"/>
        <v>1078.4917890450793</v>
      </c>
      <c r="M253" s="306">
        <f t="shared" ca="1" si="103"/>
        <v>1.2995890370705809</v>
      </c>
      <c r="N253" s="304">
        <f t="shared" ca="1" si="104"/>
        <v>74.460966925614969</v>
      </c>
      <c r="P253" s="310">
        <f t="shared" ca="1" si="105"/>
        <v>23</v>
      </c>
      <c r="Q253" s="304">
        <f t="shared" ca="1" si="106"/>
        <v>0</v>
      </c>
      <c r="R253" s="306">
        <f t="shared" ca="1" si="107"/>
        <v>0</v>
      </c>
      <c r="S253" s="307">
        <f t="shared" ca="1" si="108"/>
        <v>7.150000000000003</v>
      </c>
      <c r="T253" s="304">
        <f t="shared" ca="1" si="88"/>
        <v>70.141500000000036</v>
      </c>
      <c r="U253" s="311">
        <f t="shared" ca="1" si="89"/>
        <v>0</v>
      </c>
      <c r="V253" s="306">
        <f t="shared" ca="1" si="90"/>
        <v>1.102460695974778</v>
      </c>
      <c r="W253" s="304">
        <f t="shared" ca="1" si="91"/>
        <v>39.37939145738266</v>
      </c>
      <c r="Y253" s="314" t="str">
        <f t="shared" ca="1" si="109"/>
        <v/>
      </c>
      <c r="Z253" s="315" t="str">
        <f t="shared" ca="1" si="110"/>
        <v/>
      </c>
      <c r="AA253" s="316" t="str">
        <f t="shared" ca="1" si="111"/>
        <v/>
      </c>
      <c r="AC253" s="310" t="e">
        <f t="shared" ca="1" si="112"/>
        <v>#N/A</v>
      </c>
      <c r="AD253" s="323" t="e">
        <f t="shared" ca="1" si="113"/>
        <v>#N/A</v>
      </c>
      <c r="AE253" s="324">
        <f t="shared" ca="1" si="92"/>
        <v>1052.987096513787</v>
      </c>
      <c r="AG253" s="306">
        <f t="shared" ca="1" si="114"/>
        <v>-15.114506214709174</v>
      </c>
      <c r="AH253" s="304">
        <f t="shared" ca="1" si="115"/>
        <v>-5.6572466891750208</v>
      </c>
    </row>
    <row r="254" spans="1:34" x14ac:dyDescent="0.2">
      <c r="A254" s="347">
        <f t="shared" ca="1" si="93"/>
        <v>0.1</v>
      </c>
      <c r="B254" s="304">
        <f t="shared" ca="1" si="94"/>
        <v>6.999999999999992</v>
      </c>
      <c r="D254" s="306">
        <f t="shared" ca="1" si="95"/>
        <v>-1.4754592883741211</v>
      </c>
      <c r="E254" s="307">
        <f t="shared" ca="1" si="96"/>
        <v>-15.116294085611758</v>
      </c>
      <c r="F254" s="304">
        <f t="shared" ca="1" si="97"/>
        <v>15.188131122503206</v>
      </c>
      <c r="G254" s="306">
        <f t="shared" ca="1" si="98"/>
        <v>31.192707045062129</v>
      </c>
      <c r="H254" s="307">
        <f t="shared" ca="1" si="99"/>
        <v>111.19944320953452</v>
      </c>
      <c r="I254" s="304">
        <f t="shared" ca="1" si="100"/>
        <v>115.49156308107342</v>
      </c>
      <c r="J254" s="306">
        <f t="shared" ca="1" si="101"/>
        <v>236.28477806104328</v>
      </c>
      <c r="K254" s="307">
        <f t="shared" ca="1" si="102"/>
        <v>1064.1826223051685</v>
      </c>
      <c r="L254" s="304">
        <f t="shared" ca="1" si="87"/>
        <v>1090.0986881744523</v>
      </c>
      <c r="M254" s="306">
        <f t="shared" ca="1" si="103"/>
        <v>1.2973135027246132</v>
      </c>
      <c r="N254" s="304">
        <f t="shared" ca="1" si="104"/>
        <v>74.330588411453959</v>
      </c>
      <c r="P254" s="310">
        <f t="shared" ca="1" si="105"/>
        <v>23</v>
      </c>
      <c r="Q254" s="304">
        <f t="shared" ca="1" si="106"/>
        <v>0</v>
      </c>
      <c r="R254" s="306">
        <f t="shared" ca="1" si="107"/>
        <v>0</v>
      </c>
      <c r="S254" s="307">
        <f t="shared" ca="1" si="108"/>
        <v>7.150000000000003</v>
      </c>
      <c r="T254" s="304">
        <f t="shared" ca="1" si="88"/>
        <v>70.141500000000036</v>
      </c>
      <c r="U254" s="311">
        <f t="shared" ca="1" si="89"/>
        <v>0</v>
      </c>
      <c r="V254" s="306">
        <f t="shared" ca="1" si="90"/>
        <v>1.1012236602579202</v>
      </c>
      <c r="W254" s="304">
        <f t="shared" ca="1" si="91"/>
        <v>38.335884330224268</v>
      </c>
      <c r="Y254" s="314" t="str">
        <f t="shared" ca="1" si="109"/>
        <v/>
      </c>
      <c r="Z254" s="315" t="str">
        <f t="shared" ca="1" si="110"/>
        <v/>
      </c>
      <c r="AA254" s="316" t="str">
        <f t="shared" ca="1" si="111"/>
        <v/>
      </c>
      <c r="AC254" s="310">
        <f t="shared" ca="1" si="112"/>
        <v>6.999999999999992</v>
      </c>
      <c r="AD254" s="323">
        <f t="shared" ca="1" si="113"/>
        <v>236.28477806104328</v>
      </c>
      <c r="AE254" s="324">
        <f t="shared" ca="1" si="92"/>
        <v>1064.1826223051685</v>
      </c>
      <c r="AG254" s="306">
        <f t="shared" ca="1" si="114"/>
        <v>-14.959033763667557</v>
      </c>
      <c r="AH254" s="304">
        <f t="shared" ca="1" si="115"/>
        <v>-5.5076071968367337</v>
      </c>
    </row>
    <row r="255" spans="1:34" x14ac:dyDescent="0.2">
      <c r="A255" s="347">
        <f t="shared" ca="1" si="93"/>
        <v>0.1</v>
      </c>
      <c r="B255" s="304">
        <f t="shared" ca="1" si="94"/>
        <v>7.0999999999999917</v>
      </c>
      <c r="D255" s="306">
        <f t="shared" ca="1" si="95"/>
        <v>-1.4481123302289338</v>
      </c>
      <c r="E255" s="307">
        <f t="shared" ca="1" si="96"/>
        <v>-14.97240173043302</v>
      </c>
      <c r="F255" s="304">
        <f t="shared" ca="1" si="97"/>
        <v>15.042268542292241</v>
      </c>
      <c r="G255" s="306">
        <f t="shared" ca="1" si="98"/>
        <v>31.047895812039236</v>
      </c>
      <c r="H255" s="307">
        <f t="shared" ca="1" si="99"/>
        <v>109.70220303649123</v>
      </c>
      <c r="I255" s="304">
        <f t="shared" ca="1" si="100"/>
        <v>114.01116254742247</v>
      </c>
      <c r="J255" s="306">
        <f t="shared" ca="1" si="101"/>
        <v>239.39680820389836</v>
      </c>
      <c r="K255" s="307">
        <f t="shared" ca="1" si="102"/>
        <v>1075.2277046174697</v>
      </c>
      <c r="L255" s="304">
        <f t="shared" ca="1" si="87"/>
        <v>1101.5559216649724</v>
      </c>
      <c r="M255" s="306">
        <f t="shared" ca="1" si="103"/>
        <v>1.2949895631511563</v>
      </c>
      <c r="N255" s="304">
        <f t="shared" ca="1" si="104"/>
        <v>74.197436482051444</v>
      </c>
      <c r="P255" s="310">
        <f t="shared" ca="1" si="105"/>
        <v>23</v>
      </c>
      <c r="Q255" s="304">
        <f t="shared" ca="1" si="106"/>
        <v>0</v>
      </c>
      <c r="R255" s="306">
        <f t="shared" ca="1" si="107"/>
        <v>0</v>
      </c>
      <c r="S255" s="307">
        <f t="shared" ca="1" si="108"/>
        <v>7.150000000000003</v>
      </c>
      <c r="T255" s="304">
        <f t="shared" ca="1" si="88"/>
        <v>70.141500000000036</v>
      </c>
      <c r="U255" s="311">
        <f t="shared" ca="1" si="89"/>
        <v>0</v>
      </c>
      <c r="V255" s="306">
        <f t="shared" ca="1" si="90"/>
        <v>1.1000045355032799</v>
      </c>
      <c r="W255" s="304">
        <f t="shared" ca="1" si="91"/>
        <v>37.318025559240006</v>
      </c>
      <c r="Y255" s="314" t="str">
        <f t="shared" ca="1" si="109"/>
        <v/>
      </c>
      <c r="Z255" s="315" t="str">
        <f t="shared" ca="1" si="110"/>
        <v/>
      </c>
      <c r="AA255" s="316" t="str">
        <f t="shared" ca="1" si="111"/>
        <v/>
      </c>
      <c r="AC255" s="310" t="e">
        <f t="shared" ca="1" si="112"/>
        <v>#N/A</v>
      </c>
      <c r="AD255" s="323" t="e">
        <f t="shared" ca="1" si="113"/>
        <v>#N/A</v>
      </c>
      <c r="AE255" s="324">
        <f t="shared" ca="1" si="92"/>
        <v>1075.2277046174697</v>
      </c>
      <c r="AG255" s="306">
        <f t="shared" ca="1" si="114"/>
        <v>-14.80708403278199</v>
      </c>
      <c r="AH255" s="304">
        <f t="shared" ca="1" si="115"/>
        <v>-5.3616621440873082</v>
      </c>
    </row>
    <row r="256" spans="1:34" x14ac:dyDescent="0.2">
      <c r="A256" s="347">
        <f t="shared" ca="1" si="93"/>
        <v>0.1</v>
      </c>
      <c r="B256" s="304">
        <f t="shared" ca="1" si="94"/>
        <v>7.1999999999999913</v>
      </c>
      <c r="D256" s="306">
        <f t="shared" ca="1" si="95"/>
        <v>-1.4213381540047676</v>
      </c>
      <c r="E256" s="307">
        <f t="shared" ca="1" si="96"/>
        <v>-14.832044897924487</v>
      </c>
      <c r="F256" s="304">
        <f t="shared" ca="1" si="97"/>
        <v>14.899991879262132</v>
      </c>
      <c r="G256" s="306">
        <f t="shared" ca="1" si="98"/>
        <v>30.905761996638759</v>
      </c>
      <c r="H256" s="307">
        <f t="shared" ca="1" si="99"/>
        <v>108.21899854669878</v>
      </c>
      <c r="I256" s="304">
        <f t="shared" ca="1" si="100"/>
        <v>112.54562528611795</v>
      </c>
      <c r="J256" s="306">
        <f t="shared" ca="1" si="101"/>
        <v>242.49449109433226</v>
      </c>
      <c r="K256" s="307">
        <f t="shared" ca="1" si="102"/>
        <v>1086.1237646966292</v>
      </c>
      <c r="L256" s="304">
        <f t="shared" ca="1" si="87"/>
        <v>1112.8649560705369</v>
      </c>
      <c r="M256" s="306">
        <f t="shared" ca="1" si="103"/>
        <v>1.292615864433952</v>
      </c>
      <c r="N256" s="304">
        <f t="shared" ca="1" si="104"/>
        <v>74.06143356372003</v>
      </c>
      <c r="P256" s="310">
        <f t="shared" ca="1" si="105"/>
        <v>23</v>
      </c>
      <c r="Q256" s="304">
        <f t="shared" ca="1" si="106"/>
        <v>0</v>
      </c>
      <c r="R256" s="306">
        <f t="shared" ca="1" si="107"/>
        <v>0</v>
      </c>
      <c r="S256" s="307">
        <f t="shared" ca="1" si="108"/>
        <v>7.150000000000003</v>
      </c>
      <c r="T256" s="304">
        <f t="shared" ca="1" si="88"/>
        <v>70.141500000000036</v>
      </c>
      <c r="U256" s="311">
        <f t="shared" ca="1" si="89"/>
        <v>0</v>
      </c>
      <c r="V256" s="306">
        <f t="shared" ca="1" si="90"/>
        <v>1.0988031108419312</v>
      </c>
      <c r="W256" s="304">
        <f t="shared" ca="1" si="91"/>
        <v>36.325077608073634</v>
      </c>
      <c r="Y256" s="314" t="str">
        <f t="shared" ca="1" si="109"/>
        <v/>
      </c>
      <c r="Z256" s="315" t="str">
        <f t="shared" ca="1" si="110"/>
        <v/>
      </c>
      <c r="AA256" s="316" t="str">
        <f t="shared" ca="1" si="111"/>
        <v/>
      </c>
      <c r="AC256" s="310" t="e">
        <f t="shared" ca="1" si="112"/>
        <v>#N/A</v>
      </c>
      <c r="AD256" s="323" t="e">
        <f t="shared" ca="1" si="113"/>
        <v>#N/A</v>
      </c>
      <c r="AE256" s="324">
        <f t="shared" ca="1" si="92"/>
        <v>1086.1237646966292</v>
      </c>
      <c r="AG256" s="306">
        <f t="shared" ca="1" si="114"/>
        <v>-14.658543272572434</v>
      </c>
      <c r="AH256" s="304">
        <f t="shared" ca="1" si="115"/>
        <v>-5.2193042740195787</v>
      </c>
    </row>
    <row r="257" spans="1:34" x14ac:dyDescent="0.2">
      <c r="A257" s="347">
        <f t="shared" ca="1" si="93"/>
        <v>0.1</v>
      </c>
      <c r="B257" s="304">
        <f t="shared" ca="1" si="94"/>
        <v>7.2999999999999909</v>
      </c>
      <c r="D257" s="306">
        <f t="shared" ca="1" si="95"/>
        <v>-1.3951192990044152</v>
      </c>
      <c r="E257" s="307">
        <f t="shared" ca="1" si="96"/>
        <v>-14.695121855524881</v>
      </c>
      <c r="F257" s="304">
        <f t="shared" ca="1" si="97"/>
        <v>14.761197925885948</v>
      </c>
      <c r="G257" s="306">
        <f t="shared" ca="1" si="98"/>
        <v>30.766250066738319</v>
      </c>
      <c r="H257" s="307">
        <f t="shared" ca="1" si="99"/>
        <v>106.7494863611463</v>
      </c>
      <c r="I257" s="304">
        <f t="shared" ca="1" si="100"/>
        <v>111.09462174892911</v>
      </c>
      <c r="J257" s="306">
        <f t="shared" ca="1" si="101"/>
        <v>245.57809169750112</v>
      </c>
      <c r="K257" s="307">
        <f t="shared" ca="1" si="102"/>
        <v>1096.8721889420215</v>
      </c>
      <c r="L257" s="304">
        <f t="shared" ca="1" si="87"/>
        <v>1124.0272229782729</v>
      </c>
      <c r="M257" s="306">
        <f t="shared" ca="1" si="103"/>
        <v>1.2901910012724225</v>
      </c>
      <c r="N257" s="304">
        <f t="shared" ca="1" si="104"/>
        <v>73.922499138667632</v>
      </c>
      <c r="P257" s="310">
        <f t="shared" ca="1" si="105"/>
        <v>23</v>
      </c>
      <c r="Q257" s="304">
        <f t="shared" ca="1" si="106"/>
        <v>0</v>
      </c>
      <c r="R257" s="306">
        <f t="shared" ca="1" si="107"/>
        <v>0</v>
      </c>
      <c r="S257" s="307">
        <f t="shared" ca="1" si="108"/>
        <v>7.150000000000003</v>
      </c>
      <c r="T257" s="304">
        <f t="shared" ca="1" si="88"/>
        <v>70.141500000000036</v>
      </c>
      <c r="U257" s="311">
        <f t="shared" ca="1" si="89"/>
        <v>0</v>
      </c>
      <c r="V257" s="306">
        <f t="shared" ca="1" si="90"/>
        <v>1.0976191807562579</v>
      </c>
      <c r="W257" s="304">
        <f t="shared" ca="1" si="91"/>
        <v>35.356330972398673</v>
      </c>
      <c r="Y257" s="314" t="str">
        <f t="shared" ca="1" si="109"/>
        <v/>
      </c>
      <c r="Z257" s="315" t="str">
        <f t="shared" ca="1" si="110"/>
        <v/>
      </c>
      <c r="AA257" s="316" t="str">
        <f t="shared" ca="1" si="111"/>
        <v/>
      </c>
      <c r="AC257" s="310" t="e">
        <f t="shared" ca="1" si="112"/>
        <v>#N/A</v>
      </c>
      <c r="AD257" s="323" t="e">
        <f t="shared" ca="1" si="113"/>
        <v>#N/A</v>
      </c>
      <c r="AE257" s="324">
        <f t="shared" ca="1" si="92"/>
        <v>1096.8721889420215</v>
      </c>
      <c r="AG257" s="306">
        <f t="shared" ca="1" si="114"/>
        <v>-14.513301530699575</v>
      </c>
      <c r="AH257" s="304">
        <f t="shared" ca="1" si="115"/>
        <v>-5.0804304346956108</v>
      </c>
    </row>
    <row r="258" spans="1:34" x14ac:dyDescent="0.2">
      <c r="A258" s="347">
        <f t="shared" ca="1" si="93"/>
        <v>0.1</v>
      </c>
      <c r="B258" s="304">
        <f t="shared" ca="1" si="94"/>
        <v>7.3999999999999906</v>
      </c>
      <c r="D258" s="306">
        <f t="shared" ca="1" si="95"/>
        <v>-1.3694389622190337</v>
      </c>
      <c r="E258" s="307">
        <f t="shared" ca="1" si="96"/>
        <v>-14.561534733765527</v>
      </c>
      <c r="F258" s="304">
        <f t="shared" ca="1" si="97"/>
        <v>14.625787393296246</v>
      </c>
      <c r="G258" s="306">
        <f t="shared" ca="1" si="98"/>
        <v>30.629306170516415</v>
      </c>
      <c r="H258" s="307">
        <f t="shared" ca="1" si="99"/>
        <v>105.29333288776974</v>
      </c>
      <c r="I258" s="304">
        <f t="shared" ca="1" si="100"/>
        <v>109.65783304033472</v>
      </c>
      <c r="J258" s="306">
        <f t="shared" ca="1" si="101"/>
        <v>248.64786950936386</v>
      </c>
      <c r="K258" s="307">
        <f t="shared" ca="1" si="102"/>
        <v>1107.4743299044674</v>
      </c>
      <c r="L258" s="304">
        <f t="shared" ca="1" si="87"/>
        <v>1135.0441200274529</v>
      </c>
      <c r="M258" s="306">
        <f t="shared" ca="1" si="103"/>
        <v>1.2877135146211207</v>
      </c>
      <c r="N258" s="304">
        <f t="shared" ca="1" si="104"/>
        <v>73.780549609748036</v>
      </c>
      <c r="P258" s="310">
        <f t="shared" ca="1" si="105"/>
        <v>23</v>
      </c>
      <c r="Q258" s="304">
        <f t="shared" ca="1" si="106"/>
        <v>0</v>
      </c>
      <c r="R258" s="306">
        <f t="shared" ca="1" si="107"/>
        <v>0</v>
      </c>
      <c r="S258" s="307">
        <f t="shared" ca="1" si="108"/>
        <v>7.150000000000003</v>
      </c>
      <c r="T258" s="304">
        <f t="shared" ca="1" si="88"/>
        <v>70.141500000000036</v>
      </c>
      <c r="U258" s="311">
        <f t="shared" ca="1" si="89"/>
        <v>0</v>
      </c>
      <c r="V258" s="306">
        <f t="shared" ca="1" si="90"/>
        <v>1.0964525449204598</v>
      </c>
      <c r="W258" s="304">
        <f t="shared" ca="1" si="91"/>
        <v>34.411102930847065</v>
      </c>
      <c r="Y258" s="314" t="str">
        <f t="shared" ca="1" si="109"/>
        <v/>
      </c>
      <c r="Z258" s="315" t="str">
        <f t="shared" ca="1" si="110"/>
        <v/>
      </c>
      <c r="AA258" s="316" t="str">
        <f t="shared" ca="1" si="111"/>
        <v/>
      </c>
      <c r="AC258" s="310" t="e">
        <f t="shared" ca="1" si="112"/>
        <v>#N/A</v>
      </c>
      <c r="AD258" s="323" t="e">
        <f t="shared" ca="1" si="113"/>
        <v>#N/A</v>
      </c>
      <c r="AE258" s="324">
        <f t="shared" ca="1" si="92"/>
        <v>1107.4743299044674</v>
      </c>
      <c r="AG258" s="306">
        <f t="shared" ca="1" si="114"/>
        <v>-14.371252450279993</v>
      </c>
      <c r="AH258" s="304">
        <f t="shared" ca="1" si="115"/>
        <v>-4.944941394741071</v>
      </c>
    </row>
    <row r="259" spans="1:34" x14ac:dyDescent="0.2">
      <c r="A259" s="347">
        <f t="shared" ca="1" si="93"/>
        <v>0.1</v>
      </c>
      <c r="B259" s="304">
        <f t="shared" ca="1" si="94"/>
        <v>7.4999999999999902</v>
      </c>
      <c r="D259" s="306">
        <f t="shared" ca="1" si="95"/>
        <v>-1.3442809692806872</v>
      </c>
      <c r="E259" s="307">
        <f t="shared" ca="1" si="96"/>
        <v>-14.431189353920608</v>
      </c>
      <c r="F259" s="304">
        <f t="shared" ca="1" si="97"/>
        <v>14.493664736466126</v>
      </c>
      <c r="G259" s="306">
        <f t="shared" ca="1" si="98"/>
        <v>30.494878073588346</v>
      </c>
      <c r="H259" s="307">
        <f t="shared" ca="1" si="99"/>
        <v>103.85021395237767</v>
      </c>
      <c r="I259" s="304">
        <f t="shared" ca="1" si="100"/>
        <v>108.23495057825654</v>
      </c>
      <c r="J259" s="306">
        <f t="shared" ca="1" si="101"/>
        <v>251.70407872156909</v>
      </c>
      <c r="K259" s="307">
        <f t="shared" ca="1" si="102"/>
        <v>1117.9315072464747</v>
      </c>
      <c r="L259" s="304">
        <f t="shared" ca="1" si="87"/>
        <v>1145.9170118902366</v>
      </c>
      <c r="M259" s="306">
        <f t="shared" ca="1" si="103"/>
        <v>1.2851818892015545</v>
      </c>
      <c r="N259" s="304">
        <f t="shared" ca="1" si="104"/>
        <v>73.635498157898866</v>
      </c>
      <c r="P259" s="310">
        <f t="shared" ca="1" si="105"/>
        <v>23</v>
      </c>
      <c r="Q259" s="304">
        <f t="shared" ca="1" si="106"/>
        <v>0</v>
      </c>
      <c r="R259" s="306">
        <f t="shared" ca="1" si="107"/>
        <v>0</v>
      </c>
      <c r="S259" s="307">
        <f t="shared" ca="1" si="108"/>
        <v>7.150000000000003</v>
      </c>
      <c r="T259" s="304">
        <f t="shared" ca="1" si="88"/>
        <v>70.141500000000036</v>
      </c>
      <c r="U259" s="311">
        <f t="shared" ca="1" si="89"/>
        <v>0</v>
      </c>
      <c r="V259" s="306">
        <f t="shared" ca="1" si="90"/>
        <v>1.0953030080472601</v>
      </c>
      <c r="W259" s="304">
        <f t="shared" ca="1" si="91"/>
        <v>33.48873636121953</v>
      </c>
      <c r="Y259" s="314" t="str">
        <f t="shared" ca="1" si="109"/>
        <v/>
      </c>
      <c r="Z259" s="315" t="str">
        <f t="shared" ca="1" si="110"/>
        <v/>
      </c>
      <c r="AA259" s="316" t="str">
        <f t="shared" ca="1" si="111"/>
        <v/>
      </c>
      <c r="AC259" s="310" t="e">
        <f t="shared" ca="1" si="112"/>
        <v>#N/A</v>
      </c>
      <c r="AD259" s="323" t="e">
        <f t="shared" ca="1" si="113"/>
        <v>#N/A</v>
      </c>
      <c r="AE259" s="324">
        <f t="shared" ca="1" si="92"/>
        <v>1117.9315072464747</v>
      </c>
      <c r="AG259" s="306">
        <f t="shared" ca="1" si="114"/>
        <v>-14.232293076793177</v>
      </c>
      <c r="AH259" s="304">
        <f t="shared" ca="1" si="115"/>
        <v>-4.8127416686499371</v>
      </c>
    </row>
    <row r="260" spans="1:34" x14ac:dyDescent="0.2">
      <c r="A260" s="347">
        <f t="shared" ca="1" si="93"/>
        <v>0.1</v>
      </c>
      <c r="B260" s="304">
        <f t="shared" ca="1" si="94"/>
        <v>7.5999999999999899</v>
      </c>
      <c r="D260" s="306">
        <f t="shared" ca="1" si="95"/>
        <v>-1.3196297469608689</v>
      </c>
      <c r="E260" s="307">
        <f t="shared" ca="1" si="96"/>
        <v>-14.303995064649959</v>
      </c>
      <c r="F260" s="304">
        <f t="shared" ca="1" si="97"/>
        <v>14.364737988511813</v>
      </c>
      <c r="G260" s="306">
        <f t="shared" ca="1" si="98"/>
        <v>30.362915098892259</v>
      </c>
      <c r="H260" s="307">
        <f t="shared" ca="1" si="99"/>
        <v>102.41981444591268</v>
      </c>
      <c r="I260" s="304">
        <f t="shared" ca="1" si="100"/>
        <v>106.82567577337258</v>
      </c>
      <c r="J260" s="306">
        <f t="shared" ca="1" si="101"/>
        <v>254.74696838019312</v>
      </c>
      <c r="K260" s="307">
        <f t="shared" ca="1" si="102"/>
        <v>1128.2450086663891</v>
      </c>
      <c r="L260" s="304">
        <f t="shared" ref="L260:L323" ca="1" si="116">SQRT(pos_x^2+pos_z^2)</f>
        <v>1156.6472312159485</v>
      </c>
      <c r="M260" s="306">
        <f t="shared" ca="1" si="103"/>
        <v>1.2825945508786145</v>
      </c>
      <c r="N260" s="304">
        <f t="shared" ca="1" si="104"/>
        <v>73.487254591821952</v>
      </c>
      <c r="P260" s="310">
        <f t="shared" ca="1" si="105"/>
        <v>23</v>
      </c>
      <c r="Q260" s="304">
        <f t="shared" ca="1" si="106"/>
        <v>0</v>
      </c>
      <c r="R260" s="306">
        <f t="shared" ca="1" si="107"/>
        <v>0</v>
      </c>
      <c r="S260" s="307">
        <f t="shared" ca="1" si="108"/>
        <v>7.150000000000003</v>
      </c>
      <c r="T260" s="304">
        <f t="shared" ref="T260:T323" ca="1" si="117">m*g</f>
        <v>70.141500000000036</v>
      </c>
      <c r="U260" s="311">
        <f t="shared" ref="U260:U323" ca="1" si="118">IF(pos_xz&lt;L_rampe,Poids*COS(Beta),0)</f>
        <v>0</v>
      </c>
      <c r="V260" s="306">
        <f t="shared" ref="V260:V323" ca="1" si="119">Rho_moyen*(20000-Alt_rampe-pos_z)/(20000+Alt_rampe+pos_z)</f>
        <v>1.0941703797405402</v>
      </c>
      <c r="W260" s="304">
        <f t="shared" ref="W260:W323" ca="1" si="120">1/2*Rho*Sref*Cx*vit_xz^2</f>
        <v>32.588598618108072</v>
      </c>
      <c r="Y260" s="314" t="str">
        <f t="shared" ca="1" si="109"/>
        <v/>
      </c>
      <c r="Z260" s="315" t="str">
        <f t="shared" ca="1" si="110"/>
        <v/>
      </c>
      <c r="AA260" s="316" t="str">
        <f t="shared" ca="1" si="111"/>
        <v/>
      </c>
      <c r="AC260" s="310" t="e">
        <f t="shared" ca="1" si="112"/>
        <v>#N/A</v>
      </c>
      <c r="AD260" s="323" t="e">
        <f t="shared" ca="1" si="113"/>
        <v>#N/A</v>
      </c>
      <c r="AE260" s="324">
        <f t="shared" ref="AE260:AE323" ca="1" si="121">IF(t&lt;T_para, pos_z, NA())</f>
        <v>1128.2450086663891</v>
      </c>
      <c r="AG260" s="306">
        <f t="shared" ca="1" si="114"/>
        <v>-14.09632367291908</v>
      </c>
      <c r="AH260" s="304">
        <f t="shared" ca="1" si="115"/>
        <v>-4.6837393512195131</v>
      </c>
    </row>
    <row r="261" spans="1:34" x14ac:dyDescent="0.2">
      <c r="A261" s="347">
        <f t="shared" ref="A261:A324" ca="1" si="122">IF(B260+0.01&lt;=T_ini+ROUNDUP(Temps_fin_propu,0), 0.01, IF(K260&gt;0, 0.1, 0.0001))</f>
        <v>0.1</v>
      </c>
      <c r="B261" s="304">
        <f t="shared" ref="B261:B324" ca="1" si="123">B260+pas</f>
        <v>7.6999999999999895</v>
      </c>
      <c r="D261" s="306">
        <f t="shared" ref="D261:D324" ca="1" si="124">IF(AND(L260&lt;L_rampe,Poussee&lt;Poids*SIN(M260)),0,(-W260+Poussee)/m*COS(M260)-U260/m*SIN(M260))</f>
        <v>-1.2954702971254144</v>
      </c>
      <c r="E261" s="307">
        <f t="shared" ref="E261:E324" ca="1" si="125">IF(AND(L260&lt;L_rampe,Poussee&lt;Poids*SIN(M260)),0,(-W260+Poussee)/m*SIN(M260)+U260/m*COS(M260)-Poids/m)</f>
        <v>-14.179864587100106</v>
      </c>
      <c r="F261" s="304">
        <f t="shared" ref="F261:F324" ca="1" si="126">SQRT(acc_x^2+acc_z^2)</f>
        <v>14.238918603574847</v>
      </c>
      <c r="G261" s="306">
        <f t="shared" ref="G261:G324" ca="1" si="127">G260+acc_x*pas</f>
        <v>30.233368069179718</v>
      </c>
      <c r="H261" s="307">
        <f t="shared" ref="H261:H324" ca="1" si="128">H260+acc_z*pas</f>
        <v>101.00182798720267</v>
      </c>
      <c r="I261" s="304">
        <f t="shared" ref="I261:I324" ca="1" si="129">SQRT(vit_x^2+vit_z^2)</f>
        <v>105.42971972628483</v>
      </c>
      <c r="J261" s="306">
        <f t="shared" ref="J261:J324" ca="1" si="130">J260+0.5*(vit_x+G260)*pas*(K260&gt;=0)</f>
        <v>257.77678253859671</v>
      </c>
      <c r="K261" s="307">
        <f t="shared" ref="K261:K324" ca="1" si="131">K260+0.5*(vit_z+H260)*pas</f>
        <v>1138.4160907880448</v>
      </c>
      <c r="L261" s="304">
        <f t="shared" ca="1" si="116"/>
        <v>1167.2360795405036</v>
      </c>
      <c r="M261" s="306">
        <f t="shared" ref="M261:M324" ca="1" si="132">IF(AND(L260&gt;L_rampe,G261&gt;0),ATAN2(G261,H261),$M$4)</f>
        <v>1.2799498638933082</v>
      </c>
      <c r="N261" s="304">
        <f t="shared" ref="N261:N324" ca="1" si="133">DEGREES(Beta)</f>
        <v>73.335725189430718</v>
      </c>
      <c r="P261" s="310">
        <f t="shared" ref="P261:P324" ca="1" si="134">MATCH(t-pas/2-T_ini,CdP_t)</f>
        <v>23</v>
      </c>
      <c r="Q261" s="304">
        <f t="shared" ref="Q261:Q324" ca="1" si="135">(INDEX(CdP,2,i_P+1)-INDEX(CdP,2,i_P+0))/(INDEX(CdP,1,i_P+1)-INDEX(CdP,1,i_P+0))*(t-pas/2-T_ini-INDEX(CdP,1,i_P+0))+INDEX(CdP,2,i_P+0)</f>
        <v>0</v>
      </c>
      <c r="R261" s="306">
        <f t="shared" ref="R261:R324" ca="1" si="136">Poussee/(g*ISP)</f>
        <v>0</v>
      </c>
      <c r="S261" s="307">
        <f t="shared" ref="S261:S324" ca="1" si="137">S260-Débit*pas</f>
        <v>7.150000000000003</v>
      </c>
      <c r="T261" s="304">
        <f t="shared" ca="1" si="117"/>
        <v>70.141500000000036</v>
      </c>
      <c r="U261" s="311">
        <f t="shared" ca="1" si="118"/>
        <v>0</v>
      </c>
      <c r="V261" s="306">
        <f t="shared" ca="1" si="119"/>
        <v>1.0930544743536303</v>
      </c>
      <c r="W261" s="304">
        <f t="shared" ca="1" si="120"/>
        <v>31.710080468318466</v>
      </c>
      <c r="Y261" s="314" t="str">
        <f t="shared" ref="Y261:Y324" ca="1" si="138">IF(AND(pos_z&lt;=0,K260&gt;0),"Impact balistique","") &amp; IF(AND(H262&lt;0,vit_z&gt;=0),"Apogée","") &amp; IF(AND(Poussee=0,Q260&gt;0),"Fin de propulsion","") &amp; IF(AND(L262&gt;L_rampe,pos_xz&lt;=L_rampe),"Sortie de rampe","")</f>
        <v/>
      </c>
      <c r="Z261" s="315" t="str">
        <f t="shared" ref="Z261:Z324" ca="1" si="139">IF(ABS(t-T_para)&lt;pas/2,"Para","")</f>
        <v/>
      </c>
      <c r="AA261" s="316" t="str">
        <f t="shared" ref="AA261:AA324" ca="1" si="140">IF(ABS(t-T_satellite)&lt;pas/2,"Satellite","")</f>
        <v/>
      </c>
      <c r="AC261" s="310" t="e">
        <f t="shared" ref="AC261:AC324" ca="1" si="141">IF(ABS(t-ROUND(t,0))&lt;0.001,t,NA())</f>
        <v>#N/A</v>
      </c>
      <c r="AD261" s="323" t="e">
        <f t="shared" ref="AD261:AD324" ca="1" si="142">IF(ABS(t-ROUND(t,0))&lt;0.001,pos_x,NA())</f>
        <v>#N/A</v>
      </c>
      <c r="AE261" s="324">
        <f t="shared" ca="1" si="121"/>
        <v>1138.4160907880448</v>
      </c>
      <c r="AG261" s="306">
        <f t="shared" ref="AG261:AG324" ca="1" si="143">IF(AND(L260&lt;L_rampe,Poussee&lt;Poids*SIN(M260)),0,(-W260+Poussee)/m-Poids*SIN(M260)/m)</f>
        <v>-13.963247540677123</v>
      </c>
      <c r="AH261" s="304">
        <f t="shared" ref="AH261:AH324" ca="1" si="144">IF(AND(L260&lt;L_rampe,Poussee&lt;Poids*SIN(M260)), g*SIN(M260), (-W260+Poussee)/m)</f>
        <v>-4.5578459605745536</v>
      </c>
    </row>
    <row r="262" spans="1:34" x14ac:dyDescent="0.2">
      <c r="A262" s="347">
        <f t="shared" ca="1" si="122"/>
        <v>0.1</v>
      </c>
      <c r="B262" s="304">
        <f t="shared" ca="1" si="123"/>
        <v>7.7999999999999892</v>
      </c>
      <c r="D262" s="306">
        <f t="shared" ca="1" si="124"/>
        <v>-1.271788172062422</v>
      </c>
      <c r="E262" s="307">
        <f t="shared" ca="1" si="125"/>
        <v>-14.058713867964787</v>
      </c>
      <c r="F262" s="304">
        <f t="shared" ca="1" si="126"/>
        <v>14.116121307777972</v>
      </c>
      <c r="G262" s="306">
        <f t="shared" ca="1" si="127"/>
        <v>30.106189251973476</v>
      </c>
      <c r="H262" s="307">
        <f t="shared" ca="1" si="128"/>
        <v>99.595956600406197</v>
      </c>
      <c r="I262" s="304">
        <f t="shared" ca="1" si="129"/>
        <v>104.04680294187629</v>
      </c>
      <c r="J262" s="306">
        <f t="shared" ca="1" si="130"/>
        <v>260.79376040465439</v>
      </c>
      <c r="K262" s="307">
        <f t="shared" ca="1" si="131"/>
        <v>1148.4459800174252</v>
      </c>
      <c r="L262" s="304">
        <f t="shared" ca="1" si="116"/>
        <v>1177.68482816252</v>
      </c>
      <c r="M262" s="306">
        <f t="shared" ca="1" si="132"/>
        <v>1.2772461279429621</v>
      </c>
      <c r="N262" s="304">
        <f t="shared" ca="1" si="133"/>
        <v>73.180812530558086</v>
      </c>
      <c r="P262" s="310">
        <f t="shared" ca="1" si="134"/>
        <v>23</v>
      </c>
      <c r="Q262" s="304">
        <f t="shared" ca="1" si="135"/>
        <v>0</v>
      </c>
      <c r="R262" s="306">
        <f t="shared" ca="1" si="136"/>
        <v>0</v>
      </c>
      <c r="S262" s="307">
        <f t="shared" ca="1" si="137"/>
        <v>7.150000000000003</v>
      </c>
      <c r="T262" s="304">
        <f t="shared" ca="1" si="117"/>
        <v>70.141500000000036</v>
      </c>
      <c r="U262" s="311">
        <f t="shared" ca="1" si="118"/>
        <v>0</v>
      </c>
      <c r="V262" s="306">
        <f t="shared" ca="1" si="119"/>
        <v>1.0919551108530021</v>
      </c>
      <c r="W262" s="304">
        <f t="shared" ca="1" si="120"/>
        <v>30.852595080718132</v>
      </c>
      <c r="Y262" s="314" t="str">
        <f t="shared" ca="1" si="138"/>
        <v/>
      </c>
      <c r="Z262" s="315" t="str">
        <f t="shared" ca="1" si="139"/>
        <v/>
      </c>
      <c r="AA262" s="316" t="str">
        <f t="shared" ca="1" si="140"/>
        <v/>
      </c>
      <c r="AC262" s="310" t="e">
        <f t="shared" ca="1" si="141"/>
        <v>#N/A</v>
      </c>
      <c r="AD262" s="323" t="e">
        <f t="shared" ca="1" si="142"/>
        <v>#N/A</v>
      </c>
      <c r="AE262" s="324">
        <f t="shared" ca="1" si="121"/>
        <v>1148.4459800174252</v>
      </c>
      <c r="AG262" s="306">
        <f t="shared" ca="1" si="143"/>
        <v>-13.832970850266573</v>
      </c>
      <c r="AH262" s="304">
        <f t="shared" ca="1" si="144"/>
        <v>-4.4349762892753084</v>
      </c>
    </row>
    <row r="263" spans="1:34" x14ac:dyDescent="0.2">
      <c r="A263" s="347">
        <f t="shared" ca="1" si="122"/>
        <v>0.1</v>
      </c>
      <c r="B263" s="304">
        <f t="shared" ca="1" si="123"/>
        <v>7.8999999999999888</v>
      </c>
      <c r="D263" s="306">
        <f t="shared" ca="1" si="124"/>
        <v>-1.2485694511053633</v>
      </c>
      <c r="E263" s="307">
        <f t="shared" ca="1" si="125"/>
        <v>-13.940461940038837</v>
      </c>
      <c r="F263" s="304">
        <f t="shared" ca="1" si="126"/>
        <v>13.99626395778191</v>
      </c>
      <c r="G263" s="306">
        <f t="shared" ca="1" si="127"/>
        <v>29.981332306862939</v>
      </c>
      <c r="H263" s="307">
        <f t="shared" ca="1" si="128"/>
        <v>98.20191040640232</v>
      </c>
      <c r="I263" s="304">
        <f t="shared" ca="1" si="129"/>
        <v>102.67665506025024</v>
      </c>
      <c r="J263" s="306">
        <f t="shared" ca="1" si="130"/>
        <v>263.79813648259619</v>
      </c>
      <c r="K263" s="307">
        <f t="shared" ca="1" si="131"/>
        <v>1158.3358733677655</v>
      </c>
      <c r="L263" s="304">
        <f t="shared" ca="1" si="116"/>
        <v>1187.9947189875697</v>
      </c>
      <c r="M263" s="306">
        <f t="shared" ca="1" si="132"/>
        <v>1.2744815750994514</v>
      </c>
      <c r="N263" s="304">
        <f t="shared" ca="1" si="133"/>
        <v>73.022415320384042</v>
      </c>
      <c r="P263" s="310">
        <f t="shared" ca="1" si="134"/>
        <v>23</v>
      </c>
      <c r="Q263" s="304">
        <f t="shared" ca="1" si="135"/>
        <v>0</v>
      </c>
      <c r="R263" s="306">
        <f t="shared" ca="1" si="136"/>
        <v>0</v>
      </c>
      <c r="S263" s="307">
        <f t="shared" ca="1" si="137"/>
        <v>7.150000000000003</v>
      </c>
      <c r="T263" s="304">
        <f t="shared" ca="1" si="117"/>
        <v>70.141500000000036</v>
      </c>
      <c r="U263" s="311">
        <f t="shared" ca="1" si="118"/>
        <v>0</v>
      </c>
      <c r="V263" s="306">
        <f t="shared" ca="1" si="119"/>
        <v>1.0908721126871253</v>
      </c>
      <c r="W263" s="304">
        <f t="shared" ca="1" si="120"/>
        <v>30.015577067356467</v>
      </c>
      <c r="Y263" s="314" t="str">
        <f t="shared" ca="1" si="138"/>
        <v/>
      </c>
      <c r="Z263" s="315" t="str">
        <f t="shared" ca="1" si="139"/>
        <v/>
      </c>
      <c r="AA263" s="316" t="str">
        <f t="shared" ca="1" si="140"/>
        <v/>
      </c>
      <c r="AC263" s="310" t="e">
        <f t="shared" ca="1" si="141"/>
        <v>#N/A</v>
      </c>
      <c r="AD263" s="323" t="e">
        <f t="shared" ca="1" si="142"/>
        <v>#N/A</v>
      </c>
      <c r="AE263" s="324">
        <f t="shared" ca="1" si="121"/>
        <v>1158.3358733677655</v>
      </c>
      <c r="AG263" s="306">
        <f t="shared" ca="1" si="143"/>
        <v>-13.705402475033683</v>
      </c>
      <c r="AH263" s="304">
        <f t="shared" ca="1" si="144"/>
        <v>-4.3150482630374993</v>
      </c>
    </row>
    <row r="264" spans="1:34" x14ac:dyDescent="0.2">
      <c r="A264" s="347">
        <f t="shared" ca="1" si="122"/>
        <v>0.1</v>
      </c>
      <c r="B264" s="304">
        <f t="shared" ca="1" si="123"/>
        <v>7.9999999999999885</v>
      </c>
      <c r="D264" s="306">
        <f t="shared" ca="1" si="124"/>
        <v>-1.2258007184789468</v>
      </c>
      <c r="E264" s="307">
        <f t="shared" ca="1" si="125"/>
        <v>-13.825030789829784</v>
      </c>
      <c r="F264" s="304">
        <f t="shared" ca="1" si="126"/>
        <v>13.879267406501146</v>
      </c>
      <c r="G264" s="306">
        <f t="shared" ca="1" si="127"/>
        <v>29.858752235015043</v>
      </c>
      <c r="H264" s="307">
        <f t="shared" ca="1" si="128"/>
        <v>96.819407327419341</v>
      </c>
      <c r="I264" s="304">
        <f t="shared" ca="1" si="129"/>
        <v>101.31901460369991</v>
      </c>
      <c r="J264" s="306">
        <f t="shared" ca="1" si="130"/>
        <v>266.79014070969009</v>
      </c>
      <c r="K264" s="307">
        <f t="shared" ca="1" si="131"/>
        <v>1168.0869392544566</v>
      </c>
      <c r="L264" s="304">
        <f t="shared" ca="1" si="116"/>
        <v>1198.1669653419513</v>
      </c>
      <c r="M264" s="306">
        <f t="shared" ca="1" si="132"/>
        <v>1.2716543665553925</v>
      </c>
      <c r="N264" s="304">
        <f t="shared" ca="1" si="133"/>
        <v>72.860428203006137</v>
      </c>
      <c r="P264" s="310">
        <f t="shared" ca="1" si="134"/>
        <v>23</v>
      </c>
      <c r="Q264" s="304">
        <f t="shared" ca="1" si="135"/>
        <v>0</v>
      </c>
      <c r="R264" s="306">
        <f t="shared" ca="1" si="136"/>
        <v>0</v>
      </c>
      <c r="S264" s="307">
        <f t="shared" ca="1" si="137"/>
        <v>7.150000000000003</v>
      </c>
      <c r="T264" s="304">
        <f t="shared" ca="1" si="117"/>
        <v>70.141500000000036</v>
      </c>
      <c r="U264" s="311">
        <f t="shared" ca="1" si="118"/>
        <v>0</v>
      </c>
      <c r="V264" s="306">
        <f t="shared" ca="1" si="119"/>
        <v>1.0898053076602583</v>
      </c>
      <c r="W264" s="304">
        <f t="shared" ca="1" si="120"/>
        <v>29.198481572908708</v>
      </c>
      <c r="Y264" s="314" t="str">
        <f t="shared" ca="1" si="138"/>
        <v/>
      </c>
      <c r="Z264" s="315" t="str">
        <f t="shared" ca="1" si="139"/>
        <v/>
      </c>
      <c r="AA264" s="316" t="str">
        <f t="shared" ca="1" si="140"/>
        <v/>
      </c>
      <c r="AC264" s="310">
        <f t="shared" ca="1" si="141"/>
        <v>7.9999999999999885</v>
      </c>
      <c r="AD264" s="323">
        <f t="shared" ca="1" si="142"/>
        <v>266.79014070969009</v>
      </c>
      <c r="AE264" s="324">
        <f t="shared" ca="1" si="121"/>
        <v>1168.0869392544566</v>
      </c>
      <c r="AG264" s="306">
        <f t="shared" ca="1" si="143"/>
        <v>-13.580453832013724</v>
      </c>
      <c r="AH264" s="304">
        <f t="shared" ca="1" si="144"/>
        <v>-4.1979828066232807</v>
      </c>
    </row>
    <row r="265" spans="1:34" x14ac:dyDescent="0.2">
      <c r="A265" s="347">
        <f t="shared" ca="1" si="122"/>
        <v>0.1</v>
      </c>
      <c r="B265" s="304">
        <f t="shared" ca="1" si="123"/>
        <v>8.099999999999989</v>
      </c>
      <c r="D265" s="306">
        <f t="shared" ca="1" si="124"/>
        <v>-1.2034690423001213</v>
      </c>
      <c r="E265" s="307">
        <f t="shared" ca="1" si="125"/>
        <v>-13.712345231819631</v>
      </c>
      <c r="F265" s="304">
        <f t="shared" ca="1" si="126"/>
        <v>13.76505537556538</v>
      </c>
      <c r="G265" s="306">
        <f t="shared" ca="1" si="127"/>
        <v>29.738405330785032</v>
      </c>
      <c r="H265" s="307">
        <f t="shared" ca="1" si="128"/>
        <v>95.448172804237373</v>
      </c>
      <c r="I265" s="304">
        <f t="shared" ca="1" si="129"/>
        <v>99.973628739211136</v>
      </c>
      <c r="J265" s="306">
        <f t="shared" ca="1" si="130"/>
        <v>269.76999858798007</v>
      </c>
      <c r="K265" s="307">
        <f t="shared" ca="1" si="131"/>
        <v>1177.7003182610395</v>
      </c>
      <c r="L265" s="304">
        <f t="shared" ca="1" si="116"/>
        <v>1208.202752757298</v>
      </c>
      <c r="M265" s="306">
        <f t="shared" ca="1" si="132"/>
        <v>1.2687625891875562</v>
      </c>
      <c r="N265" s="304">
        <f t="shared" ca="1" si="133"/>
        <v>72.694741564537665</v>
      </c>
      <c r="P265" s="310">
        <f t="shared" ca="1" si="134"/>
        <v>23</v>
      </c>
      <c r="Q265" s="304">
        <f t="shared" ca="1" si="135"/>
        <v>0</v>
      </c>
      <c r="R265" s="306">
        <f t="shared" ca="1" si="136"/>
        <v>0</v>
      </c>
      <c r="S265" s="307">
        <f t="shared" ca="1" si="137"/>
        <v>7.150000000000003</v>
      </c>
      <c r="T265" s="304">
        <f t="shared" ca="1" si="117"/>
        <v>70.141500000000036</v>
      </c>
      <c r="U265" s="311">
        <f t="shared" ca="1" si="118"/>
        <v>0</v>
      </c>
      <c r="V265" s="306">
        <f t="shared" ca="1" si="119"/>
        <v>1.0887545278109561</v>
      </c>
      <c r="W265" s="304">
        <f t="shared" ca="1" si="120"/>
        <v>28.4007834096853</v>
      </c>
      <c r="Y265" s="314" t="str">
        <f t="shared" ca="1" si="138"/>
        <v/>
      </c>
      <c r="Z265" s="315" t="str">
        <f t="shared" ca="1" si="139"/>
        <v/>
      </c>
      <c r="AA265" s="316" t="str">
        <f t="shared" ca="1" si="140"/>
        <v/>
      </c>
      <c r="AC265" s="310" t="e">
        <f t="shared" ca="1" si="141"/>
        <v>#N/A</v>
      </c>
      <c r="AD265" s="323" t="e">
        <f t="shared" ca="1" si="142"/>
        <v>#N/A</v>
      </c>
      <c r="AE265" s="324">
        <f t="shared" ca="1" si="121"/>
        <v>1177.7003182610395</v>
      </c>
      <c r="AG265" s="306">
        <f t="shared" ca="1" si="143"/>
        <v>-13.458038727515394</v>
      </c>
      <c r="AH265" s="304">
        <f t="shared" ca="1" si="144"/>
        <v>-4.0837037164907271</v>
      </c>
    </row>
    <row r="266" spans="1:34" x14ac:dyDescent="0.2">
      <c r="A266" s="347">
        <f t="shared" ca="1" si="122"/>
        <v>0.1</v>
      </c>
      <c r="B266" s="304">
        <f t="shared" ca="1" si="123"/>
        <v>8.1999999999999886</v>
      </c>
      <c r="D266" s="306">
        <f t="shared" ca="1" si="124"/>
        <v>-1.1815619546712401</v>
      </c>
      <c r="E266" s="307">
        <f t="shared" ca="1" si="125"/>
        <v>-13.602332788995446</v>
      </c>
      <c r="F266" s="304">
        <f t="shared" ca="1" si="126"/>
        <v>13.653554334139779</v>
      </c>
      <c r="G266" s="306">
        <f t="shared" ca="1" si="127"/>
        <v>29.620249135317909</v>
      </c>
      <c r="H266" s="307">
        <f t="shared" ca="1" si="128"/>
        <v>94.087939525337831</v>
      </c>
      <c r="I266" s="304">
        <f t="shared" ca="1" si="129"/>
        <v>98.640253056051762</v>
      </c>
      <c r="J266" s="306">
        <f t="shared" ca="1" si="130"/>
        <v>272.73793131128519</v>
      </c>
      <c r="K266" s="307">
        <f t="shared" ca="1" si="131"/>
        <v>1187.1771238775182</v>
      </c>
      <c r="L266" s="304">
        <f t="shared" ca="1" si="116"/>
        <v>1218.1032397272636</v>
      </c>
      <c r="M266" s="306">
        <f t="shared" ca="1" si="132"/>
        <v>1.2658042519260335</v>
      </c>
      <c r="N266" s="304">
        <f t="shared" ca="1" si="133"/>
        <v>72.525241325076124</v>
      </c>
      <c r="P266" s="310">
        <f t="shared" ca="1" si="134"/>
        <v>23</v>
      </c>
      <c r="Q266" s="304">
        <f t="shared" ca="1" si="135"/>
        <v>0</v>
      </c>
      <c r="R266" s="306">
        <f t="shared" ca="1" si="136"/>
        <v>0</v>
      </c>
      <c r="S266" s="307">
        <f t="shared" ca="1" si="137"/>
        <v>7.150000000000003</v>
      </c>
      <c r="T266" s="304">
        <f t="shared" ca="1" si="117"/>
        <v>70.141500000000036</v>
      </c>
      <c r="U266" s="311">
        <f t="shared" ca="1" si="118"/>
        <v>0</v>
      </c>
      <c r="V266" s="306">
        <f t="shared" ca="1" si="119"/>
        <v>1.0877196092950956</v>
      </c>
      <c r="W266" s="304">
        <f t="shared" ca="1" si="120"/>
        <v>27.621976235624945</v>
      </c>
      <c r="Y266" s="314" t="str">
        <f t="shared" ca="1" si="138"/>
        <v/>
      </c>
      <c r="Z266" s="315" t="str">
        <f t="shared" ca="1" si="139"/>
        <v/>
      </c>
      <c r="AA266" s="316" t="str">
        <f t="shared" ca="1" si="140"/>
        <v/>
      </c>
      <c r="AC266" s="310" t="e">
        <f t="shared" ca="1" si="141"/>
        <v>#N/A</v>
      </c>
      <c r="AD266" s="323" t="e">
        <f t="shared" ca="1" si="142"/>
        <v>#N/A</v>
      </c>
      <c r="AE266" s="324">
        <f t="shared" ca="1" si="121"/>
        <v>1187.1771238775182</v>
      </c>
      <c r="AG266" s="306">
        <f t="shared" ca="1" si="143"/>
        <v>-13.338073207231984</v>
      </c>
      <c r="AH266" s="304">
        <f t="shared" ca="1" si="144"/>
        <v>-3.9721375398161243</v>
      </c>
    </row>
    <row r="267" spans="1:34" x14ac:dyDescent="0.2">
      <c r="A267" s="347">
        <f t="shared" ca="1" si="122"/>
        <v>0.1</v>
      </c>
      <c r="B267" s="304">
        <f t="shared" ca="1" si="123"/>
        <v>8.2999999999999883</v>
      </c>
      <c r="D267" s="306">
        <f t="shared" ca="1" si="124"/>
        <v>-1.1600674328066436</v>
      </c>
      <c r="E267" s="307">
        <f t="shared" ca="1" si="125"/>
        <v>-13.494923579291626</v>
      </c>
      <c r="F267" s="304">
        <f t="shared" ca="1" si="126"/>
        <v>13.54469338374183</v>
      </c>
      <c r="G267" s="306">
        <f t="shared" ca="1" si="127"/>
        <v>29.504242392037245</v>
      </c>
      <c r="H267" s="307">
        <f t="shared" ca="1" si="128"/>
        <v>92.738447167408665</v>
      </c>
      <c r="I267" s="304">
        <f t="shared" ca="1" si="129"/>
        <v>97.318651358053344</v>
      </c>
      <c r="J267" s="306">
        <f t="shared" ca="1" si="130"/>
        <v>275.69415588765293</v>
      </c>
      <c r="K267" s="307">
        <f t="shared" ca="1" si="131"/>
        <v>1196.5184432121555</v>
      </c>
      <c r="L267" s="304">
        <f t="shared" ca="1" si="116"/>
        <v>1227.8695584374773</v>
      </c>
      <c r="M267" s="306">
        <f t="shared" ca="1" si="132"/>
        <v>1.2627772819169216</v>
      </c>
      <c r="N267" s="304">
        <f t="shared" ca="1" si="133"/>
        <v>72.35180871884134</v>
      </c>
      <c r="P267" s="310">
        <f t="shared" ca="1" si="134"/>
        <v>23</v>
      </c>
      <c r="Q267" s="304">
        <f t="shared" ca="1" si="135"/>
        <v>0</v>
      </c>
      <c r="R267" s="306">
        <f t="shared" ca="1" si="136"/>
        <v>0</v>
      </c>
      <c r="S267" s="307">
        <f t="shared" ca="1" si="137"/>
        <v>7.150000000000003</v>
      </c>
      <c r="T267" s="304">
        <f t="shared" ca="1" si="117"/>
        <v>70.141500000000036</v>
      </c>
      <c r="U267" s="311">
        <f t="shared" ca="1" si="118"/>
        <v>0</v>
      </c>
      <c r="V267" s="306">
        <f t="shared" ca="1" si="119"/>
        <v>1.0867003922732161</v>
      </c>
      <c r="W267" s="304">
        <f t="shared" ca="1" si="120"/>
        <v>26.861571772853647</v>
      </c>
      <c r="Y267" s="314" t="str">
        <f t="shared" ca="1" si="138"/>
        <v/>
      </c>
      <c r="Z267" s="315" t="str">
        <f t="shared" ca="1" si="139"/>
        <v/>
      </c>
      <c r="AA267" s="316" t="str">
        <f t="shared" ca="1" si="140"/>
        <v/>
      </c>
      <c r="AC267" s="310" t="e">
        <f t="shared" ca="1" si="141"/>
        <v>#N/A</v>
      </c>
      <c r="AD267" s="323" t="e">
        <f t="shared" ca="1" si="142"/>
        <v>#N/A</v>
      </c>
      <c r="AE267" s="324">
        <f t="shared" ca="1" si="121"/>
        <v>1196.5184432121555</v>
      </c>
      <c r="AG267" s="306">
        <f t="shared" ca="1" si="143"/>
        <v>-13.220475410377512</v>
      </c>
      <c r="AH267" s="304">
        <f t="shared" ca="1" si="144"/>
        <v>-3.8632134595279628</v>
      </c>
    </row>
    <row r="268" spans="1:34" x14ac:dyDescent="0.2">
      <c r="A268" s="347">
        <f t="shared" ca="1" si="122"/>
        <v>0.1</v>
      </c>
      <c r="B268" s="304">
        <f t="shared" ca="1" si="123"/>
        <v>8.3999999999999879</v>
      </c>
      <c r="D268" s="306">
        <f t="shared" ca="1" si="124"/>
        <v>-1.1389738811379058</v>
      </c>
      <c r="E268" s="307">
        <f t="shared" ca="1" si="125"/>
        <v>-13.390050207609233</v>
      </c>
      <c r="F268" s="304">
        <f t="shared" ca="1" si="126"/>
        <v>13.438404148715367</v>
      </c>
      <c r="G268" s="306">
        <f t="shared" ca="1" si="127"/>
        <v>29.390345003923454</v>
      </c>
      <c r="H268" s="307">
        <f t="shared" ca="1" si="128"/>
        <v>91.399442146647743</v>
      </c>
      <c r="I268" s="304">
        <f t="shared" ca="1" si="129"/>
        <v>96.008595470239314</v>
      </c>
      <c r="J268" s="306">
        <f t="shared" ca="1" si="130"/>
        <v>278.63888525745097</v>
      </c>
      <c r="K268" s="307">
        <f t="shared" ca="1" si="131"/>
        <v>1205.7253376778583</v>
      </c>
      <c r="L268" s="304">
        <f t="shared" ca="1" si="116"/>
        <v>1237.5028154698882</v>
      </c>
      <c r="M268" s="306">
        <f t="shared" ca="1" si="132"/>
        <v>1.2596795204654703</v>
      </c>
      <c r="N268" s="304">
        <f t="shared" ca="1" si="133"/>
        <v>72.174320061734861</v>
      </c>
      <c r="P268" s="310">
        <f t="shared" ca="1" si="134"/>
        <v>23</v>
      </c>
      <c r="Q268" s="304">
        <f t="shared" ca="1" si="135"/>
        <v>0</v>
      </c>
      <c r="R268" s="306">
        <f t="shared" ca="1" si="136"/>
        <v>0</v>
      </c>
      <c r="S268" s="307">
        <f t="shared" ca="1" si="137"/>
        <v>7.150000000000003</v>
      </c>
      <c r="T268" s="304">
        <f t="shared" ca="1" si="117"/>
        <v>70.141500000000036</v>
      </c>
      <c r="U268" s="311">
        <f t="shared" ca="1" si="118"/>
        <v>0</v>
      </c>
      <c r="V268" s="306">
        <f t="shared" ca="1" si="119"/>
        <v>1.085696720801995</v>
      </c>
      <c r="W268" s="304">
        <f t="shared" ca="1" si="120"/>
        <v>26.119099064544784</v>
      </c>
      <c r="Y268" s="314" t="str">
        <f t="shared" ca="1" si="138"/>
        <v/>
      </c>
      <c r="Z268" s="315" t="str">
        <f t="shared" ca="1" si="139"/>
        <v/>
      </c>
      <c r="AA268" s="316" t="str">
        <f t="shared" ca="1" si="140"/>
        <v/>
      </c>
      <c r="AC268" s="310" t="e">
        <f t="shared" ca="1" si="141"/>
        <v>#N/A</v>
      </c>
      <c r="AD268" s="323" t="e">
        <f t="shared" ca="1" si="142"/>
        <v>#N/A</v>
      </c>
      <c r="AE268" s="324">
        <f t="shared" ca="1" si="121"/>
        <v>1205.7253376778583</v>
      </c>
      <c r="AG268" s="306">
        <f t="shared" ca="1" si="143"/>
        <v>-13.105165427357417</v>
      </c>
      <c r="AH268" s="304">
        <f t="shared" ca="1" si="144"/>
        <v>-3.7568631850144945</v>
      </c>
    </row>
    <row r="269" spans="1:34" x14ac:dyDescent="0.2">
      <c r="A269" s="347">
        <f t="shared" ca="1" si="122"/>
        <v>0.1</v>
      </c>
      <c r="B269" s="304">
        <f t="shared" ca="1" si="123"/>
        <v>8.4999999999999876</v>
      </c>
      <c r="D269" s="306">
        <f t="shared" ca="1" si="124"/>
        <v>-1.1182701143467226</v>
      </c>
      <c r="E269" s="307">
        <f t="shared" ca="1" si="125"/>
        <v>-13.287647663098683</v>
      </c>
      <c r="F269" s="304">
        <f t="shared" ca="1" si="126"/>
        <v>13.334620672043615</v>
      </c>
      <c r="G269" s="306">
        <f t="shared" ca="1" si="127"/>
        <v>29.27851799248878</v>
      </c>
      <c r="H269" s="307">
        <f t="shared" ca="1" si="128"/>
        <v>90.07067738033787</v>
      </c>
      <c r="I269" s="304">
        <f t="shared" ca="1" si="129"/>
        <v>94.709865059503684</v>
      </c>
      <c r="J269" s="306">
        <f t="shared" ca="1" si="130"/>
        <v>281.57232840727158</v>
      </c>
      <c r="K269" s="307">
        <f t="shared" ca="1" si="131"/>
        <v>1214.7988436542075</v>
      </c>
      <c r="L269" s="304">
        <f t="shared" ca="1" si="116"/>
        <v>1247.0040924825757</v>
      </c>
      <c r="M269" s="306">
        <f t="shared" ca="1" si="132"/>
        <v>1.2565087187457495</v>
      </c>
      <c r="N269" s="304">
        <f t="shared" ca="1" si="133"/>
        <v>71.992646505522032</v>
      </c>
      <c r="P269" s="310">
        <f t="shared" ca="1" si="134"/>
        <v>23</v>
      </c>
      <c r="Q269" s="304">
        <f t="shared" ca="1" si="135"/>
        <v>0</v>
      </c>
      <c r="R269" s="306">
        <f t="shared" ca="1" si="136"/>
        <v>0</v>
      </c>
      <c r="S269" s="307">
        <f t="shared" ca="1" si="137"/>
        <v>7.150000000000003</v>
      </c>
      <c r="T269" s="304">
        <f t="shared" ca="1" si="117"/>
        <v>70.141500000000036</v>
      </c>
      <c r="U269" s="311">
        <f t="shared" ca="1" si="118"/>
        <v>0</v>
      </c>
      <c r="V269" s="306">
        <f t="shared" ca="1" si="119"/>
        <v>1.0847084427296814</v>
      </c>
      <c r="W269" s="304">
        <f t="shared" ca="1" si="120"/>
        <v>25.39410376795724</v>
      </c>
      <c r="Y269" s="314" t="str">
        <f t="shared" ca="1" si="138"/>
        <v/>
      </c>
      <c r="Z269" s="315" t="str">
        <f t="shared" ca="1" si="139"/>
        <v/>
      </c>
      <c r="AA269" s="316" t="str">
        <f t="shared" ca="1" si="140"/>
        <v/>
      </c>
      <c r="AC269" s="310" t="e">
        <f t="shared" ca="1" si="141"/>
        <v>#N/A</v>
      </c>
      <c r="AD269" s="323" t="e">
        <f t="shared" ca="1" si="142"/>
        <v>#N/A</v>
      </c>
      <c r="AE269" s="324">
        <f t="shared" ca="1" si="121"/>
        <v>1214.7988436542075</v>
      </c>
      <c r="AG269" s="306">
        <f t="shared" ca="1" si="143"/>
        <v>-12.992065160491876</v>
      </c>
      <c r="AH269" s="304">
        <f t="shared" ca="1" si="144"/>
        <v>-3.6530208481880799</v>
      </c>
    </row>
    <row r="270" spans="1:34" x14ac:dyDescent="0.2">
      <c r="A270" s="347">
        <f t="shared" ca="1" si="122"/>
        <v>0.1</v>
      </c>
      <c r="B270" s="304">
        <f t="shared" ca="1" si="123"/>
        <v>8.5999999999999872</v>
      </c>
      <c r="D270" s="306">
        <f t="shared" ca="1" si="124"/>
        <v>-1.097945341277911</v>
      </c>
      <c r="E270" s="307">
        <f t="shared" ca="1" si="125"/>
        <v>-13.187653221411615</v>
      </c>
      <c r="F270" s="304">
        <f t="shared" ca="1" si="126"/>
        <v>13.233279316202845</v>
      </c>
      <c r="G270" s="306">
        <f t="shared" ca="1" si="127"/>
        <v>29.16872345836099</v>
      </c>
      <c r="H270" s="307">
        <f t="shared" ca="1" si="128"/>
        <v>88.751912058196709</v>
      </c>
      <c r="I270" s="304">
        <f t="shared" ca="1" si="129"/>
        <v>93.422247469091758</v>
      </c>
      <c r="J270" s="306">
        <f t="shared" ca="1" si="130"/>
        <v>284.4946904798141</v>
      </c>
      <c r="K270" s="307">
        <f t="shared" ca="1" si="131"/>
        <v>1223.7399731261344</v>
      </c>
      <c r="L270" s="304">
        <f t="shared" ca="1" si="116"/>
        <v>1256.3744468660436</v>
      </c>
      <c r="M270" s="306">
        <f t="shared" ca="1" si="132"/>
        <v>1.2532625332619682</v>
      </c>
      <c r="N270" s="304">
        <f t="shared" ca="1" si="133"/>
        <v>71.806653777784732</v>
      </c>
      <c r="P270" s="310">
        <f t="shared" ca="1" si="134"/>
        <v>23</v>
      </c>
      <c r="Q270" s="304">
        <f t="shared" ca="1" si="135"/>
        <v>0</v>
      </c>
      <c r="R270" s="306">
        <f t="shared" ca="1" si="136"/>
        <v>0</v>
      </c>
      <c r="S270" s="307">
        <f t="shared" ca="1" si="137"/>
        <v>7.150000000000003</v>
      </c>
      <c r="T270" s="304">
        <f t="shared" ca="1" si="117"/>
        <v>70.141500000000036</v>
      </c>
      <c r="U270" s="311">
        <f t="shared" ca="1" si="118"/>
        <v>0</v>
      </c>
      <c r="V270" s="306">
        <f t="shared" ca="1" si="119"/>
        <v>1.0837354095953231</v>
      </c>
      <c r="W270" s="304">
        <f t="shared" ca="1" si="120"/>
        <v>24.686147481660456</v>
      </c>
      <c r="Y270" s="314" t="str">
        <f t="shared" ca="1" si="138"/>
        <v/>
      </c>
      <c r="Z270" s="315" t="str">
        <f t="shared" ca="1" si="139"/>
        <v/>
      </c>
      <c r="AA270" s="316" t="str">
        <f t="shared" ca="1" si="140"/>
        <v/>
      </c>
      <c r="AC270" s="310" t="e">
        <f t="shared" ca="1" si="141"/>
        <v>#N/A</v>
      </c>
      <c r="AD270" s="323" t="e">
        <f t="shared" ca="1" si="142"/>
        <v>#N/A</v>
      </c>
      <c r="AE270" s="324">
        <f t="shared" ca="1" si="121"/>
        <v>1223.7399731261344</v>
      </c>
      <c r="AG270" s="306">
        <f t="shared" ca="1" si="143"/>
        <v>-12.881098187315976</v>
      </c>
      <c r="AH270" s="304">
        <f t="shared" ca="1" si="144"/>
        <v>-3.5516229046094026</v>
      </c>
    </row>
    <row r="271" spans="1:34" x14ac:dyDescent="0.2">
      <c r="A271" s="347">
        <f t="shared" ca="1" si="122"/>
        <v>0.1</v>
      </c>
      <c r="B271" s="304">
        <f t="shared" ca="1" si="123"/>
        <v>8.6999999999999869</v>
      </c>
      <c r="D271" s="306">
        <f t="shared" ca="1" si="124"/>
        <v>-1.0779891496882383</v>
      </c>
      <c r="E271" s="307">
        <f t="shared" ca="1" si="125"/>
        <v>-13.090006351645693</v>
      </c>
      <c r="F271" s="304">
        <f t="shared" ca="1" si="126"/>
        <v>13.134318668776471</v>
      </c>
      <c r="G271" s="306">
        <f t="shared" ca="1" si="127"/>
        <v>29.060924543392165</v>
      </c>
      <c r="H271" s="307">
        <f t="shared" ca="1" si="128"/>
        <v>87.442911423032143</v>
      </c>
      <c r="I271" s="304">
        <f t="shared" ca="1" si="129"/>
        <v>92.145537566682947</v>
      </c>
      <c r="J271" s="306">
        <f t="shared" ca="1" si="130"/>
        <v>287.40617287990176</v>
      </c>
      <c r="K271" s="307">
        <f t="shared" ca="1" si="131"/>
        <v>1232.5497143001958</v>
      </c>
      <c r="L271" s="304">
        <f t="shared" ca="1" si="116"/>
        <v>1265.6149123769703</v>
      </c>
      <c r="M271" s="306">
        <f t="shared" ca="1" si="132"/>
        <v>1.2499385210455669</v>
      </c>
      <c r="N271" s="304">
        <f t="shared" ca="1" si="133"/>
        <v>71.616201906735014</v>
      </c>
      <c r="P271" s="310">
        <f t="shared" ca="1" si="134"/>
        <v>23</v>
      </c>
      <c r="Q271" s="304">
        <f t="shared" ca="1" si="135"/>
        <v>0</v>
      </c>
      <c r="R271" s="306">
        <f t="shared" ca="1" si="136"/>
        <v>0</v>
      </c>
      <c r="S271" s="307">
        <f t="shared" ca="1" si="137"/>
        <v>7.150000000000003</v>
      </c>
      <c r="T271" s="304">
        <f t="shared" ca="1" si="117"/>
        <v>70.141500000000036</v>
      </c>
      <c r="U271" s="311">
        <f t="shared" ca="1" si="118"/>
        <v>0</v>
      </c>
      <c r="V271" s="306">
        <f t="shared" ca="1" si="119"/>
        <v>1.0827774765316258</v>
      </c>
      <c r="W271" s="304">
        <f t="shared" ca="1" si="120"/>
        <v>23.994807105078575</v>
      </c>
      <c r="Y271" s="314" t="str">
        <f t="shared" ca="1" si="138"/>
        <v/>
      </c>
      <c r="Z271" s="315" t="str">
        <f t="shared" ca="1" si="139"/>
        <v/>
      </c>
      <c r="AA271" s="316" t="str">
        <f t="shared" ca="1" si="140"/>
        <v/>
      </c>
      <c r="AC271" s="310" t="e">
        <f t="shared" ca="1" si="141"/>
        <v>#N/A</v>
      </c>
      <c r="AD271" s="323" t="e">
        <f t="shared" ca="1" si="142"/>
        <v>#N/A</v>
      </c>
      <c r="AE271" s="324">
        <f t="shared" ca="1" si="121"/>
        <v>1232.5497143001958</v>
      </c>
      <c r="AG271" s="306">
        <f t="shared" ca="1" si="143"/>
        <v>-12.772189625984225</v>
      </c>
      <c r="AH271" s="304">
        <f t="shared" ca="1" si="144"/>
        <v>-3.4526080393930694</v>
      </c>
    </row>
    <row r="272" spans="1:34" x14ac:dyDescent="0.2">
      <c r="A272" s="347">
        <f t="shared" ca="1" si="122"/>
        <v>0.1</v>
      </c>
      <c r="B272" s="304">
        <f t="shared" ca="1" si="123"/>
        <v>8.7999999999999865</v>
      </c>
      <c r="D272" s="306">
        <f t="shared" ca="1" si="124"/>
        <v>-1.058391491789906</v>
      </c>
      <c r="E272" s="307">
        <f t="shared" ca="1" si="125"/>
        <v>-12.994648627723004</v>
      </c>
      <c r="F272" s="304">
        <f t="shared" ca="1" si="126"/>
        <v>13.037679452566572</v>
      </c>
      <c r="G272" s="306">
        <f t="shared" ca="1" si="127"/>
        <v>28.955085394213175</v>
      </c>
      <c r="H272" s="307">
        <f t="shared" ca="1" si="128"/>
        <v>86.143446560259846</v>
      </c>
      <c r="I272" s="304">
        <f t="shared" ca="1" si="129"/>
        <v>90.879537605923815</v>
      </c>
      <c r="J272" s="306">
        <f t="shared" ca="1" si="130"/>
        <v>290.30697337678203</v>
      </c>
      <c r="K272" s="307">
        <f t="shared" ca="1" si="131"/>
        <v>1241.2290321993603</v>
      </c>
      <c r="L272" s="304">
        <f t="shared" ca="1" si="116"/>
        <v>1274.7264997503378</v>
      </c>
      <c r="M272" s="306">
        <f t="shared" ca="1" si="132"/>
        <v>1.2465341345711531</v>
      </c>
      <c r="N272" s="304">
        <f t="shared" ca="1" si="133"/>
        <v>71.421144929919677</v>
      </c>
      <c r="P272" s="310">
        <f t="shared" ca="1" si="134"/>
        <v>23</v>
      </c>
      <c r="Q272" s="304">
        <f t="shared" ca="1" si="135"/>
        <v>0</v>
      </c>
      <c r="R272" s="306">
        <f t="shared" ca="1" si="136"/>
        <v>0</v>
      </c>
      <c r="S272" s="307">
        <f t="shared" ca="1" si="137"/>
        <v>7.150000000000003</v>
      </c>
      <c r="T272" s="304">
        <f t="shared" ca="1" si="117"/>
        <v>70.141500000000036</v>
      </c>
      <c r="U272" s="311">
        <f t="shared" ca="1" si="118"/>
        <v>0</v>
      </c>
      <c r="V272" s="306">
        <f t="shared" ca="1" si="119"/>
        <v>1.0818345021712918</v>
      </c>
      <c r="W272" s="304">
        <f t="shared" ca="1" si="120"/>
        <v>23.319674228600274</v>
      </c>
      <c r="Y272" s="314" t="str">
        <f t="shared" ca="1" si="138"/>
        <v/>
      </c>
      <c r="Z272" s="315" t="str">
        <f t="shared" ca="1" si="139"/>
        <v/>
      </c>
      <c r="AA272" s="316" t="str">
        <f t="shared" ca="1" si="140"/>
        <v/>
      </c>
      <c r="AC272" s="310" t="e">
        <f t="shared" ca="1" si="141"/>
        <v>#N/A</v>
      </c>
      <c r="AD272" s="323" t="e">
        <f t="shared" ca="1" si="142"/>
        <v>#N/A</v>
      </c>
      <c r="AE272" s="324">
        <f t="shared" ca="1" si="121"/>
        <v>1241.2290321993603</v>
      </c>
      <c r="AG272" s="306">
        <f t="shared" ca="1" si="143"/>
        <v>-12.665266002307776</v>
      </c>
      <c r="AH272" s="304">
        <f t="shared" ca="1" si="144"/>
        <v>-3.3559170776333658</v>
      </c>
    </row>
    <row r="273" spans="1:34" x14ac:dyDescent="0.2">
      <c r="A273" s="347">
        <f t="shared" ca="1" si="122"/>
        <v>0.1</v>
      </c>
      <c r="B273" s="304">
        <f t="shared" ca="1" si="123"/>
        <v>8.8999999999999861</v>
      </c>
      <c r="D273" s="306">
        <f t="shared" ca="1" si="124"/>
        <v>-1.0391426705503783</v>
      </c>
      <c r="E273" s="307">
        <f t="shared" ca="1" si="125"/>
        <v>-12.901523643958319</v>
      </c>
      <c r="F273" s="304">
        <f t="shared" ca="1" si="126"/>
        <v>12.94330443995559</v>
      </c>
      <c r="G273" s="306">
        <f t="shared" ca="1" si="127"/>
        <v>28.851171127158135</v>
      </c>
      <c r="H273" s="307">
        <f t="shared" ca="1" si="128"/>
        <v>84.853294195864009</v>
      </c>
      <c r="I273" s="304">
        <f t="shared" ca="1" si="129"/>
        <v>89.624057101307415</v>
      </c>
      <c r="J273" s="306">
        <f t="shared" ca="1" si="130"/>
        <v>293.19728620285059</v>
      </c>
      <c r="K273" s="307">
        <f t="shared" ca="1" si="131"/>
        <v>1249.7788692371664</v>
      </c>
      <c r="L273" s="304">
        <f t="shared" ca="1" si="116"/>
        <v>1283.7101972908242</v>
      </c>
      <c r="M273" s="306">
        <f t="shared" ca="1" si="132"/>
        <v>1.2430467163732137</v>
      </c>
      <c r="N273" s="304">
        <f t="shared" ca="1" si="133"/>
        <v>71.221330585780635</v>
      </c>
      <c r="P273" s="310">
        <f t="shared" ca="1" si="134"/>
        <v>23</v>
      </c>
      <c r="Q273" s="304">
        <f t="shared" ca="1" si="135"/>
        <v>0</v>
      </c>
      <c r="R273" s="306">
        <f t="shared" ca="1" si="136"/>
        <v>0</v>
      </c>
      <c r="S273" s="307">
        <f t="shared" ca="1" si="137"/>
        <v>7.150000000000003</v>
      </c>
      <c r="T273" s="304">
        <f t="shared" ca="1" si="117"/>
        <v>70.141500000000036</v>
      </c>
      <c r="U273" s="311">
        <f t="shared" ca="1" si="118"/>
        <v>0</v>
      </c>
      <c r="V273" s="306">
        <f t="shared" ca="1" si="119"/>
        <v>1.0809063485567003</v>
      </c>
      <c r="W273" s="304">
        <f t="shared" ca="1" si="120"/>
        <v>22.66035455260791</v>
      </c>
      <c r="Y273" s="314" t="str">
        <f t="shared" ca="1" si="138"/>
        <v/>
      </c>
      <c r="Z273" s="315" t="str">
        <f t="shared" ca="1" si="139"/>
        <v/>
      </c>
      <c r="AA273" s="316" t="str">
        <f t="shared" ca="1" si="140"/>
        <v/>
      </c>
      <c r="AC273" s="310" t="e">
        <f t="shared" ca="1" si="141"/>
        <v>#N/A</v>
      </c>
      <c r="AD273" s="323" t="e">
        <f t="shared" ca="1" si="142"/>
        <v>#N/A</v>
      </c>
      <c r="AE273" s="324">
        <f t="shared" ca="1" si="121"/>
        <v>1249.7788692371664</v>
      </c>
      <c r="AG273" s="306">
        <f t="shared" ca="1" si="143"/>
        <v>-12.560255117950827</v>
      </c>
      <c r="AH273" s="304">
        <f t="shared" ca="1" si="144"/>
        <v>-3.2614928991049319</v>
      </c>
    </row>
    <row r="274" spans="1:34" x14ac:dyDescent="0.2">
      <c r="A274" s="347">
        <f t="shared" ca="1" si="122"/>
        <v>0.1</v>
      </c>
      <c r="B274" s="304">
        <f t="shared" ca="1" si="123"/>
        <v>8.9999999999999858</v>
      </c>
      <c r="D274" s="306">
        <f t="shared" ca="1" si="124"/>
        <v>-1.0202333267129859</v>
      </c>
      <c r="E274" s="307">
        <f t="shared" ca="1" si="125"/>
        <v>-12.810576934588003</v>
      </c>
      <c r="F274" s="304">
        <f t="shared" ca="1" si="126"/>
        <v>12.85113837128579</v>
      </c>
      <c r="G274" s="306">
        <f t="shared" ca="1" si="127"/>
        <v>28.749147794486838</v>
      </c>
      <c r="H274" s="307">
        <f t="shared" ca="1" si="128"/>
        <v>83.572236502405204</v>
      </c>
      <c r="I274" s="304">
        <f t="shared" ca="1" si="129"/>
        <v>88.37891271634426</v>
      </c>
      <c r="J274" s="306">
        <f t="shared" ca="1" si="130"/>
        <v>296.07730214893286</v>
      </c>
      <c r="K274" s="307">
        <f t="shared" ca="1" si="131"/>
        <v>1258.2001457720798</v>
      </c>
      <c r="L274" s="304">
        <f t="shared" ca="1" si="116"/>
        <v>1292.5669714442936</v>
      </c>
      <c r="M274" s="306">
        <f t="shared" ca="1" si="132"/>
        <v>1.2394734933443345</v>
      </c>
      <c r="N274" s="304">
        <f t="shared" ca="1" si="133"/>
        <v>71.016599986966895</v>
      </c>
      <c r="P274" s="310">
        <f t="shared" ca="1" si="134"/>
        <v>23</v>
      </c>
      <c r="Q274" s="304">
        <f t="shared" ca="1" si="135"/>
        <v>0</v>
      </c>
      <c r="R274" s="306">
        <f t="shared" ca="1" si="136"/>
        <v>0</v>
      </c>
      <c r="S274" s="307">
        <f t="shared" ca="1" si="137"/>
        <v>7.150000000000003</v>
      </c>
      <c r="T274" s="304">
        <f t="shared" ca="1" si="117"/>
        <v>70.141500000000036</v>
      </c>
      <c r="U274" s="311">
        <f t="shared" ca="1" si="118"/>
        <v>0</v>
      </c>
      <c r="V274" s="306">
        <f t="shared" ca="1" si="119"/>
        <v>1.0799928810527888</v>
      </c>
      <c r="W274" s="304">
        <f t="shared" ca="1" si="120"/>
        <v>22.016467333879106</v>
      </c>
      <c r="Y274" s="314" t="str">
        <f t="shared" ca="1" si="138"/>
        <v/>
      </c>
      <c r="Z274" s="315" t="str">
        <f t="shared" ca="1" si="139"/>
        <v/>
      </c>
      <c r="AA274" s="316" t="str">
        <f t="shared" ca="1" si="140"/>
        <v/>
      </c>
      <c r="AC274" s="310">
        <f t="shared" ca="1" si="141"/>
        <v>8.9999999999999858</v>
      </c>
      <c r="AD274" s="323">
        <f t="shared" ca="1" si="142"/>
        <v>296.07730214893286</v>
      </c>
      <c r="AE274" s="324">
        <f t="shared" ca="1" si="121"/>
        <v>1258.2001457720798</v>
      </c>
      <c r="AG274" s="306">
        <f t="shared" ca="1" si="143"/>
        <v>-12.457085919308211</v>
      </c>
      <c r="AH274" s="304">
        <f t="shared" ca="1" si="144"/>
        <v>-3.1692803570080978</v>
      </c>
    </row>
    <row r="275" spans="1:34" x14ac:dyDescent="0.2">
      <c r="A275" s="347">
        <f t="shared" ca="1" si="122"/>
        <v>0.1</v>
      </c>
      <c r="B275" s="304">
        <f t="shared" ca="1" si="123"/>
        <v>9.0999999999999854</v>
      </c>
      <c r="D275" s="306">
        <f t="shared" ca="1" si="124"/>
        <v>-1.0016544265053184</v>
      </c>
      <c r="E275" s="307">
        <f t="shared" ca="1" si="125"/>
        <v>-12.721755897043895</v>
      </c>
      <c r="F275" s="304">
        <f t="shared" ca="1" si="126"/>
        <v>12.761127877037703</v>
      </c>
      <c r="G275" s="306">
        <f t="shared" ca="1" si="127"/>
        <v>28.648982351836306</v>
      </c>
      <c r="H275" s="307">
        <f t="shared" ca="1" si="128"/>
        <v>82.300060912700815</v>
      </c>
      <c r="I275" s="304">
        <f t="shared" ca="1" si="129"/>
        <v>87.143928165019588</v>
      </c>
      <c r="J275" s="306">
        <f t="shared" ca="1" si="130"/>
        <v>298.94720865624902</v>
      </c>
      <c r="K275" s="307">
        <f t="shared" ca="1" si="131"/>
        <v>1266.4937606428352</v>
      </c>
      <c r="L275" s="304">
        <f t="shared" ca="1" si="116"/>
        <v>1301.2977673501919</v>
      </c>
      <c r="M275" s="306">
        <f t="shared" ca="1" si="132"/>
        <v>1.2358115706943913</v>
      </c>
      <c r="N275" s="304">
        <f t="shared" ca="1" si="133"/>
        <v>70.80678727422179</v>
      </c>
      <c r="P275" s="310">
        <f t="shared" ca="1" si="134"/>
        <v>23</v>
      </c>
      <c r="Q275" s="304">
        <f t="shared" ca="1" si="135"/>
        <v>0</v>
      </c>
      <c r="R275" s="306">
        <f t="shared" ca="1" si="136"/>
        <v>0</v>
      </c>
      <c r="S275" s="307">
        <f t="shared" ca="1" si="137"/>
        <v>7.150000000000003</v>
      </c>
      <c r="T275" s="304">
        <f t="shared" ca="1" si="117"/>
        <v>70.141500000000036</v>
      </c>
      <c r="U275" s="311">
        <f t="shared" ca="1" si="118"/>
        <v>0</v>
      </c>
      <c r="V275" s="306">
        <f t="shared" ca="1" si="119"/>
        <v>1.0790939682630056</v>
      </c>
      <c r="W275" s="304">
        <f t="shared" ca="1" si="120"/>
        <v>21.387644857906899</v>
      </c>
      <c r="Y275" s="314" t="str">
        <f t="shared" ca="1" si="138"/>
        <v/>
      </c>
      <c r="Z275" s="315" t="str">
        <f t="shared" ca="1" si="139"/>
        <v/>
      </c>
      <c r="AA275" s="316" t="str">
        <f t="shared" ca="1" si="140"/>
        <v/>
      </c>
      <c r="AC275" s="310" t="e">
        <f t="shared" ca="1" si="141"/>
        <v>#N/A</v>
      </c>
      <c r="AD275" s="323" t="e">
        <f t="shared" ca="1" si="142"/>
        <v>#N/A</v>
      </c>
      <c r="AE275" s="324">
        <f t="shared" ca="1" si="121"/>
        <v>1266.4937606428352</v>
      </c>
      <c r="AG275" s="306">
        <f t="shared" ca="1" si="143"/>
        <v>-12.355688366578866</v>
      </c>
      <c r="AH275" s="304">
        <f t="shared" ca="1" si="144"/>
        <v>-3.0792262005425308</v>
      </c>
    </row>
    <row r="276" spans="1:34" x14ac:dyDescent="0.2">
      <c r="A276" s="347">
        <f t="shared" ca="1" si="122"/>
        <v>0.1</v>
      </c>
      <c r="B276" s="304">
        <f t="shared" ca="1" si="123"/>
        <v>9.1999999999999851</v>
      </c>
      <c r="D276" s="306">
        <f t="shared" ca="1" si="124"/>
        <v>-0.9833972500048479</v>
      </c>
      <c r="E276" s="307">
        <f t="shared" ca="1" si="125"/>
        <v>-12.635009718769084</v>
      </c>
      <c r="F276" s="304">
        <f t="shared" ca="1" si="126"/>
        <v>12.673221403601623</v>
      </c>
      <c r="G276" s="306">
        <f t="shared" ca="1" si="127"/>
        <v>28.55064262683582</v>
      </c>
      <c r="H276" s="307">
        <f t="shared" ca="1" si="128"/>
        <v>81.036559940823906</v>
      </c>
      <c r="I276" s="304">
        <f t="shared" ca="1" si="129"/>
        <v>85.918934126582599</v>
      </c>
      <c r="J276" s="306">
        <f t="shared" ca="1" si="130"/>
        <v>301.80718990518261</v>
      </c>
      <c r="K276" s="307">
        <f t="shared" ca="1" si="131"/>
        <v>1274.6605916855115</v>
      </c>
      <c r="L276" s="304">
        <f t="shared" ca="1" si="116"/>
        <v>1309.9035093756033</v>
      </c>
      <c r="M276" s="306">
        <f t="shared" ca="1" si="132"/>
        <v>1.2320579255488189</v>
      </c>
      <c r="N276" s="304">
        <f t="shared" ca="1" si="133"/>
        <v>70.591719249590724</v>
      </c>
      <c r="P276" s="310">
        <f t="shared" ca="1" si="134"/>
        <v>23</v>
      </c>
      <c r="Q276" s="304">
        <f t="shared" ca="1" si="135"/>
        <v>0</v>
      </c>
      <c r="R276" s="306">
        <f t="shared" ca="1" si="136"/>
        <v>0</v>
      </c>
      <c r="S276" s="307">
        <f t="shared" ca="1" si="137"/>
        <v>7.150000000000003</v>
      </c>
      <c r="T276" s="304">
        <f t="shared" ca="1" si="117"/>
        <v>70.141500000000036</v>
      </c>
      <c r="U276" s="311">
        <f t="shared" ca="1" si="118"/>
        <v>0</v>
      </c>
      <c r="V276" s="306">
        <f t="shared" ca="1" si="119"/>
        <v>1.0782094819482109</v>
      </c>
      <c r="W276" s="304">
        <f t="shared" ca="1" si="120"/>
        <v>20.773531935771391</v>
      </c>
      <c r="Y276" s="314" t="str">
        <f t="shared" ca="1" si="138"/>
        <v/>
      </c>
      <c r="Z276" s="315" t="str">
        <f t="shared" ca="1" si="139"/>
        <v/>
      </c>
      <c r="AA276" s="316" t="str">
        <f t="shared" ca="1" si="140"/>
        <v/>
      </c>
      <c r="AC276" s="310" t="e">
        <f t="shared" ca="1" si="141"/>
        <v>#N/A</v>
      </c>
      <c r="AD276" s="323" t="e">
        <f t="shared" ca="1" si="142"/>
        <v>#N/A</v>
      </c>
      <c r="AE276" s="324">
        <f t="shared" ca="1" si="121"/>
        <v>1274.6605916855115</v>
      </c>
      <c r="AG276" s="306">
        <f t="shared" ca="1" si="143"/>
        <v>-12.255993302539871</v>
      </c>
      <c r="AH276" s="304">
        <f t="shared" ca="1" si="144"/>
        <v>-2.991279001105859</v>
      </c>
    </row>
    <row r="277" spans="1:34" x14ac:dyDescent="0.2">
      <c r="A277" s="347">
        <f t="shared" ca="1" si="122"/>
        <v>0.1</v>
      </c>
      <c r="B277" s="304">
        <f t="shared" ca="1" si="123"/>
        <v>9.2999999999999847</v>
      </c>
      <c r="D277" s="306">
        <f t="shared" ca="1" si="124"/>
        <v>-0.96545338013355897</v>
      </c>
      <c r="E277" s="307">
        <f t="shared" ca="1" si="125"/>
        <v>-12.550289307384146</v>
      </c>
      <c r="F277" s="304">
        <f t="shared" ca="1" si="126"/>
        <v>12.587369142448001</v>
      </c>
      <c r="G277" s="306">
        <f t="shared" ca="1" si="127"/>
        <v>28.454097288822464</v>
      </c>
      <c r="H277" s="307">
        <f t="shared" ca="1" si="128"/>
        <v>79.781531010085487</v>
      </c>
      <c r="I277" s="304">
        <f t="shared" ca="1" si="129"/>
        <v>84.703768173765482</v>
      </c>
      <c r="J277" s="306">
        <f t="shared" ca="1" si="130"/>
        <v>304.6574269009655</v>
      </c>
      <c r="K277" s="307">
        <f t="shared" ca="1" si="131"/>
        <v>1282.701496233057</v>
      </c>
      <c r="L277" s="304">
        <f t="shared" ca="1" si="116"/>
        <v>1318.3851016317049</v>
      </c>
      <c r="M277" s="306">
        <f t="shared" ca="1" si="132"/>
        <v>1.2282094001626469</v>
      </c>
      <c r="N277" s="304">
        <f t="shared" ca="1" si="133"/>
        <v>70.37121498761411</v>
      </c>
      <c r="P277" s="310">
        <f t="shared" ca="1" si="134"/>
        <v>23</v>
      </c>
      <c r="Q277" s="304">
        <f t="shared" ca="1" si="135"/>
        <v>0</v>
      </c>
      <c r="R277" s="306">
        <f t="shared" ca="1" si="136"/>
        <v>0</v>
      </c>
      <c r="S277" s="307">
        <f t="shared" ca="1" si="137"/>
        <v>7.150000000000003</v>
      </c>
      <c r="T277" s="304">
        <f t="shared" ca="1" si="117"/>
        <v>70.141500000000036</v>
      </c>
      <c r="U277" s="311">
        <f t="shared" ca="1" si="118"/>
        <v>0</v>
      </c>
      <c r="V277" s="306">
        <f t="shared" ca="1" si="119"/>
        <v>1.0773392969484057</v>
      </c>
      <c r="W277" s="304">
        <f t="shared" ca="1" si="120"/>
        <v>20.173785424276996</v>
      </c>
      <c r="Y277" s="314" t="str">
        <f t="shared" ca="1" si="138"/>
        <v/>
      </c>
      <c r="Z277" s="315" t="str">
        <f t="shared" ca="1" si="139"/>
        <v/>
      </c>
      <c r="AA277" s="316" t="str">
        <f t="shared" ca="1" si="140"/>
        <v/>
      </c>
      <c r="AC277" s="310" t="e">
        <f t="shared" ca="1" si="141"/>
        <v>#N/A</v>
      </c>
      <c r="AD277" s="323" t="e">
        <f t="shared" ca="1" si="142"/>
        <v>#N/A</v>
      </c>
      <c r="AE277" s="324">
        <f t="shared" ca="1" si="121"/>
        <v>1282.701496233057</v>
      </c>
      <c r="AG277" s="306">
        <f t="shared" ca="1" si="143"/>
        <v>-12.157932320512705</v>
      </c>
      <c r="AH277" s="304">
        <f t="shared" ca="1" si="144"/>
        <v>-2.9053890819260673</v>
      </c>
    </row>
    <row r="278" spans="1:34" x14ac:dyDescent="0.2">
      <c r="A278" s="347">
        <f t="shared" ca="1" si="122"/>
        <v>0.1</v>
      </c>
      <c r="B278" s="304">
        <f t="shared" ca="1" si="123"/>
        <v>9.3999999999999844</v>
      </c>
      <c r="D278" s="306">
        <f t="shared" ca="1" si="124"/>
        <v>-0.94781469225556603</v>
      </c>
      <c r="E278" s="307">
        <f t="shared" ca="1" si="125"/>
        <v>-12.467547224023406</v>
      </c>
      <c r="F278" s="304">
        <f t="shared" ca="1" si="126"/>
        <v>12.503522962513776</v>
      </c>
      <c r="G278" s="306">
        <f t="shared" ca="1" si="127"/>
        <v>28.359315819596908</v>
      </c>
      <c r="H278" s="307">
        <f t="shared" ca="1" si="128"/>
        <v>78.534776287683144</v>
      </c>
      <c r="I278" s="304">
        <f t="shared" ca="1" si="129"/>
        <v>83.498274714583644</v>
      </c>
      <c r="J278" s="306">
        <f t="shared" ca="1" si="130"/>
        <v>307.49809755638648</v>
      </c>
      <c r="K278" s="307">
        <f t="shared" ca="1" si="131"/>
        <v>1290.6173115979454</v>
      </c>
      <c r="L278" s="304">
        <f t="shared" ca="1" si="116"/>
        <v>1326.7434284733069</v>
      </c>
      <c r="M278" s="306">
        <f t="shared" ca="1" si="132"/>
        <v>1.2242626947254767</v>
      </c>
      <c r="N278" s="304">
        <f t="shared" ca="1" si="133"/>
        <v>70.145085423082918</v>
      </c>
      <c r="P278" s="310">
        <f t="shared" ca="1" si="134"/>
        <v>23</v>
      </c>
      <c r="Q278" s="304">
        <f t="shared" ca="1" si="135"/>
        <v>0</v>
      </c>
      <c r="R278" s="306">
        <f t="shared" ca="1" si="136"/>
        <v>0</v>
      </c>
      <c r="S278" s="307">
        <f t="shared" ca="1" si="137"/>
        <v>7.150000000000003</v>
      </c>
      <c r="T278" s="304">
        <f t="shared" ca="1" si="117"/>
        <v>70.141500000000036</v>
      </c>
      <c r="U278" s="311">
        <f t="shared" ca="1" si="118"/>
        <v>0</v>
      </c>
      <c r="V278" s="306">
        <f t="shared" ca="1" si="119"/>
        <v>1.0764832911071827</v>
      </c>
      <c r="W278" s="304">
        <f t="shared" ca="1" si="120"/>
        <v>19.588073768144902</v>
      </c>
      <c r="Y278" s="314" t="str">
        <f t="shared" ca="1" si="138"/>
        <v/>
      </c>
      <c r="Z278" s="315" t="str">
        <f t="shared" ca="1" si="139"/>
        <v/>
      </c>
      <c r="AA278" s="316" t="str">
        <f t="shared" ca="1" si="140"/>
        <v/>
      </c>
      <c r="AC278" s="310" t="e">
        <f t="shared" ca="1" si="141"/>
        <v>#N/A</v>
      </c>
      <c r="AD278" s="323" t="e">
        <f t="shared" ca="1" si="142"/>
        <v>#N/A</v>
      </c>
      <c r="AE278" s="324">
        <f t="shared" ca="1" si="121"/>
        <v>1290.6173115979454</v>
      </c>
      <c r="AG278" s="306">
        <f t="shared" ca="1" si="143"/>
        <v>-12.061437630997505</v>
      </c>
      <c r="AH278" s="304">
        <f t="shared" ca="1" si="144"/>
        <v>-2.8215084509478303</v>
      </c>
    </row>
    <row r="279" spans="1:34" x14ac:dyDescent="0.2">
      <c r="A279" s="347">
        <f t="shared" ca="1" si="122"/>
        <v>0.1</v>
      </c>
      <c r="B279" s="304">
        <f t="shared" ca="1" si="123"/>
        <v>9.499999999999984</v>
      </c>
      <c r="D279" s="306">
        <f t="shared" ca="1" si="124"/>
        <v>-0.93047334435381379</v>
      </c>
      <c r="E279" s="307">
        <f t="shared" ca="1" si="125"/>
        <v>-12.386737619670749</v>
      </c>
      <c r="F279" s="304">
        <f t="shared" ca="1" si="126"/>
        <v>12.421636345631745</v>
      </c>
      <c r="G279" s="306">
        <f t="shared" ca="1" si="127"/>
        <v>28.266268485161525</v>
      </c>
      <c r="H279" s="307">
        <f t="shared" ca="1" si="128"/>
        <v>77.296102525716066</v>
      </c>
      <c r="I279" s="304">
        <f t="shared" ca="1" si="129"/>
        <v>82.302304947925023</v>
      </c>
      <c r="J279" s="306">
        <f t="shared" ca="1" si="130"/>
        <v>310.32937677162442</v>
      </c>
      <c r="K279" s="307">
        <f t="shared" ca="1" si="131"/>
        <v>1298.4088555386154</v>
      </c>
      <c r="L279" s="304">
        <f t="shared" ca="1" si="116"/>
        <v>1334.9793549821518</v>
      </c>
      <c r="M279" s="306">
        <f t="shared" ca="1" si="132"/>
        <v>1.2202143597310005</v>
      </c>
      <c r="N279" s="304">
        <f t="shared" ca="1" si="133"/>
        <v>69.913132913844322</v>
      </c>
      <c r="P279" s="310">
        <f t="shared" ca="1" si="134"/>
        <v>23</v>
      </c>
      <c r="Q279" s="304">
        <f t="shared" ca="1" si="135"/>
        <v>0</v>
      </c>
      <c r="R279" s="306">
        <f t="shared" ca="1" si="136"/>
        <v>0</v>
      </c>
      <c r="S279" s="307">
        <f t="shared" ca="1" si="137"/>
        <v>7.150000000000003</v>
      </c>
      <c r="T279" s="304">
        <f t="shared" ca="1" si="117"/>
        <v>70.141500000000036</v>
      </c>
      <c r="U279" s="311">
        <f t="shared" ca="1" si="118"/>
        <v>0</v>
      </c>
      <c r="V279" s="306">
        <f t="shared" ca="1" si="119"/>
        <v>1.0756413451987814</v>
      </c>
      <c r="W279" s="304">
        <f t="shared" ca="1" si="120"/>
        <v>19.016076563121374</v>
      </c>
      <c r="Y279" s="314" t="str">
        <f t="shared" ca="1" si="138"/>
        <v/>
      </c>
      <c r="Z279" s="315" t="str">
        <f t="shared" ca="1" si="139"/>
        <v/>
      </c>
      <c r="AA279" s="316" t="str">
        <f t="shared" ca="1" si="140"/>
        <v/>
      </c>
      <c r="AC279" s="310" t="e">
        <f t="shared" ca="1" si="141"/>
        <v>#N/A</v>
      </c>
      <c r="AD279" s="323" t="e">
        <f t="shared" ca="1" si="142"/>
        <v>#N/A</v>
      </c>
      <c r="AE279" s="324">
        <f t="shared" ca="1" si="121"/>
        <v>1298.4088555386154</v>
      </c>
      <c r="AG279" s="306">
        <f t="shared" ca="1" si="143"/>
        <v>-11.966441926431843</v>
      </c>
      <c r="AH279" s="304">
        <f t="shared" ca="1" si="144"/>
        <v>-2.7395907368034815</v>
      </c>
    </row>
    <row r="280" spans="1:34" x14ac:dyDescent="0.2">
      <c r="A280" s="347">
        <f t="shared" ca="1" si="122"/>
        <v>0.1</v>
      </c>
      <c r="B280" s="304">
        <f t="shared" ca="1" si="123"/>
        <v>9.5999999999999837</v>
      </c>
      <c r="D280" s="306">
        <f t="shared" ca="1" si="124"/>
        <v>-0.91342176776398309</v>
      </c>
      <c r="E280" s="307">
        <f t="shared" ca="1" si="125"/>
        <v>-12.307816174334063</v>
      </c>
      <c r="F280" s="304">
        <f t="shared" ca="1" si="126"/>
        <v>12.341664324839833</v>
      </c>
      <c r="G280" s="306">
        <f t="shared" ca="1" si="127"/>
        <v>28.174926308385128</v>
      </c>
      <c r="H280" s="307">
        <f t="shared" ca="1" si="128"/>
        <v>76.065320908282658</v>
      </c>
      <c r="I280" s="304">
        <f t="shared" ca="1" si="129"/>
        <v>81.11571683319427</v>
      </c>
      <c r="J280" s="306">
        <f t="shared" ca="1" si="130"/>
        <v>313.15143651130177</v>
      </c>
      <c r="K280" s="307">
        <f t="shared" ca="1" si="131"/>
        <v>1306.0769267103153</v>
      </c>
      <c r="L280" s="304">
        <f t="shared" ca="1" si="116"/>
        <v>1343.0937274345952</v>
      </c>
      <c r="M280" s="306">
        <f t="shared" ca="1" si="132"/>
        <v>1.2160607878829994</v>
      </c>
      <c r="N280" s="304">
        <f t="shared" ca="1" si="133"/>
        <v>69.67515077704951</v>
      </c>
      <c r="P280" s="310">
        <f t="shared" ca="1" si="134"/>
        <v>23</v>
      </c>
      <c r="Q280" s="304">
        <f t="shared" ca="1" si="135"/>
        <v>0</v>
      </c>
      <c r="R280" s="306">
        <f t="shared" ca="1" si="136"/>
        <v>0</v>
      </c>
      <c r="S280" s="307">
        <f t="shared" ca="1" si="137"/>
        <v>7.150000000000003</v>
      </c>
      <c r="T280" s="304">
        <f t="shared" ca="1" si="117"/>
        <v>70.141500000000036</v>
      </c>
      <c r="U280" s="311">
        <f t="shared" ca="1" si="118"/>
        <v>0</v>
      </c>
      <c r="V280" s="306">
        <f t="shared" ca="1" si="119"/>
        <v>1.0748133428576547</v>
      </c>
      <c r="W280" s="304">
        <f t="shared" ca="1" si="120"/>
        <v>18.457484138928645</v>
      </c>
      <c r="Y280" s="314" t="str">
        <f t="shared" ca="1" si="138"/>
        <v/>
      </c>
      <c r="Z280" s="315" t="str">
        <f t="shared" ca="1" si="139"/>
        <v/>
      </c>
      <c r="AA280" s="316" t="str">
        <f t="shared" ca="1" si="140"/>
        <v/>
      </c>
      <c r="AC280" s="310" t="e">
        <f t="shared" ca="1" si="141"/>
        <v>#N/A</v>
      </c>
      <c r="AD280" s="323" t="e">
        <f t="shared" ca="1" si="142"/>
        <v>#N/A</v>
      </c>
      <c r="AE280" s="324">
        <f t="shared" ca="1" si="121"/>
        <v>1306.0769267103153</v>
      </c>
      <c r="AG280" s="306">
        <f t="shared" ca="1" si="143"/>
        <v>-11.872878243508241</v>
      </c>
      <c r="AH280" s="304">
        <f t="shared" ca="1" si="144"/>
        <v>-2.6595911277092821</v>
      </c>
    </row>
    <row r="281" spans="1:34" x14ac:dyDescent="0.2">
      <c r="A281" s="347">
        <f t="shared" ca="1" si="122"/>
        <v>0.1</v>
      </c>
      <c r="B281" s="304">
        <f t="shared" ca="1" si="123"/>
        <v>9.6999999999999833</v>
      </c>
      <c r="D281" s="306">
        <f t="shared" ca="1" si="124"/>
        <v>-0.89665265844567232</v>
      </c>
      <c r="E281" s="307">
        <f t="shared" ca="1" si="125"/>
        <v>-12.230740038906035</v>
      </c>
      <c r="F281" s="304">
        <f t="shared" ca="1" si="126"/>
        <v>12.26356342541583</v>
      </c>
      <c r="G281" s="306">
        <f t="shared" ca="1" si="127"/>
        <v>28.085261042540562</v>
      </c>
      <c r="H281" s="307">
        <f t="shared" ca="1" si="128"/>
        <v>74.842246904392056</v>
      </c>
      <c r="I281" s="304">
        <f t="shared" ca="1" si="129"/>
        <v>79.938375074338538</v>
      </c>
      <c r="J281" s="306">
        <f t="shared" ca="1" si="130"/>
        <v>315.96444587884804</v>
      </c>
      <c r="K281" s="307">
        <f t="shared" ca="1" si="131"/>
        <v>1313.622305100949</v>
      </c>
      <c r="L281" s="304">
        <f t="shared" ca="1" si="116"/>
        <v>1351.0873737542877</v>
      </c>
      <c r="M281" s="306">
        <f t="shared" ca="1" si="132"/>
        <v>1.2117982055080196</v>
      </c>
      <c r="N281" s="304">
        <f t="shared" ca="1" si="133"/>
        <v>69.430922797136319</v>
      </c>
      <c r="P281" s="310">
        <f t="shared" ca="1" si="134"/>
        <v>23</v>
      </c>
      <c r="Q281" s="304">
        <f t="shared" ca="1" si="135"/>
        <v>0</v>
      </c>
      <c r="R281" s="306">
        <f t="shared" ca="1" si="136"/>
        <v>0</v>
      </c>
      <c r="S281" s="307">
        <f t="shared" ca="1" si="137"/>
        <v>7.150000000000003</v>
      </c>
      <c r="T281" s="304">
        <f t="shared" ca="1" si="117"/>
        <v>70.141500000000036</v>
      </c>
      <c r="U281" s="311">
        <f t="shared" ca="1" si="118"/>
        <v>0</v>
      </c>
      <c r="V281" s="306">
        <f t="shared" ca="1" si="119"/>
        <v>1.0739991705104452</v>
      </c>
      <c r="W281" s="304">
        <f t="shared" ca="1" si="120"/>
        <v>17.911997161047047</v>
      </c>
      <c r="Y281" s="314" t="str">
        <f t="shared" ca="1" si="138"/>
        <v/>
      </c>
      <c r="Z281" s="315" t="str">
        <f t="shared" ca="1" si="139"/>
        <v/>
      </c>
      <c r="AA281" s="316" t="str">
        <f t="shared" ca="1" si="140"/>
        <v/>
      </c>
      <c r="AC281" s="310" t="e">
        <f t="shared" ca="1" si="141"/>
        <v>#N/A</v>
      </c>
      <c r="AD281" s="323" t="e">
        <f t="shared" ca="1" si="142"/>
        <v>#N/A</v>
      </c>
      <c r="AE281" s="324">
        <f t="shared" ca="1" si="121"/>
        <v>1313.622305100949</v>
      </c>
      <c r="AG281" s="306">
        <f t="shared" ca="1" si="143"/>
        <v>-11.780679822458803</v>
      </c>
      <c r="AH281" s="304">
        <f t="shared" ca="1" si="144"/>
        <v>-2.5814663131368722</v>
      </c>
    </row>
    <row r="282" spans="1:34" x14ac:dyDescent="0.2">
      <c r="A282" s="347">
        <f t="shared" ca="1" si="122"/>
        <v>0.1</v>
      </c>
      <c r="B282" s="304">
        <f t="shared" ca="1" si="123"/>
        <v>9.7999999999999829</v>
      </c>
      <c r="D282" s="306">
        <f t="shared" ca="1" si="124"/>
        <v>-0.88015896877281641</v>
      </c>
      <c r="E282" s="307">
        <f t="shared" ca="1" si="125"/>
        <v>-12.155467779567109</v>
      </c>
      <c r="F282" s="304">
        <f t="shared" ca="1" si="126"/>
        <v>12.187291608491421</v>
      </c>
      <c r="G282" s="306">
        <f t="shared" ca="1" si="127"/>
        <v>27.997245145663282</v>
      </c>
      <c r="H282" s="307">
        <f t="shared" ca="1" si="128"/>
        <v>73.626700126435338</v>
      </c>
      <c r="I282" s="304">
        <f t="shared" ca="1" si="129"/>
        <v>78.770151118646467</v>
      </c>
      <c r="J282" s="306">
        <f t="shared" ca="1" si="130"/>
        <v>318.76857118825825</v>
      </c>
      <c r="K282" s="307">
        <f t="shared" ca="1" si="131"/>
        <v>1321.0457524524904</v>
      </c>
      <c r="L282" s="304">
        <f t="shared" ca="1" si="116"/>
        <v>1358.9611039504296</v>
      </c>
      <c r="M282" s="306">
        <f t="shared" ca="1" si="132"/>
        <v>1.2074226634431278</v>
      </c>
      <c r="N282" s="304">
        <f t="shared" ca="1" si="133"/>
        <v>69.18022270373605</v>
      </c>
      <c r="P282" s="310">
        <f t="shared" ca="1" si="134"/>
        <v>23</v>
      </c>
      <c r="Q282" s="304">
        <f t="shared" ca="1" si="135"/>
        <v>0</v>
      </c>
      <c r="R282" s="306">
        <f t="shared" ca="1" si="136"/>
        <v>0</v>
      </c>
      <c r="S282" s="307">
        <f t="shared" ca="1" si="137"/>
        <v>7.150000000000003</v>
      </c>
      <c r="T282" s="304">
        <f t="shared" ca="1" si="117"/>
        <v>70.141500000000036</v>
      </c>
      <c r="U282" s="311">
        <f t="shared" ca="1" si="118"/>
        <v>0</v>
      </c>
      <c r="V282" s="306">
        <f t="shared" ca="1" si="119"/>
        <v>1.0731987173102751</v>
      </c>
      <c r="W282" s="304">
        <f t="shared" ca="1" si="120"/>
        <v>17.379326250375172</v>
      </c>
      <c r="Y282" s="314" t="str">
        <f t="shared" ca="1" si="138"/>
        <v/>
      </c>
      <c r="Z282" s="315" t="str">
        <f t="shared" ca="1" si="139"/>
        <v/>
      </c>
      <c r="AA282" s="316" t="str">
        <f t="shared" ca="1" si="140"/>
        <v/>
      </c>
      <c r="AC282" s="310" t="e">
        <f t="shared" ca="1" si="141"/>
        <v>#N/A</v>
      </c>
      <c r="AD282" s="323" t="e">
        <f t="shared" ca="1" si="142"/>
        <v>#N/A</v>
      </c>
      <c r="AE282" s="324">
        <f t="shared" ca="1" si="121"/>
        <v>1321.0457524524904</v>
      </c>
      <c r="AG282" s="306">
        <f t="shared" ca="1" si="143"/>
        <v>-11.689779962685764</v>
      </c>
      <c r="AH282" s="304">
        <f t="shared" ca="1" si="144"/>
        <v>-2.5051744281184671</v>
      </c>
    </row>
    <row r="283" spans="1:34" x14ac:dyDescent="0.2">
      <c r="A283" s="347">
        <f t="shared" ca="1" si="122"/>
        <v>0.1</v>
      </c>
      <c r="B283" s="304">
        <f t="shared" ca="1" si="123"/>
        <v>9.8999999999999826</v>
      </c>
      <c r="D283" s="306">
        <f t="shared" ca="1" si="124"/>
        <v>-0.86393389982712387</v>
      </c>
      <c r="E283" s="307">
        <f t="shared" ca="1" si="125"/>
        <v>-12.081959324593988</v>
      </c>
      <c r="F283" s="304">
        <f t="shared" ca="1" si="126"/>
        <v>12.11280821710697</v>
      </c>
      <c r="G283" s="306">
        <f t="shared" ca="1" si="127"/>
        <v>27.910851755680568</v>
      </c>
      <c r="H283" s="307">
        <f t="shared" ca="1" si="128"/>
        <v>72.418504193975934</v>
      </c>
      <c r="I283" s="304">
        <f t="shared" ca="1" si="129"/>
        <v>77.61092317077852</v>
      </c>
      <c r="J283" s="306">
        <f t="shared" ca="1" si="130"/>
        <v>321.56397603332545</v>
      </c>
      <c r="K283" s="307">
        <f t="shared" ca="1" si="131"/>
        <v>1328.348012668511</v>
      </c>
      <c r="L283" s="304">
        <f t="shared" ca="1" si="116"/>
        <v>1366.7157105421536</v>
      </c>
      <c r="M283" s="306">
        <f t="shared" ca="1" si="132"/>
        <v>1.2029300273652681</v>
      </c>
      <c r="N283" s="304">
        <f t="shared" ca="1" si="133"/>
        <v>68.922813617586485</v>
      </c>
      <c r="P283" s="310">
        <f t="shared" ca="1" si="134"/>
        <v>23</v>
      </c>
      <c r="Q283" s="304">
        <f t="shared" ca="1" si="135"/>
        <v>0</v>
      </c>
      <c r="R283" s="306">
        <f t="shared" ca="1" si="136"/>
        <v>0</v>
      </c>
      <c r="S283" s="307">
        <f t="shared" ca="1" si="137"/>
        <v>7.150000000000003</v>
      </c>
      <c r="T283" s="304">
        <f t="shared" ca="1" si="117"/>
        <v>70.141500000000036</v>
      </c>
      <c r="U283" s="311">
        <f t="shared" ca="1" si="118"/>
        <v>0</v>
      </c>
      <c r="V283" s="306">
        <f t="shared" ca="1" si="119"/>
        <v>1.0724118750732696</v>
      </c>
      <c r="W283" s="304">
        <f t="shared" ca="1" si="120"/>
        <v>16.859191619868962</v>
      </c>
      <c r="Y283" s="314" t="str">
        <f t="shared" ca="1" si="138"/>
        <v/>
      </c>
      <c r="Z283" s="315" t="str">
        <f t="shared" ca="1" si="139"/>
        <v/>
      </c>
      <c r="AA283" s="316" t="str">
        <f t="shared" ca="1" si="140"/>
        <v/>
      </c>
      <c r="AC283" s="310" t="e">
        <f t="shared" ca="1" si="141"/>
        <v>#N/A</v>
      </c>
      <c r="AD283" s="323" t="e">
        <f t="shared" ca="1" si="142"/>
        <v>#N/A</v>
      </c>
      <c r="AE283" s="324">
        <f t="shared" ca="1" si="121"/>
        <v>1328.348012668511</v>
      </c>
      <c r="AG283" s="306">
        <f t="shared" ca="1" si="143"/>
        <v>-11.600111874083723</v>
      </c>
      <c r="AH283" s="304">
        <f t="shared" ca="1" si="144"/>
        <v>-2.4306750000524704</v>
      </c>
    </row>
    <row r="284" spans="1:34" x14ac:dyDescent="0.2">
      <c r="A284" s="347">
        <f t="shared" ca="1" si="122"/>
        <v>0.1</v>
      </c>
      <c r="B284" s="304">
        <f t="shared" ca="1" si="123"/>
        <v>9.9999999999999822</v>
      </c>
      <c r="D284" s="306">
        <f t="shared" ca="1" si="124"/>
        <v>-0.84797089418011384</v>
      </c>
      <c r="E284" s="307">
        <f t="shared" ca="1" si="125"/>
        <v>-12.010175913443911</v>
      </c>
      <c r="F284" s="304">
        <f t="shared" ca="1" si="126"/>
        <v>12.040073924575584</v>
      </c>
      <c r="G284" s="306">
        <f t="shared" ca="1" si="127"/>
        <v>27.826054666262557</v>
      </c>
      <c r="H284" s="307">
        <f t="shared" ca="1" si="128"/>
        <v>71.217486602631539</v>
      </c>
      <c r="I284" s="304">
        <f t="shared" ca="1" si="129"/>
        <v>76.460576222559524</v>
      </c>
      <c r="J284" s="306">
        <f t="shared" ca="1" si="130"/>
        <v>324.35082135442258</v>
      </c>
      <c r="K284" s="307">
        <f t="shared" ca="1" si="131"/>
        <v>1335.5298122083414</v>
      </c>
      <c r="L284" s="304">
        <f t="shared" ca="1" si="116"/>
        <v>1374.3519689695709</v>
      </c>
      <c r="M284" s="306">
        <f t="shared" ca="1" si="132"/>
        <v>1.19831596752683</v>
      </c>
      <c r="N284" s="304">
        <f t="shared" ca="1" si="133"/>
        <v>68.658447462423169</v>
      </c>
      <c r="P284" s="310">
        <f t="shared" ca="1" si="134"/>
        <v>23</v>
      </c>
      <c r="Q284" s="304">
        <f t="shared" ca="1" si="135"/>
        <v>0</v>
      </c>
      <c r="R284" s="306">
        <f t="shared" ca="1" si="136"/>
        <v>0</v>
      </c>
      <c r="S284" s="307">
        <f t="shared" ca="1" si="137"/>
        <v>7.150000000000003</v>
      </c>
      <c r="T284" s="304">
        <f t="shared" ca="1" si="117"/>
        <v>70.141500000000036</v>
      </c>
      <c r="U284" s="311">
        <f t="shared" ca="1" si="118"/>
        <v>0</v>
      </c>
      <c r="V284" s="306">
        <f t="shared" ca="1" si="119"/>
        <v>1.0716385382172164</v>
      </c>
      <c r="W284" s="304">
        <f t="shared" ca="1" si="120"/>
        <v>16.351322727311587</v>
      </c>
      <c r="Y284" s="314" t="str">
        <f t="shared" ca="1" si="138"/>
        <v/>
      </c>
      <c r="Z284" s="315" t="str">
        <f t="shared" ca="1" si="139"/>
        <v/>
      </c>
      <c r="AA284" s="316" t="str">
        <f t="shared" ca="1" si="140"/>
        <v/>
      </c>
      <c r="AC284" s="310">
        <f t="shared" ca="1" si="141"/>
        <v>9.9999999999999822</v>
      </c>
      <c r="AD284" s="323">
        <f t="shared" ca="1" si="142"/>
        <v>324.35082135442258</v>
      </c>
      <c r="AE284" s="324">
        <f t="shared" ca="1" si="121"/>
        <v>1335.5298122083414</v>
      </c>
      <c r="AG284" s="306">
        <f t="shared" ca="1" si="143"/>
        <v>-11.511608523361902</v>
      </c>
      <c r="AH284" s="304">
        <f t="shared" ca="1" si="144"/>
        <v>-2.3579288978837698</v>
      </c>
    </row>
    <row r="285" spans="1:34" x14ac:dyDescent="0.2">
      <c r="A285" s="347">
        <f t="shared" ca="1" si="122"/>
        <v>0.1</v>
      </c>
      <c r="B285" s="304">
        <f t="shared" ca="1" si="123"/>
        <v>10.099999999999982</v>
      </c>
      <c r="D285" s="306">
        <f t="shared" ca="1" si="124"/>
        <v>-0.83226362915105578</v>
      </c>
      <c r="E285" s="307">
        <f t="shared" ca="1" si="125"/>
        <v>-11.940080047991362</v>
      </c>
      <c r="F285" s="304">
        <f t="shared" ca="1" si="126"/>
        <v>11.969050685031336</v>
      </c>
      <c r="G285" s="306">
        <f t="shared" ca="1" si="127"/>
        <v>27.742828303347451</v>
      </c>
      <c r="H285" s="307">
        <f t="shared" ca="1" si="128"/>
        <v>70.023478597832408</v>
      </c>
      <c r="I285" s="304">
        <f t="shared" ca="1" si="129"/>
        <v>75.319002099139041</v>
      </c>
      <c r="J285" s="306">
        <f t="shared" ca="1" si="130"/>
        <v>327.12926550290308</v>
      </c>
      <c r="K285" s="307">
        <f t="shared" ca="1" si="131"/>
        <v>1342.5918604683645</v>
      </c>
      <c r="L285" s="304">
        <f t="shared" ca="1" si="116"/>
        <v>1381.8706379919843</v>
      </c>
      <c r="M285" s="306">
        <f t="shared" ca="1" si="132"/>
        <v>1.1935759478600607</v>
      </c>
      <c r="N285" s="304">
        <f t="shared" ca="1" si="133"/>
        <v>68.386864340708286</v>
      </c>
      <c r="P285" s="310">
        <f t="shared" ca="1" si="134"/>
        <v>23</v>
      </c>
      <c r="Q285" s="304">
        <f t="shared" ca="1" si="135"/>
        <v>0</v>
      </c>
      <c r="R285" s="306">
        <f t="shared" ca="1" si="136"/>
        <v>0</v>
      </c>
      <c r="S285" s="307">
        <f t="shared" ca="1" si="137"/>
        <v>7.150000000000003</v>
      </c>
      <c r="T285" s="304">
        <f t="shared" ca="1" si="117"/>
        <v>70.141500000000036</v>
      </c>
      <c r="U285" s="311">
        <f t="shared" ca="1" si="118"/>
        <v>0</v>
      </c>
      <c r="V285" s="306">
        <f t="shared" ca="1" si="119"/>
        <v>1.0708786037022917</v>
      </c>
      <c r="W285" s="304">
        <f t="shared" ca="1" si="120"/>
        <v>15.855457943413599</v>
      </c>
      <c r="Y285" s="314" t="str">
        <f t="shared" ca="1" si="138"/>
        <v/>
      </c>
      <c r="Z285" s="315" t="str">
        <f t="shared" ca="1" si="139"/>
        <v/>
      </c>
      <c r="AA285" s="316" t="str">
        <f t="shared" ca="1" si="140"/>
        <v/>
      </c>
      <c r="AC285" s="310" t="e">
        <f t="shared" ca="1" si="141"/>
        <v>#N/A</v>
      </c>
      <c r="AD285" s="323" t="e">
        <f t="shared" ca="1" si="142"/>
        <v>#N/A</v>
      </c>
      <c r="AE285" s="324">
        <f t="shared" ca="1" si="121"/>
        <v>1342.5918604683645</v>
      </c>
      <c r="AG285" s="306">
        <f t="shared" ca="1" si="143"/>
        <v>-11.424202474633558</v>
      </c>
      <c r="AH285" s="304">
        <f t="shared" ca="1" si="144"/>
        <v>-2.2868982835400811</v>
      </c>
    </row>
    <row r="286" spans="1:34" x14ac:dyDescent="0.2">
      <c r="A286" s="347">
        <f t="shared" ca="1" si="122"/>
        <v>0.1</v>
      </c>
      <c r="B286" s="304">
        <f t="shared" ca="1" si="123"/>
        <v>10.199999999999982</v>
      </c>
      <c r="D286" s="306">
        <f t="shared" ca="1" si="124"/>
        <v>-0.81680601052986224</v>
      </c>
      <c r="E286" s="307">
        <f t="shared" ca="1" si="125"/>
        <v>-11.871635445799789</v>
      </c>
      <c r="F286" s="304">
        <f t="shared" ca="1" si="126"/>
        <v>11.899701686042709</v>
      </c>
      <c r="G286" s="306">
        <f t="shared" ca="1" si="127"/>
        <v>27.661147702294464</v>
      </c>
      <c r="H286" s="307">
        <f t="shared" ca="1" si="128"/>
        <v>68.836315053252434</v>
      </c>
      <c r="I286" s="304">
        <f t="shared" ca="1" si="129"/>
        <v>74.186099522206845</v>
      </c>
      <c r="J286" s="306">
        <f t="shared" ca="1" si="130"/>
        <v>329.8994643031852</v>
      </c>
      <c r="K286" s="307">
        <f t="shared" ca="1" si="131"/>
        <v>1349.5348501509188</v>
      </c>
      <c r="L286" s="304">
        <f t="shared" ca="1" si="116"/>
        <v>1389.2724600737579</v>
      </c>
      <c r="M286" s="306">
        <f t="shared" ca="1" si="132"/>
        <v>1.1887052144109784</v>
      </c>
      <c r="N286" s="304">
        <f t="shared" ca="1" si="133"/>
        <v>68.107791870942663</v>
      </c>
      <c r="P286" s="310">
        <f t="shared" ca="1" si="134"/>
        <v>23</v>
      </c>
      <c r="Q286" s="304">
        <f t="shared" ca="1" si="135"/>
        <v>0</v>
      </c>
      <c r="R286" s="306">
        <f t="shared" ca="1" si="136"/>
        <v>0</v>
      </c>
      <c r="S286" s="307">
        <f t="shared" ca="1" si="137"/>
        <v>7.150000000000003</v>
      </c>
      <c r="T286" s="304">
        <f t="shared" ca="1" si="117"/>
        <v>70.141500000000036</v>
      </c>
      <c r="U286" s="311">
        <f t="shared" ca="1" si="118"/>
        <v>0</v>
      </c>
      <c r="V286" s="306">
        <f t="shared" ca="1" si="119"/>
        <v>1.0701319709737669</v>
      </c>
      <c r="W286" s="304">
        <f t="shared" ca="1" si="120"/>
        <v>15.371344234487546</v>
      </c>
      <c r="Y286" s="314" t="str">
        <f t="shared" ca="1" si="138"/>
        <v/>
      </c>
      <c r="Z286" s="315" t="str">
        <f t="shared" ca="1" si="139"/>
        <v/>
      </c>
      <c r="AA286" s="316" t="str">
        <f t="shared" ca="1" si="140"/>
        <v/>
      </c>
      <c r="AC286" s="310" t="e">
        <f t="shared" ca="1" si="141"/>
        <v>#N/A</v>
      </c>
      <c r="AD286" s="323" t="e">
        <f t="shared" ca="1" si="142"/>
        <v>#N/A</v>
      </c>
      <c r="AE286" s="324">
        <f t="shared" ca="1" si="121"/>
        <v>1349.5348501509188</v>
      </c>
      <c r="AG286" s="306">
        <f t="shared" ca="1" si="143"/>
        <v>-11.337825723493804</v>
      </c>
      <c r="AH286" s="304">
        <f t="shared" ca="1" si="144"/>
        <v>-2.2175465655123907</v>
      </c>
    </row>
    <row r="287" spans="1:34" x14ac:dyDescent="0.2">
      <c r="A287" s="347">
        <f t="shared" ca="1" si="122"/>
        <v>0.1</v>
      </c>
      <c r="B287" s="304">
        <f t="shared" ca="1" si="123"/>
        <v>10.299999999999981</v>
      </c>
      <c r="D287" s="306">
        <f t="shared" ca="1" si="124"/>
        <v>-0.80159216675566181</v>
      </c>
      <c r="E287" s="307">
        <f t="shared" ca="1" si="125"/>
        <v>-11.804806995316214</v>
      </c>
      <c r="F287" s="304">
        <f t="shared" ca="1" si="126"/>
        <v>11.831991303177613</v>
      </c>
      <c r="G287" s="306">
        <f t="shared" ca="1" si="127"/>
        <v>27.580988485618899</v>
      </c>
      <c r="H287" s="307">
        <f t="shared" ca="1" si="128"/>
        <v>67.655834353720806</v>
      </c>
      <c r="I287" s="304">
        <f t="shared" ca="1" si="129"/>
        <v>73.061774191036108</v>
      </c>
      <c r="J287" s="306">
        <f t="shared" ca="1" si="130"/>
        <v>332.66157111258087</v>
      </c>
      <c r="K287" s="307">
        <f t="shared" ca="1" si="131"/>
        <v>1356.3594576212674</v>
      </c>
      <c r="L287" s="304">
        <f t="shared" ca="1" si="116"/>
        <v>1396.5581617583098</v>
      </c>
      <c r="M287" s="306">
        <f t="shared" ca="1" si="132"/>
        <v>1.1836987830614485</v>
      </c>
      <c r="N287" s="304">
        <f t="shared" ca="1" si="133"/>
        <v>67.820944484192623</v>
      </c>
      <c r="P287" s="310">
        <f t="shared" ca="1" si="134"/>
        <v>23</v>
      </c>
      <c r="Q287" s="304">
        <f t="shared" ca="1" si="135"/>
        <v>0</v>
      </c>
      <c r="R287" s="306">
        <f t="shared" ca="1" si="136"/>
        <v>0</v>
      </c>
      <c r="S287" s="307">
        <f t="shared" ca="1" si="137"/>
        <v>7.150000000000003</v>
      </c>
      <c r="T287" s="304">
        <f t="shared" ca="1" si="117"/>
        <v>70.141500000000036</v>
      </c>
      <c r="U287" s="311">
        <f t="shared" ca="1" si="118"/>
        <v>0</v>
      </c>
      <c r="V287" s="306">
        <f t="shared" ca="1" si="119"/>
        <v>1.0693985419066252</v>
      </c>
      <c r="W287" s="304">
        <f t="shared" ca="1" si="120"/>
        <v>14.898736858983117</v>
      </c>
      <c r="Y287" s="314" t="str">
        <f t="shared" ca="1" si="138"/>
        <v/>
      </c>
      <c r="Z287" s="315" t="str">
        <f t="shared" ca="1" si="139"/>
        <v/>
      </c>
      <c r="AA287" s="316" t="str">
        <f t="shared" ca="1" si="140"/>
        <v/>
      </c>
      <c r="AC287" s="310" t="e">
        <f t="shared" ca="1" si="141"/>
        <v>#N/A</v>
      </c>
      <c r="AD287" s="323" t="e">
        <f t="shared" ca="1" si="142"/>
        <v>#N/A</v>
      </c>
      <c r="AE287" s="324">
        <f t="shared" ca="1" si="121"/>
        <v>1356.3594576212674</v>
      </c>
      <c r="AG287" s="306">
        <f t="shared" ca="1" si="143"/>
        <v>-11.252409523756878</v>
      </c>
      <c r="AH287" s="304">
        <f t="shared" ca="1" si="144"/>
        <v>-2.1498383544737818</v>
      </c>
    </row>
    <row r="288" spans="1:34" x14ac:dyDescent="0.2">
      <c r="A288" s="347">
        <f t="shared" ca="1" si="122"/>
        <v>0.1</v>
      </c>
      <c r="B288" s="304">
        <f t="shared" ca="1" si="123"/>
        <v>10.399999999999981</v>
      </c>
      <c r="D288" s="306">
        <f t="shared" ca="1" si="124"/>
        <v>-0.78661644354348415</v>
      </c>
      <c r="E288" s="307">
        <f t="shared" ca="1" si="125"/>
        <v>-11.739560712881634</v>
      </c>
      <c r="F288" s="304">
        <f t="shared" ca="1" si="126"/>
        <v>11.765885056411477</v>
      </c>
      <c r="G288" s="306">
        <f t="shared" ca="1" si="127"/>
        <v>27.502326841264551</v>
      </c>
      <c r="H288" s="307">
        <f t="shared" ca="1" si="128"/>
        <v>66.481878282432646</v>
      </c>
      <c r="I288" s="304">
        <f t="shared" ca="1" si="129"/>
        <v>71.94593888221857</v>
      </c>
      <c r="J288" s="306">
        <f t="shared" ca="1" si="130"/>
        <v>335.41573687892503</v>
      </c>
      <c r="K288" s="307">
        <f t="shared" ca="1" si="131"/>
        <v>1363.066343253075</v>
      </c>
      <c r="L288" s="304">
        <f t="shared" ca="1" si="116"/>
        <v>1403.7284540306725</v>
      </c>
      <c r="M288" s="306">
        <f t="shared" ca="1" si="132"/>
        <v>1.1785514264961297</v>
      </c>
      <c r="N288" s="304">
        <f t="shared" ca="1" si="133"/>
        <v>67.526022677350895</v>
      </c>
      <c r="P288" s="310">
        <f t="shared" ca="1" si="134"/>
        <v>23</v>
      </c>
      <c r="Q288" s="304">
        <f t="shared" ca="1" si="135"/>
        <v>0</v>
      </c>
      <c r="R288" s="306">
        <f t="shared" ca="1" si="136"/>
        <v>0</v>
      </c>
      <c r="S288" s="307">
        <f t="shared" ca="1" si="137"/>
        <v>7.150000000000003</v>
      </c>
      <c r="T288" s="304">
        <f t="shared" ca="1" si="117"/>
        <v>70.141500000000036</v>
      </c>
      <c r="U288" s="311">
        <f t="shared" ca="1" si="118"/>
        <v>0</v>
      </c>
      <c r="V288" s="306">
        <f t="shared" ca="1" si="119"/>
        <v>1.0686782207520167</v>
      </c>
      <c r="W288" s="304">
        <f t="shared" ca="1" si="120"/>
        <v>14.437399077208116</v>
      </c>
      <c r="Y288" s="314" t="str">
        <f t="shared" ca="1" si="138"/>
        <v/>
      </c>
      <c r="Z288" s="315" t="str">
        <f t="shared" ca="1" si="139"/>
        <v/>
      </c>
      <c r="AA288" s="316" t="str">
        <f t="shared" ca="1" si="140"/>
        <v/>
      </c>
      <c r="AC288" s="310" t="e">
        <f t="shared" ca="1" si="141"/>
        <v>#N/A</v>
      </c>
      <c r="AD288" s="323" t="e">
        <f t="shared" ca="1" si="142"/>
        <v>#N/A</v>
      </c>
      <c r="AE288" s="324">
        <f t="shared" ca="1" si="121"/>
        <v>1363.066343253075</v>
      </c>
      <c r="AG288" s="306">
        <f t="shared" ca="1" si="143"/>
        <v>-11.167884205968917</v>
      </c>
      <c r="AH288" s="304">
        <f t="shared" ca="1" si="144"/>
        <v>-2.0837394208367988</v>
      </c>
    </row>
    <row r="289" spans="1:34" x14ac:dyDescent="0.2">
      <c r="A289" s="347">
        <f t="shared" ca="1" si="122"/>
        <v>0.1</v>
      </c>
      <c r="B289" s="304">
        <f t="shared" ca="1" si="123"/>
        <v>10.49999999999998</v>
      </c>
      <c r="D289" s="306">
        <f t="shared" ca="1" si="124"/>
        <v>-0.77187339895316776</v>
      </c>
      <c r="E289" s="307">
        <f t="shared" ca="1" si="125"/>
        <v>-11.675863701454455</v>
      </c>
      <c r="F289" s="304">
        <f t="shared" ca="1" si="126"/>
        <v>11.701349568274305</v>
      </c>
      <c r="G289" s="306">
        <f t="shared" ca="1" si="127"/>
        <v>27.425139501369234</v>
      </c>
      <c r="H289" s="307">
        <f t="shared" ca="1" si="128"/>
        <v>65.314291912287203</v>
      </c>
      <c r="I289" s="304">
        <f t="shared" ca="1" si="129"/>
        <v>70.838513569053859</v>
      </c>
      <c r="J289" s="306">
        <f t="shared" ca="1" si="130"/>
        <v>338.16211019605674</v>
      </c>
      <c r="K289" s="307">
        <f t="shared" ca="1" si="131"/>
        <v>1369.6561517628111</v>
      </c>
      <c r="L289" s="304">
        <f t="shared" ca="1" si="116"/>
        <v>1410.7840326690555</v>
      </c>
      <c r="M289" s="306">
        <f t="shared" ca="1" si="132"/>
        <v>1.1732576603691058</v>
      </c>
      <c r="N289" s="304">
        <f t="shared" ca="1" si="133"/>
        <v>67.222712220543116</v>
      </c>
      <c r="P289" s="310">
        <f t="shared" ca="1" si="134"/>
        <v>23</v>
      </c>
      <c r="Q289" s="304">
        <f t="shared" ca="1" si="135"/>
        <v>0</v>
      </c>
      <c r="R289" s="306">
        <f t="shared" ca="1" si="136"/>
        <v>0</v>
      </c>
      <c r="S289" s="307">
        <f t="shared" ca="1" si="137"/>
        <v>7.150000000000003</v>
      </c>
      <c r="T289" s="304">
        <f t="shared" ca="1" si="117"/>
        <v>70.141500000000036</v>
      </c>
      <c r="U289" s="311">
        <f t="shared" ca="1" si="118"/>
        <v>0</v>
      </c>
      <c r="V289" s="306">
        <f t="shared" ca="1" si="119"/>
        <v>1.0679709140854814</v>
      </c>
      <c r="W289" s="304">
        <f t="shared" ca="1" si="120"/>
        <v>13.987101873597448</v>
      </c>
      <c r="Y289" s="314" t="str">
        <f t="shared" ca="1" si="138"/>
        <v/>
      </c>
      <c r="Z289" s="315" t="str">
        <f t="shared" ca="1" si="139"/>
        <v/>
      </c>
      <c r="AA289" s="316" t="str">
        <f t="shared" ca="1" si="140"/>
        <v/>
      </c>
      <c r="AC289" s="310" t="e">
        <f t="shared" ca="1" si="141"/>
        <v>#N/A</v>
      </c>
      <c r="AD289" s="323" t="e">
        <f t="shared" ca="1" si="142"/>
        <v>#N/A</v>
      </c>
      <c r="AE289" s="324">
        <f t="shared" ca="1" si="121"/>
        <v>1369.6561517628111</v>
      </c>
      <c r="AG289" s="306">
        <f t="shared" ca="1" si="143"/>
        <v>-11.084178986752356</v>
      </c>
      <c r="AH289" s="304">
        <f t="shared" ca="1" si="144"/>
        <v>-2.0192166541549805</v>
      </c>
    </row>
    <row r="290" spans="1:34" x14ac:dyDescent="0.2">
      <c r="A290" s="347">
        <f t="shared" ca="1" si="122"/>
        <v>0.1</v>
      </c>
      <c r="B290" s="304">
        <f t="shared" ca="1" si="123"/>
        <v>10.59999999999998</v>
      </c>
      <c r="D290" s="306">
        <f t="shared" ca="1" si="124"/>
        <v>-0.75735779889630195</v>
      </c>
      <c r="E290" s="307">
        <f t="shared" ca="1" si="125"/>
        <v>-11.613684110948304</v>
      </c>
      <c r="F290" s="304">
        <f t="shared" ca="1" si="126"/>
        <v>11.63835252363676</v>
      </c>
      <c r="G290" s="306">
        <f t="shared" ca="1" si="127"/>
        <v>27.349403721479604</v>
      </c>
      <c r="H290" s="307">
        <f t="shared" ca="1" si="128"/>
        <v>64.152923501192376</v>
      </c>
      <c r="I290" s="304">
        <f t="shared" ca="1" si="129"/>
        <v>69.739425561660056</v>
      </c>
      <c r="J290" s="306">
        <f t="shared" ca="1" si="130"/>
        <v>340.90083735719918</v>
      </c>
      <c r="K290" s="307">
        <f t="shared" ca="1" si="131"/>
        <v>1376.129512533485</v>
      </c>
      <c r="L290" s="304">
        <f t="shared" ca="1" si="116"/>
        <v>1417.725578585816</v>
      </c>
      <c r="M290" s="306">
        <f t="shared" ca="1" si="132"/>
        <v>1.1678117286232539</v>
      </c>
      <c r="N290" s="304">
        <f t="shared" ca="1" si="133"/>
        <v>66.910683315989488</v>
      </c>
      <c r="P290" s="310">
        <f t="shared" ca="1" si="134"/>
        <v>23</v>
      </c>
      <c r="Q290" s="304">
        <f t="shared" ca="1" si="135"/>
        <v>0</v>
      </c>
      <c r="R290" s="306">
        <f t="shared" ca="1" si="136"/>
        <v>0</v>
      </c>
      <c r="S290" s="307">
        <f t="shared" ca="1" si="137"/>
        <v>7.150000000000003</v>
      </c>
      <c r="T290" s="304">
        <f t="shared" ca="1" si="117"/>
        <v>70.141500000000036</v>
      </c>
      <c r="U290" s="311">
        <f t="shared" ca="1" si="118"/>
        <v>0</v>
      </c>
      <c r="V290" s="306">
        <f t="shared" ca="1" si="119"/>
        <v>1.0672765307568794</v>
      </c>
      <c r="W290" s="304">
        <f t="shared" ca="1" si="120"/>
        <v>13.547623690927121</v>
      </c>
      <c r="Y290" s="314" t="str">
        <f t="shared" ca="1" si="138"/>
        <v/>
      </c>
      <c r="Z290" s="315" t="str">
        <f t="shared" ca="1" si="139"/>
        <v/>
      </c>
      <c r="AA290" s="316" t="str">
        <f t="shared" ca="1" si="140"/>
        <v/>
      </c>
      <c r="AC290" s="310" t="e">
        <f t="shared" ca="1" si="141"/>
        <v>#N/A</v>
      </c>
      <c r="AD290" s="323" t="e">
        <f t="shared" ca="1" si="142"/>
        <v>#N/A</v>
      </c>
      <c r="AE290" s="324">
        <f t="shared" ca="1" si="121"/>
        <v>1376.129512533485</v>
      </c>
      <c r="AG290" s="306">
        <f t="shared" ca="1" si="143"/>
        <v>-11.001221767973338</v>
      </c>
      <c r="AH290" s="304">
        <f t="shared" ca="1" si="144"/>
        <v>-1.9562380242793624</v>
      </c>
    </row>
    <row r="291" spans="1:34" x14ac:dyDescent="0.2">
      <c r="A291" s="347">
        <f t="shared" ca="1" si="122"/>
        <v>0.1</v>
      </c>
      <c r="B291" s="304">
        <f t="shared" ca="1" si="123"/>
        <v>10.69999999999998</v>
      </c>
      <c r="D291" s="306">
        <f t="shared" ca="1" si="124"/>
        <v>-0.74306461307872296</v>
      </c>
      <c r="E291" s="307">
        <f t="shared" ca="1" si="125"/>
        <v>-11.552991100089091</v>
      </c>
      <c r="F291" s="304">
        <f t="shared" ca="1" si="126"/>
        <v>11.576862631039015</v>
      </c>
      <c r="G291" s="306">
        <f t="shared" ca="1" si="127"/>
        <v>27.27509726017173</v>
      </c>
      <c r="H291" s="307">
        <f t="shared" ca="1" si="128"/>
        <v>62.997624391183464</v>
      </c>
      <c r="I291" s="304">
        <f t="shared" ca="1" si="129"/>
        <v>68.648609668983553</v>
      </c>
      <c r="J291" s="306">
        <f t="shared" ca="1" si="130"/>
        <v>343.63206240628176</v>
      </c>
      <c r="K291" s="307">
        <f t="shared" ca="1" si="131"/>
        <v>1382.4870399281037</v>
      </c>
      <c r="L291" s="304">
        <f t="shared" ca="1" si="116"/>
        <v>1424.5537581582398</v>
      </c>
      <c r="M291" s="306">
        <f t="shared" ca="1" si="132"/>
        <v>1.1622075879137925</v>
      </c>
      <c r="N291" s="304">
        <f t="shared" ca="1" si="133"/>
        <v>66.589589705539893</v>
      </c>
      <c r="P291" s="310">
        <f t="shared" ca="1" si="134"/>
        <v>23</v>
      </c>
      <c r="Q291" s="304">
        <f t="shared" ca="1" si="135"/>
        <v>0</v>
      </c>
      <c r="R291" s="306">
        <f t="shared" ca="1" si="136"/>
        <v>0</v>
      </c>
      <c r="S291" s="307">
        <f t="shared" ca="1" si="137"/>
        <v>7.150000000000003</v>
      </c>
      <c r="T291" s="304">
        <f t="shared" ca="1" si="117"/>
        <v>70.141500000000036</v>
      </c>
      <c r="U291" s="311">
        <f t="shared" ca="1" si="118"/>
        <v>0</v>
      </c>
      <c r="V291" s="306">
        <f t="shared" ca="1" si="119"/>
        <v>1.0665949818419609</v>
      </c>
      <c r="W291" s="304">
        <f t="shared" ca="1" si="120"/>
        <v>13.118750175902276</v>
      </c>
      <c r="Y291" s="314" t="str">
        <f t="shared" ca="1" si="138"/>
        <v/>
      </c>
      <c r="Z291" s="315" t="str">
        <f t="shared" ca="1" si="139"/>
        <v/>
      </c>
      <c r="AA291" s="316" t="str">
        <f t="shared" ca="1" si="140"/>
        <v/>
      </c>
      <c r="AC291" s="310" t="e">
        <f t="shared" ca="1" si="141"/>
        <v>#N/A</v>
      </c>
      <c r="AD291" s="323" t="e">
        <f t="shared" ca="1" si="142"/>
        <v>#N/A</v>
      </c>
      <c r="AE291" s="324">
        <f t="shared" ca="1" si="121"/>
        <v>1382.4870399281037</v>
      </c>
      <c r="AG291" s="306">
        <f t="shared" ca="1" si="143"/>
        <v>-10.918938924653808</v>
      </c>
      <c r="AH291" s="304">
        <f t="shared" ca="1" si="144"/>
        <v>-1.8947725441856107</v>
      </c>
    </row>
    <row r="292" spans="1:34" x14ac:dyDescent="0.2">
      <c r="A292" s="347">
        <f t="shared" ca="1" si="122"/>
        <v>0.1</v>
      </c>
      <c r="B292" s="304">
        <f t="shared" ca="1" si="123"/>
        <v>10.799999999999979</v>
      </c>
      <c r="D292" s="306">
        <f t="shared" ca="1" si="124"/>
        <v>-0.72898901137780403</v>
      </c>
      <c r="E292" s="307">
        <f t="shared" ca="1" si="125"/>
        <v>-11.493754799699289</v>
      </c>
      <c r="F292" s="304">
        <f t="shared" ca="1" si="126"/>
        <v>11.516849585469112</v>
      </c>
      <c r="G292" s="306">
        <f t="shared" ca="1" si="127"/>
        <v>27.20219835903395</v>
      </c>
      <c r="H292" s="307">
        <f t="shared" ca="1" si="128"/>
        <v>61.848248911213538</v>
      </c>
      <c r="I292" s="304">
        <f t="shared" ca="1" si="129"/>
        <v>67.566008384006636</v>
      </c>
      <c r="J292" s="306">
        <f t="shared" ca="1" si="130"/>
        <v>346.35592718724206</v>
      </c>
      <c r="K292" s="307">
        <f t="shared" ca="1" si="131"/>
        <v>1388.7293335932236</v>
      </c>
      <c r="L292" s="304">
        <f t="shared" ca="1" si="116"/>
        <v>1431.2692235495085</v>
      </c>
      <c r="M292" s="306">
        <f t="shared" ca="1" si="132"/>
        <v>1.1564388910861261</v>
      </c>
      <c r="N292" s="304">
        <f t="shared" ca="1" si="133"/>
        <v>66.259067724024106</v>
      </c>
      <c r="P292" s="310">
        <f t="shared" ca="1" si="134"/>
        <v>23</v>
      </c>
      <c r="Q292" s="304">
        <f t="shared" ca="1" si="135"/>
        <v>0</v>
      </c>
      <c r="R292" s="306">
        <f t="shared" ca="1" si="136"/>
        <v>0</v>
      </c>
      <c r="S292" s="307">
        <f t="shared" ca="1" si="137"/>
        <v>7.150000000000003</v>
      </c>
      <c r="T292" s="304">
        <f t="shared" ca="1" si="117"/>
        <v>70.141500000000036</v>
      </c>
      <c r="U292" s="311">
        <f t="shared" ca="1" si="118"/>
        <v>0</v>
      </c>
      <c r="V292" s="306">
        <f t="shared" ca="1" si="119"/>
        <v>1.0659261805955162</v>
      </c>
      <c r="W292" s="304">
        <f t="shared" ca="1" si="120"/>
        <v>12.700273935579306</v>
      </c>
      <c r="Y292" s="314" t="str">
        <f t="shared" ca="1" si="138"/>
        <v/>
      </c>
      <c r="Z292" s="315" t="str">
        <f t="shared" ca="1" si="139"/>
        <v/>
      </c>
      <c r="AA292" s="316" t="str">
        <f t="shared" ca="1" si="140"/>
        <v/>
      </c>
      <c r="AC292" s="310" t="e">
        <f t="shared" ca="1" si="141"/>
        <v>#N/A</v>
      </c>
      <c r="AD292" s="323" t="e">
        <f t="shared" ca="1" si="142"/>
        <v>#N/A</v>
      </c>
      <c r="AE292" s="324">
        <f t="shared" ca="1" si="121"/>
        <v>1388.7293335932236</v>
      </c>
      <c r="AG292" s="306">
        <f t="shared" ca="1" si="143"/>
        <v>-10.837255080475099</v>
      </c>
      <c r="AH292" s="304">
        <f t="shared" ca="1" si="144"/>
        <v>-1.834790234391926</v>
      </c>
    </row>
    <row r="293" spans="1:34" x14ac:dyDescent="0.2">
      <c r="A293" s="347">
        <f t="shared" ca="1" si="122"/>
        <v>0.1</v>
      </c>
      <c r="B293" s="304">
        <f t="shared" ca="1" si="123"/>
        <v>10.899999999999979</v>
      </c>
      <c r="D293" s="306">
        <f t="shared" ca="1" si="124"/>
        <v>-0.71512636065556223</v>
      </c>
      <c r="E293" s="307">
        <f t="shared" ca="1" si="125"/>
        <v>-11.435946277320149</v>
      </c>
      <c r="F293" s="304">
        <f t="shared" ca="1" si="126"/>
        <v>11.458284032500549</v>
      </c>
      <c r="G293" s="306">
        <f t="shared" ca="1" si="127"/>
        <v>27.130685722968394</v>
      </c>
      <c r="H293" s="307">
        <f t="shared" ca="1" si="128"/>
        <v>60.704654283481524</v>
      </c>
      <c r="I293" s="304">
        <f t="shared" ca="1" si="129"/>
        <v>66.4915720935781</v>
      </c>
      <c r="J293" s="306">
        <f t="shared" ca="1" si="130"/>
        <v>349.07257139134219</v>
      </c>
      <c r="K293" s="307">
        <f t="shared" ca="1" si="131"/>
        <v>1394.8569787529584</v>
      </c>
      <c r="L293" s="304">
        <f t="shared" ca="1" si="116"/>
        <v>1437.8726130202199</v>
      </c>
      <c r="M293" s="306">
        <f t="shared" ca="1" si="132"/>
        <v>1.1504989696570924</v>
      </c>
      <c r="N293" s="304">
        <f t="shared" ca="1" si="133"/>
        <v>65.918735295501151</v>
      </c>
      <c r="P293" s="310">
        <f t="shared" ca="1" si="134"/>
        <v>23</v>
      </c>
      <c r="Q293" s="304">
        <f t="shared" ca="1" si="135"/>
        <v>0</v>
      </c>
      <c r="R293" s="306">
        <f t="shared" ca="1" si="136"/>
        <v>0</v>
      </c>
      <c r="S293" s="307">
        <f t="shared" ca="1" si="137"/>
        <v>7.150000000000003</v>
      </c>
      <c r="T293" s="304">
        <f t="shared" ca="1" si="117"/>
        <v>70.141500000000036</v>
      </c>
      <c r="U293" s="311">
        <f t="shared" ca="1" si="118"/>
        <v>0</v>
      </c>
      <c r="V293" s="306">
        <f t="shared" ca="1" si="119"/>
        <v>1.0652700424060539</v>
      </c>
      <c r="W293" s="304">
        <f t="shared" ca="1" si="120"/>
        <v>12.291994304110341</v>
      </c>
      <c r="Y293" s="314" t="str">
        <f t="shared" ca="1" si="138"/>
        <v/>
      </c>
      <c r="Z293" s="315" t="str">
        <f t="shared" ca="1" si="139"/>
        <v/>
      </c>
      <c r="AA293" s="316" t="str">
        <f t="shared" ca="1" si="140"/>
        <v/>
      </c>
      <c r="AC293" s="310" t="e">
        <f t="shared" ca="1" si="141"/>
        <v>#N/A</v>
      </c>
      <c r="AD293" s="323" t="e">
        <f t="shared" ca="1" si="142"/>
        <v>#N/A</v>
      </c>
      <c r="AE293" s="324">
        <f t="shared" ca="1" si="121"/>
        <v>1394.8569787529584</v>
      </c>
      <c r="AG293" s="306">
        <f t="shared" ca="1" si="143"/>
        <v>-10.756092869640574</v>
      </c>
      <c r="AH293" s="304">
        <f t="shared" ca="1" si="144"/>
        <v>-1.7762620888922098</v>
      </c>
    </row>
    <row r="294" spans="1:34" x14ac:dyDescent="0.2">
      <c r="A294" s="347">
        <f t="shared" ca="1" si="122"/>
        <v>0.1</v>
      </c>
      <c r="B294" s="304">
        <f t="shared" ca="1" si="123"/>
        <v>10.999999999999979</v>
      </c>
      <c r="D294" s="306">
        <f t="shared" ca="1" si="124"/>
        <v>-0.70147222201037795</v>
      </c>
      <c r="E294" s="307">
        <f t="shared" ca="1" si="125"/>
        <v>-11.379537503084777</v>
      </c>
      <c r="F294" s="304">
        <f t="shared" ca="1" si="126"/>
        <v>11.401137533700972</v>
      </c>
      <c r="G294" s="306">
        <f t="shared" ca="1" si="127"/>
        <v>27.060538500767358</v>
      </c>
      <c r="H294" s="307">
        <f t="shared" ca="1" si="128"/>
        <v>59.566700533173048</v>
      </c>
      <c r="I294" s="304">
        <f t="shared" ca="1" si="129"/>
        <v>65.425259314428629</v>
      </c>
      <c r="J294" s="306">
        <f t="shared" ca="1" si="130"/>
        <v>351.78213260252897</v>
      </c>
      <c r="K294" s="307">
        <f t="shared" ca="1" si="131"/>
        <v>1400.8705464937912</v>
      </c>
      <c r="L294" s="304">
        <f t="shared" ca="1" si="116"/>
        <v>1444.364551230816</v>
      </c>
      <c r="M294" s="306">
        <f t="shared" ca="1" si="132"/>
        <v>1.1443808152481982</v>
      </c>
      <c r="N294" s="304">
        <f t="shared" ca="1" si="133"/>
        <v>65.568190869462157</v>
      </c>
      <c r="P294" s="310">
        <f t="shared" ca="1" si="134"/>
        <v>23</v>
      </c>
      <c r="Q294" s="304">
        <f t="shared" ca="1" si="135"/>
        <v>0</v>
      </c>
      <c r="R294" s="306">
        <f t="shared" ca="1" si="136"/>
        <v>0</v>
      </c>
      <c r="S294" s="307">
        <f t="shared" ca="1" si="137"/>
        <v>7.150000000000003</v>
      </c>
      <c r="T294" s="304">
        <f t="shared" ca="1" si="117"/>
        <v>70.141500000000036</v>
      </c>
      <c r="U294" s="311">
        <f t="shared" ca="1" si="118"/>
        <v>0</v>
      </c>
      <c r="V294" s="306">
        <f t="shared" ca="1" si="119"/>
        <v>1.0646264847519442</v>
      </c>
      <c r="W294" s="304">
        <f t="shared" ca="1" si="120"/>
        <v>11.893717119325437</v>
      </c>
      <c r="Y294" s="314" t="str">
        <f t="shared" ca="1" si="138"/>
        <v/>
      </c>
      <c r="Z294" s="315" t="str">
        <f t="shared" ca="1" si="139"/>
        <v/>
      </c>
      <c r="AA294" s="316" t="str">
        <f t="shared" ca="1" si="140"/>
        <v/>
      </c>
      <c r="AC294" s="310">
        <f t="shared" ca="1" si="141"/>
        <v>10.999999999999979</v>
      </c>
      <c r="AD294" s="323">
        <f t="shared" ca="1" si="142"/>
        <v>351.78213260252897</v>
      </c>
      <c r="AE294" s="324">
        <f t="shared" ca="1" si="121"/>
        <v>1400.8705464937912</v>
      </c>
      <c r="AG294" s="306">
        <f t="shared" ca="1" si="143"/>
        <v>-10.675372683780868</v>
      </c>
      <c r="AH294" s="304">
        <f t="shared" ca="1" si="144"/>
        <v>-1.7191600425329141</v>
      </c>
    </row>
    <row r="295" spans="1:34" x14ac:dyDescent="0.2">
      <c r="A295" s="347">
        <f t="shared" ca="1" si="122"/>
        <v>0.1</v>
      </c>
      <c r="B295" s="304">
        <f t="shared" ca="1" si="123"/>
        <v>11.099999999999978</v>
      </c>
      <c r="D295" s="306">
        <f t="shared" ca="1" si="124"/>
        <v>-0.68802234847197186</v>
      </c>
      <c r="E295" s="307">
        <f t="shared" ca="1" si="125"/>
        <v>-11.324501316756805</v>
      </c>
      <c r="F295" s="304">
        <f t="shared" ca="1" si="126"/>
        <v>11.345382533225731</v>
      </c>
      <c r="G295" s="306">
        <f t="shared" ca="1" si="127"/>
        <v>26.99173626592016</v>
      </c>
      <c r="H295" s="307">
        <f t="shared" ca="1" si="128"/>
        <v>58.434250401497366</v>
      </c>
      <c r="I295" s="304">
        <f t="shared" ca="1" si="129"/>
        <v>64.367036957078312</v>
      </c>
      <c r="J295" s="306">
        <f t="shared" ca="1" si="130"/>
        <v>354.48474634086335</v>
      </c>
      <c r="K295" s="307">
        <f t="shared" ca="1" si="131"/>
        <v>1406.7705940405247</v>
      </c>
      <c r="L295" s="304">
        <f t="shared" ca="1" si="116"/>
        <v>1450.7456495352578</v>
      </c>
      <c r="M295" s="306">
        <f t="shared" ca="1" si="132"/>
        <v>1.1380770599194825</v>
      </c>
      <c r="N295" s="304">
        <f t="shared" ca="1" si="133"/>
        <v>65.207012294043651</v>
      </c>
      <c r="P295" s="310">
        <f t="shared" ca="1" si="134"/>
        <v>23</v>
      </c>
      <c r="Q295" s="304">
        <f t="shared" ca="1" si="135"/>
        <v>0</v>
      </c>
      <c r="R295" s="306">
        <f t="shared" ca="1" si="136"/>
        <v>0</v>
      </c>
      <c r="S295" s="307">
        <f t="shared" ca="1" si="137"/>
        <v>7.150000000000003</v>
      </c>
      <c r="T295" s="304">
        <f t="shared" ca="1" si="117"/>
        <v>70.141500000000036</v>
      </c>
      <c r="U295" s="311">
        <f t="shared" ca="1" si="118"/>
        <v>0</v>
      </c>
      <c r="V295" s="306">
        <f t="shared" ca="1" si="119"/>
        <v>1.0639954271589762</v>
      </c>
      <c r="W295" s="304">
        <f t="shared" ca="1" si="120"/>
        <v>11.505254508693181</v>
      </c>
      <c r="Y295" s="314" t="str">
        <f t="shared" ca="1" si="138"/>
        <v/>
      </c>
      <c r="Z295" s="315" t="str">
        <f t="shared" ca="1" si="139"/>
        <v/>
      </c>
      <c r="AA295" s="316" t="str">
        <f t="shared" ca="1" si="140"/>
        <v/>
      </c>
      <c r="AC295" s="310" t="e">
        <f t="shared" ca="1" si="141"/>
        <v>#N/A</v>
      </c>
      <c r="AD295" s="323" t="e">
        <f t="shared" ca="1" si="142"/>
        <v>#N/A</v>
      </c>
      <c r="AE295" s="324">
        <f t="shared" ca="1" si="121"/>
        <v>1406.7705940405247</v>
      </c>
      <c r="AG295" s="306">
        <f t="shared" ca="1" si="143"/>
        <v>-10.595012402497565</v>
      </c>
      <c r="AH295" s="304">
        <f t="shared" ca="1" si="144"/>
        <v>-1.6634569397657948</v>
      </c>
    </row>
    <row r="296" spans="1:34" x14ac:dyDescent="0.2">
      <c r="A296" s="347">
        <f t="shared" ca="1" si="122"/>
        <v>0.1</v>
      </c>
      <c r="B296" s="304">
        <f t="shared" ca="1" si="123"/>
        <v>11.199999999999978</v>
      </c>
      <c r="D296" s="306">
        <f t="shared" ca="1" si="124"/>
        <v>-0.67477268314618233</v>
      </c>
      <c r="E296" s="307">
        <f t="shared" ca="1" si="125"/>
        <v>-11.270811395850755</v>
      </c>
      <c r="F296" s="304">
        <f t="shared" ca="1" si="126"/>
        <v>11.290992325511498</v>
      </c>
      <c r="G296" s="306">
        <f t="shared" ca="1" si="127"/>
        <v>26.924258997605541</v>
      </c>
      <c r="H296" s="307">
        <f t="shared" ca="1" si="128"/>
        <v>57.307169261912293</v>
      </c>
      <c r="I296" s="304">
        <f t="shared" ca="1" si="129"/>
        <v>63.316880619496793</v>
      </c>
      <c r="J296" s="306">
        <f t="shared" ca="1" si="130"/>
        <v>357.18054610403965</v>
      </c>
      <c r="K296" s="307">
        <f t="shared" ca="1" si="131"/>
        <v>1412.5576650236951</v>
      </c>
      <c r="L296" s="304">
        <f t="shared" ca="1" si="116"/>
        <v>1457.016506266272</v>
      </c>
      <c r="M296" s="306">
        <f t="shared" ca="1" si="132"/>
        <v>1.1315799553534984</v>
      </c>
      <c r="N296" s="304">
        <f t="shared" ca="1" si="133"/>
        <v>64.83475562335758</v>
      </c>
      <c r="P296" s="310">
        <f t="shared" ca="1" si="134"/>
        <v>23</v>
      </c>
      <c r="Q296" s="304">
        <f t="shared" ca="1" si="135"/>
        <v>0</v>
      </c>
      <c r="R296" s="306">
        <f t="shared" ca="1" si="136"/>
        <v>0</v>
      </c>
      <c r="S296" s="307">
        <f t="shared" ca="1" si="137"/>
        <v>7.150000000000003</v>
      </c>
      <c r="T296" s="304">
        <f t="shared" ca="1" si="117"/>
        <v>70.141500000000036</v>
      </c>
      <c r="U296" s="311">
        <f t="shared" ca="1" si="118"/>
        <v>0</v>
      </c>
      <c r="V296" s="306">
        <f t="shared" ca="1" si="119"/>
        <v>1.0633767911592817</v>
      </c>
      <c r="W296" s="304">
        <f t="shared" ca="1" si="120"/>
        <v>11.126424684223831</v>
      </c>
      <c r="Y296" s="314" t="str">
        <f t="shared" ca="1" si="138"/>
        <v/>
      </c>
      <c r="Z296" s="315" t="str">
        <f t="shared" ca="1" si="139"/>
        <v/>
      </c>
      <c r="AA296" s="316" t="str">
        <f t="shared" ca="1" si="140"/>
        <v/>
      </c>
      <c r="AC296" s="310" t="e">
        <f t="shared" ca="1" si="141"/>
        <v>#N/A</v>
      </c>
      <c r="AD296" s="323" t="e">
        <f t="shared" ca="1" si="142"/>
        <v>#N/A</v>
      </c>
      <c r="AE296" s="324">
        <f t="shared" ca="1" si="121"/>
        <v>1412.5576650236951</v>
      </c>
      <c r="AG296" s="306">
        <f t="shared" ca="1" si="143"/>
        <v>-10.514927106050269</v>
      </c>
      <c r="AH296" s="304">
        <f t="shared" ca="1" si="144"/>
        <v>-1.6091265047123322</v>
      </c>
    </row>
    <row r="297" spans="1:34" x14ac:dyDescent="0.2">
      <c r="A297" s="347">
        <f t="shared" ca="1" si="122"/>
        <v>0.1</v>
      </c>
      <c r="B297" s="304">
        <f t="shared" ca="1" si="123"/>
        <v>11.299999999999978</v>
      </c>
      <c r="D297" s="306">
        <f t="shared" ca="1" si="124"/>
        <v>-0.66171935781800251</v>
      </c>
      <c r="E297" s="307">
        <f t="shared" ca="1" si="125"/>
        <v>-11.218442224751019</v>
      </c>
      <c r="F297" s="304">
        <f t="shared" ca="1" si="126"/>
        <v>11.237941023986007</v>
      </c>
      <c r="G297" s="306">
        <f t="shared" ca="1" si="127"/>
        <v>26.858087061823742</v>
      </c>
      <c r="H297" s="307">
        <f t="shared" ca="1" si="128"/>
        <v>56.185325039437188</v>
      </c>
      <c r="I297" s="304">
        <f t="shared" ca="1" si="129"/>
        <v>62.274774912541524</v>
      </c>
      <c r="J297" s="306">
        <f t="shared" ca="1" si="130"/>
        <v>359.8696634070111</v>
      </c>
      <c r="K297" s="307">
        <f t="shared" ca="1" si="131"/>
        <v>1418.2322897387626</v>
      </c>
      <c r="L297" s="304">
        <f t="shared" ca="1" si="116"/>
        <v>1463.1777070124904</v>
      </c>
      <c r="M297" s="306">
        <f t="shared" ca="1" si="132"/>
        <v>1.1248813508407207</v>
      </c>
      <c r="N297" s="304">
        <f t="shared" ca="1" si="133"/>
        <v>64.450953856148132</v>
      </c>
      <c r="P297" s="310">
        <f t="shared" ca="1" si="134"/>
        <v>23</v>
      </c>
      <c r="Q297" s="304">
        <f t="shared" ca="1" si="135"/>
        <v>0</v>
      </c>
      <c r="R297" s="306">
        <f t="shared" ca="1" si="136"/>
        <v>0</v>
      </c>
      <c r="S297" s="307">
        <f t="shared" ca="1" si="137"/>
        <v>7.150000000000003</v>
      </c>
      <c r="T297" s="304">
        <f t="shared" ca="1" si="117"/>
        <v>70.141500000000036</v>
      </c>
      <c r="U297" s="311">
        <f t="shared" ca="1" si="118"/>
        <v>0</v>
      </c>
      <c r="V297" s="306">
        <f t="shared" ca="1" si="119"/>
        <v>1.0627705002515708</v>
      </c>
      <c r="W297" s="304">
        <f t="shared" ca="1" si="120"/>
        <v>10.757051745901785</v>
      </c>
      <c r="Y297" s="314" t="str">
        <f t="shared" ca="1" si="138"/>
        <v/>
      </c>
      <c r="Z297" s="315" t="str">
        <f t="shared" ca="1" si="139"/>
        <v/>
      </c>
      <c r="AA297" s="316" t="str">
        <f t="shared" ca="1" si="140"/>
        <v/>
      </c>
      <c r="AC297" s="310" t="e">
        <f t="shared" ca="1" si="141"/>
        <v>#N/A</v>
      </c>
      <c r="AD297" s="323" t="e">
        <f t="shared" ca="1" si="142"/>
        <v>#N/A</v>
      </c>
      <c r="AE297" s="324">
        <f t="shared" ca="1" si="121"/>
        <v>1418.2322897387626</v>
      </c>
      <c r="AG297" s="306">
        <f t="shared" ca="1" si="143"/>
        <v>-10.435028768599226</v>
      </c>
      <c r="AH297" s="304">
        <f t="shared" ca="1" si="144"/>
        <v>-1.5561433124788568</v>
      </c>
    </row>
    <row r="298" spans="1:34" x14ac:dyDescent="0.2">
      <c r="A298" s="347">
        <f t="shared" ca="1" si="122"/>
        <v>0.1</v>
      </c>
      <c r="B298" s="304">
        <f t="shared" ca="1" si="123"/>
        <v>11.399999999999977</v>
      </c>
      <c r="D298" s="306">
        <f t="shared" ca="1" si="124"/>
        <v>-0.64885869202335367</v>
      </c>
      <c r="E298" s="307">
        <f t="shared" ca="1" si="125"/>
        <v>-11.167369064746813</v>
      </c>
      <c r="F298" s="304">
        <f t="shared" ca="1" si="126"/>
        <v>11.186203530710424</v>
      </c>
      <c r="G298" s="306">
        <f t="shared" ca="1" si="127"/>
        <v>26.793201192621407</v>
      </c>
      <c r="H298" s="307">
        <f t="shared" ca="1" si="128"/>
        <v>55.06858813296251</v>
      </c>
      <c r="I298" s="304">
        <f t="shared" ca="1" si="129"/>
        <v>61.240713819371408</v>
      </c>
      <c r="J298" s="306">
        <f t="shared" ca="1" si="130"/>
        <v>362.55222781973339</v>
      </c>
      <c r="K298" s="307">
        <f t="shared" ca="1" si="131"/>
        <v>1423.7949853973826</v>
      </c>
      <c r="L298" s="304">
        <f t="shared" ca="1" si="116"/>
        <v>1469.2298248877828</v>
      </c>
      <c r="M298" s="306">
        <f t="shared" ca="1" si="132"/>
        <v>1.1179726700207546</v>
      </c>
      <c r="N298" s="304">
        <f t="shared" ca="1" si="133"/>
        <v>64.055115603161099</v>
      </c>
      <c r="P298" s="310">
        <f t="shared" ca="1" si="134"/>
        <v>23</v>
      </c>
      <c r="Q298" s="304">
        <f t="shared" ca="1" si="135"/>
        <v>0</v>
      </c>
      <c r="R298" s="306">
        <f t="shared" ca="1" si="136"/>
        <v>0</v>
      </c>
      <c r="S298" s="307">
        <f t="shared" ca="1" si="137"/>
        <v>7.150000000000003</v>
      </c>
      <c r="T298" s="304">
        <f t="shared" ca="1" si="117"/>
        <v>70.141500000000036</v>
      </c>
      <c r="U298" s="311">
        <f t="shared" ca="1" si="118"/>
        <v>0</v>
      </c>
      <c r="V298" s="306">
        <f t="shared" ca="1" si="119"/>
        <v>1.0621764798626367</v>
      </c>
      <c r="W298" s="304">
        <f t="shared" ca="1" si="120"/>
        <v>10.396965493254795</v>
      </c>
      <c r="Y298" s="314" t="str">
        <f t="shared" ca="1" si="138"/>
        <v/>
      </c>
      <c r="Z298" s="315" t="str">
        <f t="shared" ca="1" si="139"/>
        <v/>
      </c>
      <c r="AA298" s="316" t="str">
        <f t="shared" ca="1" si="140"/>
        <v/>
      </c>
      <c r="AC298" s="310" t="e">
        <f t="shared" ca="1" si="141"/>
        <v>#N/A</v>
      </c>
      <c r="AD298" s="323" t="e">
        <f t="shared" ca="1" si="142"/>
        <v>#N/A</v>
      </c>
      <c r="AE298" s="324">
        <f t="shared" ca="1" si="121"/>
        <v>1423.7949853973826</v>
      </c>
      <c r="AG298" s="306">
        <f t="shared" ca="1" si="143"/>
        <v>-10.355225930322382</v>
      </c>
      <c r="AH298" s="304">
        <f t="shared" ca="1" si="144"/>
        <v>-1.5044827616645848</v>
      </c>
    </row>
    <row r="299" spans="1:34" x14ac:dyDescent="0.2">
      <c r="A299" s="347">
        <f t="shared" ca="1" si="122"/>
        <v>0.1</v>
      </c>
      <c r="B299" s="304">
        <f t="shared" ca="1" si="123"/>
        <v>11.499999999999977</v>
      </c>
      <c r="D299" s="306">
        <f t="shared" ca="1" si="124"/>
        <v>-0.63618719260210466</v>
      </c>
      <c r="E299" s="307">
        <f t="shared" ca="1" si="125"/>
        <v>-11.117567924900255</v>
      </c>
      <c r="F299" s="304">
        <f t="shared" ca="1" si="126"/>
        <v>11.135755506870735</v>
      </c>
      <c r="G299" s="306">
        <f t="shared" ca="1" si="127"/>
        <v>26.729582473361194</v>
      </c>
      <c r="H299" s="307">
        <f t="shared" ca="1" si="128"/>
        <v>53.956831340472483</v>
      </c>
      <c r="I299" s="304">
        <f t="shared" ca="1" si="129"/>
        <v>60.214701091215353</v>
      </c>
      <c r="J299" s="306">
        <f t="shared" ca="1" si="130"/>
        <v>365.22836700303253</v>
      </c>
      <c r="K299" s="307">
        <f t="shared" ca="1" si="131"/>
        <v>1429.2462563710544</v>
      </c>
      <c r="L299" s="304">
        <f t="shared" ca="1" si="116"/>
        <v>1475.1734207930861</v>
      </c>
      <c r="M299" s="306">
        <f t="shared" ca="1" si="132"/>
        <v>1.1108448863383129</v>
      </c>
      <c r="N299" s="304">
        <f t="shared" ca="1" si="133"/>
        <v>63.64672368087497</v>
      </c>
      <c r="P299" s="310">
        <f t="shared" ca="1" si="134"/>
        <v>23</v>
      </c>
      <c r="Q299" s="304">
        <f t="shared" ca="1" si="135"/>
        <v>0</v>
      </c>
      <c r="R299" s="306">
        <f t="shared" ca="1" si="136"/>
        <v>0</v>
      </c>
      <c r="S299" s="307">
        <f t="shared" ca="1" si="137"/>
        <v>7.150000000000003</v>
      </c>
      <c r="T299" s="304">
        <f t="shared" ca="1" si="117"/>
        <v>70.141500000000036</v>
      </c>
      <c r="U299" s="311">
        <f t="shared" ca="1" si="118"/>
        <v>0</v>
      </c>
      <c r="V299" s="306">
        <f t="shared" ca="1" si="119"/>
        <v>1.0615946573100761</v>
      </c>
      <c r="W299" s="304">
        <f t="shared" ca="1" si="120"/>
        <v>10.046001244687007</v>
      </c>
      <c r="Y299" s="314" t="str">
        <f t="shared" ca="1" si="138"/>
        <v/>
      </c>
      <c r="Z299" s="315" t="str">
        <f t="shared" ca="1" si="139"/>
        <v/>
      </c>
      <c r="AA299" s="316" t="str">
        <f t="shared" ca="1" si="140"/>
        <v/>
      </c>
      <c r="AC299" s="310" t="e">
        <f t="shared" ca="1" si="141"/>
        <v>#N/A</v>
      </c>
      <c r="AD299" s="323" t="e">
        <f t="shared" ca="1" si="142"/>
        <v>#N/A</v>
      </c>
      <c r="AE299" s="324">
        <f t="shared" ca="1" si="121"/>
        <v>1429.2462563710544</v>
      </c>
      <c r="AG299" s="306">
        <f t="shared" ca="1" si="143"/>
        <v>-10.275423346634383</v>
      </c>
      <c r="AH299" s="304">
        <f t="shared" ca="1" si="144"/>
        <v>-1.454121048007663</v>
      </c>
    </row>
    <row r="300" spans="1:34" x14ac:dyDescent="0.2">
      <c r="A300" s="347">
        <f t="shared" ca="1" si="122"/>
        <v>0.1</v>
      </c>
      <c r="B300" s="304">
        <f t="shared" ca="1" si="123"/>
        <v>11.599999999999977</v>
      </c>
      <c r="D300" s="306">
        <f t="shared" ca="1" si="124"/>
        <v>-0.62370155374696445</v>
      </c>
      <c r="E300" s="307">
        <f t="shared" ca="1" si="125"/>
        <v>-11.069015533664032</v>
      </c>
      <c r="F300" s="304">
        <f t="shared" ca="1" si="126"/>
        <v>11.086573344033855</v>
      </c>
      <c r="G300" s="306">
        <f t="shared" ca="1" si="127"/>
        <v>26.667212317986497</v>
      </c>
      <c r="H300" s="307">
        <f t="shared" ca="1" si="128"/>
        <v>52.849929787106078</v>
      </c>
      <c r="I300" s="304">
        <f t="shared" ca="1" si="129"/>
        <v>59.196750682065421</v>
      </c>
      <c r="J300" s="306">
        <f t="shared" ca="1" si="130"/>
        <v>367.89820674259994</v>
      </c>
      <c r="K300" s="307">
        <f t="shared" ca="1" si="131"/>
        <v>1434.5865944274333</v>
      </c>
      <c r="L300" s="304">
        <f t="shared" ca="1" si="116"/>
        <v>1481.0090436710107</v>
      </c>
      <c r="M300" s="306">
        <f t="shared" ca="1" si="132"/>
        <v>1.1034884971794625</v>
      </c>
      <c r="N300" s="304">
        <f t="shared" ca="1" si="133"/>
        <v>63.225233629617051</v>
      </c>
      <c r="P300" s="310">
        <f t="shared" ca="1" si="134"/>
        <v>23</v>
      </c>
      <c r="Q300" s="304">
        <f t="shared" ca="1" si="135"/>
        <v>0</v>
      </c>
      <c r="R300" s="306">
        <f t="shared" ca="1" si="136"/>
        <v>0</v>
      </c>
      <c r="S300" s="307">
        <f t="shared" ca="1" si="137"/>
        <v>7.150000000000003</v>
      </c>
      <c r="T300" s="304">
        <f t="shared" ca="1" si="117"/>
        <v>70.141500000000036</v>
      </c>
      <c r="U300" s="311">
        <f t="shared" ca="1" si="118"/>
        <v>0</v>
      </c>
      <c r="V300" s="306">
        <f t="shared" ca="1" si="119"/>
        <v>1.0610249617661871</v>
      </c>
      <c r="W300" s="304">
        <f t="shared" ca="1" si="120"/>
        <v>9.7039996642214934</v>
      </c>
      <c r="Y300" s="314" t="str">
        <f t="shared" ca="1" si="138"/>
        <v/>
      </c>
      <c r="Z300" s="315" t="str">
        <f t="shared" ca="1" si="139"/>
        <v/>
      </c>
      <c r="AA300" s="316" t="str">
        <f t="shared" ca="1" si="140"/>
        <v/>
      </c>
      <c r="AC300" s="310" t="e">
        <f t="shared" ca="1" si="141"/>
        <v>#N/A</v>
      </c>
      <c r="AD300" s="323" t="e">
        <f t="shared" ca="1" si="142"/>
        <v>#N/A</v>
      </c>
      <c r="AE300" s="324">
        <f t="shared" ca="1" si="121"/>
        <v>1434.5865944274333</v>
      </c>
      <c r="AG300" s="306">
        <f t="shared" ca="1" si="143"/>
        <v>-10.195521612647966</v>
      </c>
      <c r="AH300" s="304">
        <f t="shared" ca="1" si="144"/>
        <v>-1.4050351391170632</v>
      </c>
    </row>
    <row r="301" spans="1:34" x14ac:dyDescent="0.2">
      <c r="A301" s="347">
        <f t="shared" ca="1" si="122"/>
        <v>0.1</v>
      </c>
      <c r="B301" s="304">
        <f t="shared" ca="1" si="123"/>
        <v>11.699999999999976</v>
      </c>
      <c r="D301" s="306">
        <f t="shared" ca="1" si="124"/>
        <v>-0.6113986575650161</v>
      </c>
      <c r="E301" s="307">
        <f t="shared" ca="1" si="125"/>
        <v>-11.021689311163881</v>
      </c>
      <c r="F301" s="304">
        <f t="shared" ca="1" si="126"/>
        <v>11.03863413608298</v>
      </c>
      <c r="G301" s="306">
        <f t="shared" ca="1" si="127"/>
        <v>26.606072452229995</v>
      </c>
      <c r="H301" s="307">
        <f t="shared" ca="1" si="128"/>
        <v>51.747760855989689</v>
      </c>
      <c r="I301" s="304">
        <f t="shared" ca="1" si="129"/>
        <v>58.186887225061376</v>
      </c>
      <c r="J301" s="306">
        <f t="shared" ca="1" si="130"/>
        <v>370.56187098111076</v>
      </c>
      <c r="K301" s="307">
        <f t="shared" ca="1" si="131"/>
        <v>1439.816478959588</v>
      </c>
      <c r="L301" s="304">
        <f t="shared" ca="1" si="116"/>
        <v>1486.7372307535072</v>
      </c>
      <c r="M301" s="306">
        <f t="shared" ca="1" si="132"/>
        <v>1.0958934966625073</v>
      </c>
      <c r="N301" s="304">
        <f t="shared" ca="1" si="133"/>
        <v>62.79007215459584</v>
      </c>
      <c r="P301" s="310">
        <f t="shared" ca="1" si="134"/>
        <v>23</v>
      </c>
      <c r="Q301" s="304">
        <f t="shared" ca="1" si="135"/>
        <v>0</v>
      </c>
      <c r="R301" s="306">
        <f t="shared" ca="1" si="136"/>
        <v>0</v>
      </c>
      <c r="S301" s="307">
        <f t="shared" ca="1" si="137"/>
        <v>7.150000000000003</v>
      </c>
      <c r="T301" s="304">
        <f t="shared" ca="1" si="117"/>
        <v>70.141500000000036</v>
      </c>
      <c r="U301" s="311">
        <f t="shared" ca="1" si="118"/>
        <v>0</v>
      </c>
      <c r="V301" s="306">
        <f t="shared" ca="1" si="119"/>
        <v>1.0604673242230025</v>
      </c>
      <c r="W301" s="304">
        <f t="shared" ca="1" si="120"/>
        <v>9.3708065953150808</v>
      </c>
      <c r="Y301" s="314" t="str">
        <f t="shared" ca="1" si="138"/>
        <v/>
      </c>
      <c r="Z301" s="315" t="str">
        <f t="shared" ca="1" si="139"/>
        <v/>
      </c>
      <c r="AA301" s="316" t="str">
        <f t="shared" ca="1" si="140"/>
        <v/>
      </c>
      <c r="AC301" s="310" t="e">
        <f t="shared" ca="1" si="141"/>
        <v>#N/A</v>
      </c>
      <c r="AD301" s="323" t="e">
        <f t="shared" ca="1" si="142"/>
        <v>#N/A</v>
      </c>
      <c r="AE301" s="324">
        <f t="shared" ca="1" si="121"/>
        <v>1439.816478959588</v>
      </c>
      <c r="AG301" s="306">
        <f t="shared" ca="1" si="143"/>
        <v>-10.115416760939594</v>
      </c>
      <c r="AH301" s="304">
        <f t="shared" ca="1" si="144"/>
        <v>-1.3572027502407678</v>
      </c>
    </row>
    <row r="302" spans="1:34" x14ac:dyDescent="0.2">
      <c r="A302" s="347">
        <f t="shared" ca="1" si="122"/>
        <v>0.1</v>
      </c>
      <c r="B302" s="304">
        <f t="shared" ca="1" si="123"/>
        <v>11.799999999999976</v>
      </c>
      <c r="D302" s="306">
        <f t="shared" ca="1" si="124"/>
        <v>-0.59927557517086771</v>
      </c>
      <c r="E302" s="307">
        <f t="shared" ca="1" si="125"/>
        <v>-10.975567342059108</v>
      </c>
      <c r="F302" s="304">
        <f t="shared" ca="1" si="126"/>
        <v>10.991915651744732</v>
      </c>
      <c r="G302" s="306">
        <f t="shared" ca="1" si="127"/>
        <v>26.54614489471291</v>
      </c>
      <c r="H302" s="307">
        <f t="shared" ca="1" si="128"/>
        <v>50.65020412178378</v>
      </c>
      <c r="I302" s="304">
        <f t="shared" ca="1" si="129"/>
        <v>57.185146553536569</v>
      </c>
      <c r="J302" s="306">
        <f t="shared" ca="1" si="130"/>
        <v>373.21948184845792</v>
      </c>
      <c r="K302" s="307">
        <f t="shared" ca="1" si="131"/>
        <v>1444.9363772084766</v>
      </c>
      <c r="L302" s="304">
        <f t="shared" ca="1" si="116"/>
        <v>1492.3585078028632</v>
      </c>
      <c r="M302" s="306">
        <f t="shared" ca="1" si="132"/>
        <v>1.088049347069646</v>
      </c>
      <c r="N302" s="304">
        <f t="shared" ca="1" si="133"/>
        <v>62.340635489055622</v>
      </c>
      <c r="P302" s="310">
        <f t="shared" ca="1" si="134"/>
        <v>23</v>
      </c>
      <c r="Q302" s="304">
        <f t="shared" ca="1" si="135"/>
        <v>0</v>
      </c>
      <c r="R302" s="306">
        <f t="shared" ca="1" si="136"/>
        <v>0</v>
      </c>
      <c r="S302" s="307">
        <f t="shared" ca="1" si="137"/>
        <v>7.150000000000003</v>
      </c>
      <c r="T302" s="304">
        <f t="shared" ca="1" si="117"/>
        <v>70.141500000000036</v>
      </c>
      <c r="U302" s="311">
        <f t="shared" ca="1" si="118"/>
        <v>0</v>
      </c>
      <c r="V302" s="306">
        <f t="shared" ca="1" si="119"/>
        <v>1.0599216774584068</v>
      </c>
      <c r="W302" s="304">
        <f t="shared" ca="1" si="120"/>
        <v>9.0462729014243841</v>
      </c>
      <c r="Y302" s="314" t="str">
        <f t="shared" ca="1" si="138"/>
        <v/>
      </c>
      <c r="Z302" s="315" t="str">
        <f t="shared" ca="1" si="139"/>
        <v/>
      </c>
      <c r="AA302" s="316" t="str">
        <f t="shared" ca="1" si="140"/>
        <v/>
      </c>
      <c r="AC302" s="310" t="e">
        <f t="shared" ca="1" si="141"/>
        <v>#N/A</v>
      </c>
      <c r="AD302" s="323" t="e">
        <f t="shared" ca="1" si="142"/>
        <v>#N/A</v>
      </c>
      <c r="AE302" s="324">
        <f t="shared" ca="1" si="121"/>
        <v>1444.9363772084766</v>
      </c>
      <c r="AG302" s="306">
        <f t="shared" ca="1" si="143"/>
        <v>-10.034999830615481</v>
      </c>
      <c r="AH302" s="304">
        <f t="shared" ca="1" si="144"/>
        <v>-1.3106023210230877</v>
      </c>
    </row>
    <row r="303" spans="1:34" x14ac:dyDescent="0.2">
      <c r="A303" s="347">
        <f t="shared" ca="1" si="122"/>
        <v>0.1</v>
      </c>
      <c r="B303" s="304">
        <f t="shared" ca="1" si="123"/>
        <v>11.899999999999975</v>
      </c>
      <c r="D303" s="306">
        <f t="shared" ca="1" si="124"/>
        <v>-0.58732956833260508</v>
      </c>
      <c r="E303" s="307">
        <f t="shared" ca="1" si="125"/>
        <v>-10.930628348891839</v>
      </c>
      <c r="F303" s="304">
        <f t="shared" ca="1" si="126"/>
        <v>10.946396307618123</v>
      </c>
      <c r="G303" s="306">
        <f t="shared" ca="1" si="127"/>
        <v>26.487411937879649</v>
      </c>
      <c r="H303" s="307">
        <f t="shared" ca="1" si="128"/>
        <v>49.557141286894598</v>
      </c>
      <c r="I303" s="304">
        <f t="shared" ca="1" si="129"/>
        <v>56.191576269901546</v>
      </c>
      <c r="J303" s="306">
        <f t="shared" ca="1" si="130"/>
        <v>375.87115969008755</v>
      </c>
      <c r="K303" s="307">
        <f t="shared" ca="1" si="131"/>
        <v>1449.9467444789107</v>
      </c>
      <c r="L303" s="304">
        <f t="shared" ca="1" si="116"/>
        <v>1497.8733893462968</v>
      </c>
      <c r="M303" s="306">
        <f t="shared" ca="1" si="132"/>
        <v>1.0799449489208441</v>
      </c>
      <c r="N303" s="304">
        <f t="shared" ca="1" si="133"/>
        <v>61.876287679635638</v>
      </c>
      <c r="P303" s="310">
        <f t="shared" ca="1" si="134"/>
        <v>23</v>
      </c>
      <c r="Q303" s="304">
        <f t="shared" ca="1" si="135"/>
        <v>0</v>
      </c>
      <c r="R303" s="306">
        <f t="shared" ca="1" si="136"/>
        <v>0</v>
      </c>
      <c r="S303" s="307">
        <f t="shared" ca="1" si="137"/>
        <v>7.150000000000003</v>
      </c>
      <c r="T303" s="304">
        <f t="shared" ca="1" si="117"/>
        <v>70.141500000000036</v>
      </c>
      <c r="U303" s="311">
        <f t="shared" ca="1" si="118"/>
        <v>0</v>
      </c>
      <c r="V303" s="306">
        <f t="shared" ca="1" si="119"/>
        <v>1.0593879560033086</v>
      </c>
      <c r="W303" s="304">
        <f t="shared" ca="1" si="120"/>
        <v>8.7302543130172587</v>
      </c>
      <c r="Y303" s="314" t="str">
        <f t="shared" ca="1" si="138"/>
        <v/>
      </c>
      <c r="Z303" s="315" t="str">
        <f t="shared" ca="1" si="139"/>
        <v/>
      </c>
      <c r="AA303" s="316" t="str">
        <f t="shared" ca="1" si="140"/>
        <v/>
      </c>
      <c r="AC303" s="310" t="e">
        <f t="shared" ca="1" si="141"/>
        <v>#N/A</v>
      </c>
      <c r="AD303" s="323" t="e">
        <f t="shared" ca="1" si="142"/>
        <v>#N/A</v>
      </c>
      <c r="AE303" s="324">
        <f t="shared" ca="1" si="121"/>
        <v>1449.9467444789107</v>
      </c>
      <c r="AG303" s="306">
        <f t="shared" ca="1" si="143"/>
        <v>-9.9541564056275202</v>
      </c>
      <c r="AH303" s="304">
        <f t="shared" ca="1" si="144"/>
        <v>-1.2652129932062071</v>
      </c>
    </row>
    <row r="304" spans="1:34" x14ac:dyDescent="0.2">
      <c r="A304" s="347">
        <f t="shared" ca="1" si="122"/>
        <v>0.1</v>
      </c>
      <c r="B304" s="304">
        <f t="shared" ca="1" si="123"/>
        <v>11.999999999999975</v>
      </c>
      <c r="D304" s="306">
        <f t="shared" ca="1" si="124"/>
        <v>-0.57555809169396122</v>
      </c>
      <c r="E304" s="307">
        <f t="shared" ca="1" si="125"/>
        <v>-10.886851665832339</v>
      </c>
      <c r="F304" s="304">
        <f t="shared" ca="1" si="126"/>
        <v>10.902055141612097</v>
      </c>
      <c r="G304" s="306">
        <f t="shared" ca="1" si="127"/>
        <v>26.429856128710252</v>
      </c>
      <c r="H304" s="307">
        <f t="shared" ca="1" si="128"/>
        <v>48.468456120311366</v>
      </c>
      <c r="I304" s="304">
        <f t="shared" ca="1" si="129"/>
        <v>55.20623636574831</v>
      </c>
      <c r="J304" s="306">
        <f t="shared" ca="1" si="130"/>
        <v>378.51702309341704</v>
      </c>
      <c r="K304" s="307">
        <f t="shared" ca="1" si="131"/>
        <v>1454.8480243492709</v>
      </c>
      <c r="L304" s="304">
        <f t="shared" ca="1" si="116"/>
        <v>1503.2823789044023</v>
      </c>
      <c r="M304" s="306">
        <f t="shared" ca="1" si="132"/>
        <v>1.0715686097109522</v>
      </c>
      <c r="N304" s="304">
        <f t="shared" ca="1" si="133"/>
        <v>61.396358795138887</v>
      </c>
      <c r="P304" s="310">
        <f t="shared" ca="1" si="134"/>
        <v>23</v>
      </c>
      <c r="Q304" s="304">
        <f t="shared" ca="1" si="135"/>
        <v>0</v>
      </c>
      <c r="R304" s="306">
        <f t="shared" ca="1" si="136"/>
        <v>0</v>
      </c>
      <c r="S304" s="307">
        <f t="shared" ca="1" si="137"/>
        <v>7.150000000000003</v>
      </c>
      <c r="T304" s="304">
        <f t="shared" ca="1" si="117"/>
        <v>70.141500000000036</v>
      </c>
      <c r="U304" s="311">
        <f t="shared" ca="1" si="118"/>
        <v>0</v>
      </c>
      <c r="V304" s="306">
        <f t="shared" ca="1" si="119"/>
        <v>1.0588660961098177</v>
      </c>
      <c r="W304" s="304">
        <f t="shared" ca="1" si="120"/>
        <v>8.4226112807379039</v>
      </c>
      <c r="Y304" s="314" t="str">
        <f t="shared" ca="1" si="138"/>
        <v/>
      </c>
      <c r="Z304" s="315" t="str">
        <f t="shared" ca="1" si="139"/>
        <v/>
      </c>
      <c r="AA304" s="316" t="str">
        <f t="shared" ca="1" si="140"/>
        <v/>
      </c>
      <c r="AC304" s="310">
        <f t="shared" ca="1" si="141"/>
        <v>11.999999999999975</v>
      </c>
      <c r="AD304" s="323">
        <f t="shared" ca="1" si="142"/>
        <v>378.51702309341704</v>
      </c>
      <c r="AE304" s="324">
        <f t="shared" ca="1" si="121"/>
        <v>1454.8480243492709</v>
      </c>
      <c r="AG304" s="306">
        <f t="shared" ca="1" si="143"/>
        <v>-9.8727661202689916</v>
      </c>
      <c r="AH304" s="304">
        <f t="shared" ca="1" si="144"/>
        <v>-1.2210145892331825</v>
      </c>
    </row>
    <row r="305" spans="1:34" x14ac:dyDescent="0.2">
      <c r="A305" s="347">
        <f t="shared" ca="1" si="122"/>
        <v>0.1</v>
      </c>
      <c r="B305" s="304">
        <f t="shared" ca="1" si="123"/>
        <v>12.099999999999975</v>
      </c>
      <c r="D305" s="306">
        <f t="shared" ca="1" si="124"/>
        <v>-0.56395879559831508</v>
      </c>
      <c r="E305" s="307">
        <f t="shared" ca="1" si="125"/>
        <v>-10.844217212723605</v>
      </c>
      <c r="F305" s="304">
        <f t="shared" ca="1" si="126"/>
        <v>10.858871786694214</v>
      </c>
      <c r="G305" s="306">
        <f t="shared" ca="1" si="127"/>
        <v>26.373460249150419</v>
      </c>
      <c r="H305" s="307">
        <f t="shared" ca="1" si="128"/>
        <v>47.384034399039002</v>
      </c>
      <c r="I305" s="304">
        <f t="shared" ca="1" si="129"/>
        <v>54.229199896760683</v>
      </c>
      <c r="J305" s="306">
        <f t="shared" ca="1" si="130"/>
        <v>381.15718891231006</v>
      </c>
      <c r="K305" s="307">
        <f t="shared" ca="1" si="131"/>
        <v>1459.6406488752384</v>
      </c>
      <c r="L305" s="304">
        <f t="shared" ca="1" si="116"/>
        <v>1508.5859692137076</v>
      </c>
      <c r="M305" s="306">
        <f t="shared" ca="1" si="132"/>
        <v>1.0629080113558713</v>
      </c>
      <c r="N305" s="304">
        <f t="shared" ca="1" si="133"/>
        <v>60.900143061334802</v>
      </c>
      <c r="P305" s="310">
        <f t="shared" ca="1" si="134"/>
        <v>23</v>
      </c>
      <c r="Q305" s="304">
        <f t="shared" ca="1" si="135"/>
        <v>0</v>
      </c>
      <c r="R305" s="306">
        <f t="shared" ca="1" si="136"/>
        <v>0</v>
      </c>
      <c r="S305" s="307">
        <f t="shared" ca="1" si="137"/>
        <v>7.150000000000003</v>
      </c>
      <c r="T305" s="304">
        <f t="shared" ca="1" si="117"/>
        <v>70.141500000000036</v>
      </c>
      <c r="U305" s="311">
        <f t="shared" ca="1" si="118"/>
        <v>0</v>
      </c>
      <c r="V305" s="306">
        <f t="shared" ca="1" si="119"/>
        <v>1.0583560357203945</v>
      </c>
      <c r="W305" s="304">
        <f t="shared" ca="1" si="120"/>
        <v>8.1232088344470323</v>
      </c>
      <c r="Y305" s="314" t="str">
        <f t="shared" ca="1" si="138"/>
        <v/>
      </c>
      <c r="Z305" s="315" t="str">
        <f t="shared" ca="1" si="139"/>
        <v/>
      </c>
      <c r="AA305" s="316" t="str">
        <f t="shared" ca="1" si="140"/>
        <v/>
      </c>
      <c r="AC305" s="310" t="e">
        <f t="shared" ca="1" si="141"/>
        <v>#N/A</v>
      </c>
      <c r="AD305" s="323" t="e">
        <f t="shared" ca="1" si="142"/>
        <v>#N/A</v>
      </c>
      <c r="AE305" s="324">
        <f t="shared" ca="1" si="121"/>
        <v>1459.6406488752384</v>
      </c>
      <c r="AG305" s="306">
        <f t="shared" ca="1" si="143"/>
        <v>-9.7907021297969088</v>
      </c>
      <c r="AH305" s="304">
        <f t="shared" ca="1" si="144"/>
        <v>-1.1779875917115945</v>
      </c>
    </row>
    <row r="306" spans="1:34" x14ac:dyDescent="0.2">
      <c r="A306" s="347">
        <f t="shared" ca="1" si="122"/>
        <v>0.1</v>
      </c>
      <c r="B306" s="304">
        <f t="shared" ca="1" si="123"/>
        <v>12.199999999999974</v>
      </c>
      <c r="D306" s="306">
        <f t="shared" ca="1" si="124"/>
        <v>-0.55252952954226553</v>
      </c>
      <c r="E306" s="307">
        <f t="shared" ca="1" si="125"/>
        <v>-10.802705469323426</v>
      </c>
      <c r="F306" s="304">
        <f t="shared" ca="1" si="126"/>
        <v>10.816826444848159</v>
      </c>
      <c r="G306" s="306">
        <f t="shared" ca="1" si="127"/>
        <v>26.318207296196192</v>
      </c>
      <c r="H306" s="307">
        <f t="shared" ca="1" si="128"/>
        <v>46.303763852106663</v>
      </c>
      <c r="I306" s="304">
        <f t="shared" ca="1" si="129"/>
        <v>53.260553716209273</v>
      </c>
      <c r="J306" s="306">
        <f t="shared" ca="1" si="130"/>
        <v>383.79177228957741</v>
      </c>
      <c r="K306" s="307">
        <f t="shared" ca="1" si="131"/>
        <v>1464.3250387877956</v>
      </c>
      <c r="L306" s="304">
        <f t="shared" ca="1" si="116"/>
        <v>1513.7846424435857</v>
      </c>
      <c r="M306" s="306">
        <f t="shared" ca="1" si="132"/>
        <v>1.0539501764246151</v>
      </c>
      <c r="N306" s="304">
        <f t="shared" ca="1" si="133"/>
        <v>60.386896926198958</v>
      </c>
      <c r="P306" s="310">
        <f t="shared" ca="1" si="134"/>
        <v>23</v>
      </c>
      <c r="Q306" s="304">
        <f t="shared" ca="1" si="135"/>
        <v>0</v>
      </c>
      <c r="R306" s="306">
        <f t="shared" ca="1" si="136"/>
        <v>0</v>
      </c>
      <c r="S306" s="307">
        <f t="shared" ca="1" si="137"/>
        <v>7.150000000000003</v>
      </c>
      <c r="T306" s="304">
        <f t="shared" ca="1" si="117"/>
        <v>70.141500000000036</v>
      </c>
      <c r="U306" s="311">
        <f t="shared" ca="1" si="118"/>
        <v>0</v>
      </c>
      <c r="V306" s="306">
        <f t="shared" ca="1" si="119"/>
        <v>1.0578577144379329</v>
      </c>
      <c r="W306" s="304">
        <f t="shared" ca="1" si="120"/>
        <v>7.8319164478709</v>
      </c>
      <c r="Y306" s="314" t="str">
        <f t="shared" ca="1" si="138"/>
        <v/>
      </c>
      <c r="Z306" s="315" t="str">
        <f t="shared" ca="1" si="139"/>
        <v/>
      </c>
      <c r="AA306" s="316" t="str">
        <f t="shared" ca="1" si="140"/>
        <v/>
      </c>
      <c r="AC306" s="310" t="e">
        <f t="shared" ca="1" si="141"/>
        <v>#N/A</v>
      </c>
      <c r="AD306" s="323" t="e">
        <f t="shared" ca="1" si="142"/>
        <v>#N/A</v>
      </c>
      <c r="AE306" s="324">
        <f t="shared" ca="1" si="121"/>
        <v>1464.3250387877956</v>
      </c>
      <c r="AG306" s="306">
        <f t="shared" ca="1" si="143"/>
        <v>-9.7078305441939499</v>
      </c>
      <c r="AH306" s="304">
        <f t="shared" ca="1" si="144"/>
        <v>-1.1361131236988851</v>
      </c>
    </row>
    <row r="307" spans="1:34" x14ac:dyDescent="0.2">
      <c r="A307" s="347">
        <f t="shared" ca="1" si="122"/>
        <v>0.1</v>
      </c>
      <c r="B307" s="304">
        <f t="shared" ca="1" si="123"/>
        <v>12.299999999999974</v>
      </c>
      <c r="D307" s="306">
        <f t="shared" ca="1" si="124"/>
        <v>-0.5412683462885538</v>
      </c>
      <c r="E307" s="307">
        <f t="shared" ca="1" si="125"/>
        <v>-10.76229744963624</v>
      </c>
      <c r="F307" s="304">
        <f t="shared" ca="1" si="126"/>
        <v>10.775899861131816</v>
      </c>
      <c r="G307" s="306">
        <f t="shared" ca="1" si="127"/>
        <v>26.264080461567335</v>
      </c>
      <c r="H307" s="307">
        <f t="shared" ca="1" si="128"/>
        <v>45.227534107143036</v>
      </c>
      <c r="I307" s="304">
        <f t="shared" ca="1" si="129"/>
        <v>52.300399270985203</v>
      </c>
      <c r="J307" s="306">
        <f t="shared" ca="1" si="130"/>
        <v>386.4208866774656</v>
      </c>
      <c r="K307" s="307">
        <f t="shared" ca="1" si="131"/>
        <v>1468.9016036857581</v>
      </c>
      <c r="L307" s="304">
        <f t="shared" ca="1" si="116"/>
        <v>1518.8788704077724</v>
      </c>
      <c r="M307" s="306">
        <f t="shared" ca="1" si="132"/>
        <v>1.0446814332726653</v>
      </c>
      <c r="N307" s="304">
        <f t="shared" ca="1" si="133"/>
        <v>59.855837062201452</v>
      </c>
      <c r="P307" s="310">
        <f t="shared" ca="1" si="134"/>
        <v>23</v>
      </c>
      <c r="Q307" s="304">
        <f t="shared" ca="1" si="135"/>
        <v>0</v>
      </c>
      <c r="R307" s="306">
        <f t="shared" ca="1" si="136"/>
        <v>0</v>
      </c>
      <c r="S307" s="307">
        <f t="shared" ca="1" si="137"/>
        <v>7.150000000000003</v>
      </c>
      <c r="T307" s="304">
        <f t="shared" ca="1" si="117"/>
        <v>70.141500000000036</v>
      </c>
      <c r="U307" s="311">
        <f t="shared" ca="1" si="118"/>
        <v>0</v>
      </c>
      <c r="V307" s="306">
        <f t="shared" ca="1" si="119"/>
        <v>1.0573710734967334</v>
      </c>
      <c r="W307" s="304">
        <f t="shared" ca="1" si="120"/>
        <v>7.5486079086041968</v>
      </c>
      <c r="Y307" s="314" t="str">
        <f t="shared" ca="1" si="138"/>
        <v/>
      </c>
      <c r="Z307" s="315" t="str">
        <f t="shared" ca="1" si="139"/>
        <v/>
      </c>
      <c r="AA307" s="316" t="str">
        <f t="shared" ca="1" si="140"/>
        <v/>
      </c>
      <c r="AC307" s="310" t="e">
        <f t="shared" ca="1" si="141"/>
        <v>#N/A</v>
      </c>
      <c r="AD307" s="323" t="e">
        <f t="shared" ca="1" si="142"/>
        <v>#N/A</v>
      </c>
      <c r="AE307" s="324">
        <f t="shared" ca="1" si="121"/>
        <v>1468.9016036857581</v>
      </c>
      <c r="AG307" s="306">
        <f t="shared" ca="1" si="143"/>
        <v>-9.6240098232132993</v>
      </c>
      <c r="AH307" s="304">
        <f t="shared" ca="1" si="144"/>
        <v>-1.0953729297721533</v>
      </c>
    </row>
    <row r="308" spans="1:34" x14ac:dyDescent="0.2">
      <c r="A308" s="347">
        <f t="shared" ca="1" si="122"/>
        <v>0.1</v>
      </c>
      <c r="B308" s="304">
        <f t="shared" ca="1" si="123"/>
        <v>12.399999999999974</v>
      </c>
      <c r="D308" s="306">
        <f t="shared" ca="1" si="124"/>
        <v>-0.53017350666991403</v>
      </c>
      <c r="E308" s="307">
        <f t="shared" ca="1" si="125"/>
        <v>-10.722974676220066</v>
      </c>
      <c r="F308" s="304">
        <f t="shared" ca="1" si="126"/>
        <v>10.736073297720703</v>
      </c>
      <c r="G308" s="306">
        <f t="shared" ca="1" si="127"/>
        <v>26.211063110900344</v>
      </c>
      <c r="H308" s="307">
        <f t="shared" ca="1" si="128"/>
        <v>44.155236639521029</v>
      </c>
      <c r="I308" s="304">
        <f t="shared" ca="1" si="129"/>
        <v>51.348853464276118</v>
      </c>
      <c r="J308" s="306">
        <f t="shared" ca="1" si="130"/>
        <v>389.04464385608901</v>
      </c>
      <c r="K308" s="307">
        <f t="shared" ca="1" si="131"/>
        <v>1473.3707422230914</v>
      </c>
      <c r="L308" s="304">
        <f t="shared" ca="1" si="116"/>
        <v>1523.869114770732</v>
      </c>
      <c r="M308" s="306">
        <f t="shared" ca="1" si="132"/>
        <v>1.0350873802395526</v>
      </c>
      <c r="N308" s="304">
        <f t="shared" ca="1" si="133"/>
        <v>59.306138314979407</v>
      </c>
      <c r="P308" s="310">
        <f t="shared" ca="1" si="134"/>
        <v>23</v>
      </c>
      <c r="Q308" s="304">
        <f t="shared" ca="1" si="135"/>
        <v>0</v>
      </c>
      <c r="R308" s="306">
        <f t="shared" ca="1" si="136"/>
        <v>0</v>
      </c>
      <c r="S308" s="307">
        <f t="shared" ca="1" si="137"/>
        <v>7.150000000000003</v>
      </c>
      <c r="T308" s="304">
        <f t="shared" ca="1" si="117"/>
        <v>70.141500000000036</v>
      </c>
      <c r="U308" s="311">
        <f t="shared" ca="1" si="118"/>
        <v>0</v>
      </c>
      <c r="V308" s="306">
        <f t="shared" ca="1" si="119"/>
        <v>1.0568960557343379</v>
      </c>
      <c r="W308" s="304">
        <f t="shared" ca="1" si="120"/>
        <v>7.2731611932225508</v>
      </c>
      <c r="Y308" s="314" t="str">
        <f t="shared" ca="1" si="138"/>
        <v/>
      </c>
      <c r="Z308" s="315" t="str">
        <f t="shared" ca="1" si="139"/>
        <v/>
      </c>
      <c r="AA308" s="316" t="str">
        <f t="shared" ca="1" si="140"/>
        <v/>
      </c>
      <c r="AC308" s="310" t="e">
        <f t="shared" ca="1" si="141"/>
        <v>#N/A</v>
      </c>
      <c r="AD308" s="323" t="e">
        <f t="shared" ca="1" si="142"/>
        <v>#N/A</v>
      </c>
      <c r="AE308" s="324">
        <f t="shared" ca="1" si="121"/>
        <v>1473.3707422230914</v>
      </c>
      <c r="AG308" s="306">
        <f t="shared" ca="1" si="143"/>
        <v>-9.5390901310636593</v>
      </c>
      <c r="AH308" s="304">
        <f t="shared" ca="1" si="144"/>
        <v>-1.0557493578467403</v>
      </c>
    </row>
    <row r="309" spans="1:34" x14ac:dyDescent="0.2">
      <c r="A309" s="347">
        <f t="shared" ca="1" si="122"/>
        <v>0.1</v>
      </c>
      <c r="B309" s="304">
        <f t="shared" ca="1" si="123"/>
        <v>12.499999999999973</v>
      </c>
      <c r="D309" s="306">
        <f t="shared" ca="1" si="124"/>
        <v>-0.51924348511701224</v>
      </c>
      <c r="E309" s="307">
        <f t="shared" ca="1" si="125"/>
        <v>-10.684719154345807</v>
      </c>
      <c r="F309" s="304">
        <f t="shared" ca="1" si="126"/>
        <v>10.697328507813557</v>
      </c>
      <c r="G309" s="306">
        <f t="shared" ca="1" si="127"/>
        <v>26.159138762388643</v>
      </c>
      <c r="H309" s="307">
        <f t="shared" ca="1" si="128"/>
        <v>43.08676472408645</v>
      </c>
      <c r="I309" s="304">
        <f t="shared" ca="1" si="129"/>
        <v>50.406049589098778</v>
      </c>
      <c r="J309" s="306">
        <f t="shared" ca="1" si="130"/>
        <v>391.66315394975345</v>
      </c>
      <c r="K309" s="307">
        <f t="shared" ca="1" si="131"/>
        <v>1477.7328422912717</v>
      </c>
      <c r="L309" s="304">
        <f t="shared" ca="1" si="116"/>
        <v>1528.7558272491094</v>
      </c>
      <c r="M309" s="306">
        <f t="shared" ca="1" si="132"/>
        <v>1.0251528491318411</v>
      </c>
      <c r="N309" s="304">
        <f t="shared" ca="1" si="133"/>
        <v>58.736931611066119</v>
      </c>
      <c r="P309" s="310">
        <f t="shared" ca="1" si="134"/>
        <v>23</v>
      </c>
      <c r="Q309" s="304">
        <f t="shared" ca="1" si="135"/>
        <v>0</v>
      </c>
      <c r="R309" s="306">
        <f t="shared" ca="1" si="136"/>
        <v>0</v>
      </c>
      <c r="S309" s="307">
        <f t="shared" ca="1" si="137"/>
        <v>7.150000000000003</v>
      </c>
      <c r="T309" s="304">
        <f t="shared" ca="1" si="117"/>
        <v>70.141500000000036</v>
      </c>
      <c r="U309" s="311">
        <f t="shared" ca="1" si="118"/>
        <v>0</v>
      </c>
      <c r="V309" s="306">
        <f t="shared" ca="1" si="119"/>
        <v>1.0564326055641828</v>
      </c>
      <c r="W309" s="304">
        <f t="shared" ca="1" si="120"/>
        <v>7.0054583472698901</v>
      </c>
      <c r="Y309" s="314" t="str">
        <f t="shared" ca="1" si="138"/>
        <v/>
      </c>
      <c r="Z309" s="315" t="str">
        <f t="shared" ca="1" si="139"/>
        <v/>
      </c>
      <c r="AA309" s="316" t="str">
        <f t="shared" ca="1" si="140"/>
        <v/>
      </c>
      <c r="AC309" s="310" t="e">
        <f t="shared" ca="1" si="141"/>
        <v>#N/A</v>
      </c>
      <c r="AD309" s="323" t="e">
        <f t="shared" ca="1" si="142"/>
        <v>#N/A</v>
      </c>
      <c r="AE309" s="324">
        <f t="shared" ca="1" si="121"/>
        <v>1477.7328422912717</v>
      </c>
      <c r="AG309" s="306">
        <f t="shared" ca="1" si="143"/>
        <v>-9.4529126494125641</v>
      </c>
      <c r="AH309" s="304">
        <f t="shared" ca="1" si="144"/>
        <v>-1.0172253417094472</v>
      </c>
    </row>
    <row r="310" spans="1:34" x14ac:dyDescent="0.2">
      <c r="A310" s="347">
        <f t="shared" ca="1" si="122"/>
        <v>0.1</v>
      </c>
      <c r="B310" s="304">
        <f t="shared" ca="1" si="123"/>
        <v>12.599999999999973</v>
      </c>
      <c r="D310" s="306">
        <f t="shared" ca="1" si="124"/>
        <v>-0.50847697594476804</v>
      </c>
      <c r="E310" s="307">
        <f t="shared" ca="1" si="125"/>
        <v>-10.647513345876938</v>
      </c>
      <c r="F310" s="304">
        <f t="shared" ca="1" si="126"/>
        <v>10.659647709267574</v>
      </c>
      <c r="G310" s="306">
        <f t="shared" ca="1" si="127"/>
        <v>26.108291064794166</v>
      </c>
      <c r="H310" s="307">
        <f t="shared" ca="1" si="128"/>
        <v>42.022013389498753</v>
      </c>
      <c r="I310" s="304">
        <f t="shared" ca="1" si="129"/>
        <v>49.472138336959155</v>
      </c>
      <c r="J310" s="306">
        <f t="shared" ca="1" si="130"/>
        <v>394.2765254411126</v>
      </c>
      <c r="K310" s="307">
        <f t="shared" ca="1" si="131"/>
        <v>1481.988281196951</v>
      </c>
      <c r="L310" s="304">
        <f t="shared" ca="1" si="116"/>
        <v>1533.5394498085172</v>
      </c>
      <c r="M310" s="306">
        <f t="shared" ca="1" si="132"/>
        <v>1.0148618682836259</v>
      </c>
      <c r="N310" s="304">
        <f t="shared" ca="1" si="133"/>
        <v>58.147301841413423</v>
      </c>
      <c r="P310" s="310">
        <f t="shared" ca="1" si="134"/>
        <v>23</v>
      </c>
      <c r="Q310" s="304">
        <f t="shared" ca="1" si="135"/>
        <v>0</v>
      </c>
      <c r="R310" s="306">
        <f t="shared" ca="1" si="136"/>
        <v>0</v>
      </c>
      <c r="S310" s="307">
        <f t="shared" ca="1" si="137"/>
        <v>7.150000000000003</v>
      </c>
      <c r="T310" s="304">
        <f t="shared" ca="1" si="117"/>
        <v>70.141500000000036</v>
      </c>
      <c r="U310" s="311">
        <f t="shared" ca="1" si="118"/>
        <v>0</v>
      </c>
      <c r="V310" s="306">
        <f t="shared" ca="1" si="119"/>
        <v>1.0559806689490374</v>
      </c>
      <c r="W310" s="304">
        <f t="shared" ca="1" si="120"/>
        <v>6.7453853698949189</v>
      </c>
      <c r="Y310" s="314" t="str">
        <f t="shared" ca="1" si="138"/>
        <v/>
      </c>
      <c r="Z310" s="315" t="str">
        <f t="shared" ca="1" si="139"/>
        <v/>
      </c>
      <c r="AA310" s="316" t="str">
        <f t="shared" ca="1" si="140"/>
        <v/>
      </c>
      <c r="AC310" s="310" t="e">
        <f t="shared" ca="1" si="141"/>
        <v>#N/A</v>
      </c>
      <c r="AD310" s="323" t="e">
        <f t="shared" ca="1" si="142"/>
        <v>#N/A</v>
      </c>
      <c r="AE310" s="324">
        <f t="shared" ca="1" si="121"/>
        <v>1481.988281196951</v>
      </c>
      <c r="AG310" s="306">
        <f t="shared" ca="1" si="143"/>
        <v>-9.3653088478427886</v>
      </c>
      <c r="AH310" s="304">
        <f t="shared" ca="1" si="144"/>
        <v>-0.97978438423355063</v>
      </c>
    </row>
    <row r="311" spans="1:34" x14ac:dyDescent="0.2">
      <c r="A311" s="347">
        <f t="shared" ca="1" si="122"/>
        <v>0.1</v>
      </c>
      <c r="B311" s="304">
        <f t="shared" ca="1" si="123"/>
        <v>12.699999999999973</v>
      </c>
      <c r="D311" s="306">
        <f t="shared" ca="1" si="124"/>
        <v>-0.49787290043199017</v>
      </c>
      <c r="E311" s="307">
        <f t="shared" ca="1" si="125"/>
        <v>-10.611340142727055</v>
      </c>
      <c r="F311" s="304">
        <f t="shared" ca="1" si="126"/>
        <v>10.623013557820361</v>
      </c>
      <c r="G311" s="306">
        <f t="shared" ca="1" si="127"/>
        <v>26.058503774750967</v>
      </c>
      <c r="H311" s="307">
        <f t="shared" ca="1" si="128"/>
        <v>40.96087937522605</v>
      </c>
      <c r="I311" s="304">
        <f t="shared" ca="1" si="129"/>
        <v>48.547288885894844</v>
      </c>
      <c r="J311" s="306">
        <f t="shared" ca="1" si="130"/>
        <v>396.88486518308986</v>
      </c>
      <c r="K311" s="307">
        <f t="shared" ca="1" si="131"/>
        <v>1486.1374258351873</v>
      </c>
      <c r="L311" s="304">
        <f t="shared" ca="1" si="116"/>
        <v>1538.2204148558933</v>
      </c>
      <c r="M311" s="306">
        <f t="shared" ca="1" si="132"/>
        <v>1.0041976255725755</v>
      </c>
      <c r="N311" s="304">
        <f t="shared" ca="1" si="133"/>
        <v>57.536285742367085</v>
      </c>
      <c r="P311" s="310">
        <f t="shared" ca="1" si="134"/>
        <v>23</v>
      </c>
      <c r="Q311" s="304">
        <f t="shared" ca="1" si="135"/>
        <v>0</v>
      </c>
      <c r="R311" s="306">
        <f t="shared" ca="1" si="136"/>
        <v>0</v>
      </c>
      <c r="S311" s="307">
        <f t="shared" ca="1" si="137"/>
        <v>7.150000000000003</v>
      </c>
      <c r="T311" s="304">
        <f t="shared" ca="1" si="117"/>
        <v>70.141500000000036</v>
      </c>
      <c r="U311" s="311">
        <f t="shared" ca="1" si="118"/>
        <v>0</v>
      </c>
      <c r="V311" s="306">
        <f t="shared" ca="1" si="119"/>
        <v>1.0555401933751862</v>
      </c>
      <c r="W311" s="304">
        <f t="shared" ca="1" si="120"/>
        <v>6.4928321029189604</v>
      </c>
      <c r="Y311" s="314" t="str">
        <f t="shared" ca="1" si="138"/>
        <v/>
      </c>
      <c r="Z311" s="315" t="str">
        <f t="shared" ca="1" si="139"/>
        <v/>
      </c>
      <c r="AA311" s="316" t="str">
        <f t="shared" ca="1" si="140"/>
        <v/>
      </c>
      <c r="AC311" s="310" t="e">
        <f t="shared" ca="1" si="141"/>
        <v>#N/A</v>
      </c>
      <c r="AD311" s="323" t="e">
        <f t="shared" ca="1" si="142"/>
        <v>#N/A</v>
      </c>
      <c r="AE311" s="324">
        <f t="shared" ca="1" si="121"/>
        <v>1486.1374258351873</v>
      </c>
      <c r="AG311" s="306">
        <f t="shared" ca="1" si="143"/>
        <v>-9.2760997115242301</v>
      </c>
      <c r="AH311" s="304">
        <f t="shared" ca="1" si="144"/>
        <v>-0.94341054124404422</v>
      </c>
    </row>
    <row r="312" spans="1:34" x14ac:dyDescent="0.2">
      <c r="A312" s="347">
        <f t="shared" ca="1" si="122"/>
        <v>0.1</v>
      </c>
      <c r="B312" s="304">
        <f t="shared" ca="1" si="123"/>
        <v>12.799999999999972</v>
      </c>
      <c r="D312" s="306">
        <f t="shared" ca="1" si="124"/>
        <v>-0.48743041472915216</v>
      </c>
      <c r="E312" s="307">
        <f t="shared" ca="1" si="125"/>
        <v>-10.576182839740882</v>
      </c>
      <c r="F312" s="304">
        <f t="shared" ca="1" si="126"/>
        <v>10.587409119743723</v>
      </c>
      <c r="G312" s="306">
        <f t="shared" ca="1" si="127"/>
        <v>26.009760733278053</v>
      </c>
      <c r="H312" s="307">
        <f t="shared" ca="1" si="128"/>
        <v>39.903261091251963</v>
      </c>
      <c r="I312" s="304">
        <f t="shared" ca="1" si="129"/>
        <v>47.63169007204128</v>
      </c>
      <c r="J312" s="306">
        <f t="shared" ca="1" si="130"/>
        <v>399.48827840849128</v>
      </c>
      <c r="K312" s="307">
        <f t="shared" ca="1" si="131"/>
        <v>1490.1806328585112</v>
      </c>
      <c r="L312" s="304">
        <f t="shared" ca="1" si="116"/>
        <v>1542.799145427678</v>
      </c>
      <c r="M312" s="306">
        <f t="shared" ca="1" si="132"/>
        <v>0.99314243187305029</v>
      </c>
      <c r="N312" s="304">
        <f t="shared" ca="1" si="133"/>
        <v>56.902869801684673</v>
      </c>
      <c r="P312" s="310">
        <f t="shared" ca="1" si="134"/>
        <v>23</v>
      </c>
      <c r="Q312" s="304">
        <f t="shared" ca="1" si="135"/>
        <v>0</v>
      </c>
      <c r="R312" s="306">
        <f t="shared" ca="1" si="136"/>
        <v>0</v>
      </c>
      <c r="S312" s="307">
        <f t="shared" ca="1" si="137"/>
        <v>7.150000000000003</v>
      </c>
      <c r="T312" s="304">
        <f t="shared" ca="1" si="117"/>
        <v>70.141500000000036</v>
      </c>
      <c r="U312" s="311">
        <f t="shared" ca="1" si="118"/>
        <v>0</v>
      </c>
      <c r="V312" s="306">
        <f t="shared" ca="1" si="119"/>
        <v>1.0551111278273271</v>
      </c>
      <c r="W312" s="304">
        <f t="shared" ca="1" si="120"/>
        <v>6.247692124124737</v>
      </c>
      <c r="Y312" s="314" t="str">
        <f t="shared" ca="1" si="138"/>
        <v/>
      </c>
      <c r="Z312" s="315" t="str">
        <f t="shared" ca="1" si="139"/>
        <v/>
      </c>
      <c r="AA312" s="316" t="str">
        <f t="shared" ca="1" si="140"/>
        <v/>
      </c>
      <c r="AC312" s="310" t="e">
        <f t="shared" ca="1" si="141"/>
        <v>#N/A</v>
      </c>
      <c r="AD312" s="323" t="e">
        <f t="shared" ca="1" si="142"/>
        <v>#N/A</v>
      </c>
      <c r="AE312" s="324">
        <f t="shared" ca="1" si="121"/>
        <v>1490.1806328585112</v>
      </c>
      <c r="AG312" s="306">
        <f t="shared" ca="1" si="143"/>
        <v>-9.1850949267049025</v>
      </c>
      <c r="AH312" s="304">
        <f t="shared" ca="1" si="144"/>
        <v>-0.90808840600265139</v>
      </c>
    </row>
    <row r="313" spans="1:34" x14ac:dyDescent="0.2">
      <c r="A313" s="347">
        <f t="shared" ca="1" si="122"/>
        <v>0.1</v>
      </c>
      <c r="B313" s="304">
        <f t="shared" ca="1" si="123"/>
        <v>12.899999999999972</v>
      </c>
      <c r="D313" s="306">
        <f t="shared" ca="1" si="124"/>
        <v>-0.47714891862810427</v>
      </c>
      <c r="E313" s="307">
        <f t="shared" ca="1" si="125"/>
        <v>-10.542025106830968</v>
      </c>
      <c r="F313" s="304">
        <f t="shared" ca="1" si="126"/>
        <v>10.552817843761089</v>
      </c>
      <c r="G313" s="306">
        <f t="shared" ca="1" si="127"/>
        <v>25.962045841415243</v>
      </c>
      <c r="H313" s="307">
        <f t="shared" ca="1" si="128"/>
        <v>38.849058580568865</v>
      </c>
      <c r="I313" s="304">
        <f t="shared" ca="1" si="129"/>
        <v>46.725551648623878</v>
      </c>
      <c r="J313" s="306">
        <f t="shared" ca="1" si="130"/>
        <v>402.08686873722593</v>
      </c>
      <c r="K313" s="307">
        <f t="shared" ca="1" si="131"/>
        <v>1494.1182488421023</v>
      </c>
      <c r="L313" s="304">
        <f t="shared" ca="1" si="116"/>
        <v>1547.2760553740557</v>
      </c>
      <c r="M313" s="306">
        <f t="shared" ca="1" si="132"/>
        <v>0.98167768555188106</v>
      </c>
      <c r="N313" s="304">
        <f t="shared" ca="1" si="133"/>
        <v>56.245988224293541</v>
      </c>
      <c r="P313" s="310">
        <f t="shared" ca="1" si="134"/>
        <v>23</v>
      </c>
      <c r="Q313" s="304">
        <f t="shared" ca="1" si="135"/>
        <v>0</v>
      </c>
      <c r="R313" s="306">
        <f t="shared" ca="1" si="136"/>
        <v>0</v>
      </c>
      <c r="S313" s="307">
        <f t="shared" ca="1" si="137"/>
        <v>7.150000000000003</v>
      </c>
      <c r="T313" s="304">
        <f t="shared" ca="1" si="117"/>
        <v>70.141500000000036</v>
      </c>
      <c r="U313" s="311">
        <f t="shared" ca="1" si="118"/>
        <v>0</v>
      </c>
      <c r="V313" s="306">
        <f t="shared" ca="1" si="119"/>
        <v>1.0546934227641391</v>
      </c>
      <c r="W313" s="304">
        <f t="shared" ca="1" si="120"/>
        <v>6.0098626445620518</v>
      </c>
      <c r="Y313" s="314" t="str">
        <f t="shared" ca="1" si="138"/>
        <v/>
      </c>
      <c r="Z313" s="315" t="str">
        <f t="shared" ca="1" si="139"/>
        <v/>
      </c>
      <c r="AA313" s="316" t="str">
        <f t="shared" ca="1" si="140"/>
        <v/>
      </c>
      <c r="AC313" s="310" t="e">
        <f t="shared" ca="1" si="141"/>
        <v>#N/A</v>
      </c>
      <c r="AD313" s="323" t="e">
        <f t="shared" ca="1" si="142"/>
        <v>#N/A</v>
      </c>
      <c r="AE313" s="324">
        <f t="shared" ca="1" si="121"/>
        <v>1494.1182488421023</v>
      </c>
      <c r="AG313" s="306">
        <f t="shared" ca="1" si="143"/>
        <v>-9.092092025730409</v>
      </c>
      <c r="AH313" s="304">
        <f t="shared" ca="1" si="144"/>
        <v>-0.87380309428317959</v>
      </c>
    </row>
    <row r="314" spans="1:34" x14ac:dyDescent="0.2">
      <c r="A314" s="347">
        <f t="shared" ca="1" si="122"/>
        <v>0.1</v>
      </c>
      <c r="B314" s="304">
        <f t="shared" ca="1" si="123"/>
        <v>12.999999999999972</v>
      </c>
      <c r="D314" s="306">
        <f t="shared" ca="1" si="124"/>
        <v>-0.46702806522524382</v>
      </c>
      <c r="E314" s="307">
        <f t="shared" ca="1" si="125"/>
        <v>-10.508850960187512</v>
      </c>
      <c r="F314" s="304">
        <f t="shared" ca="1" si="126"/>
        <v>10.519223532045606</v>
      </c>
      <c r="G314" s="306">
        <f t="shared" ca="1" si="127"/>
        <v>25.915343034892718</v>
      </c>
      <c r="H314" s="307">
        <f t="shared" ca="1" si="128"/>
        <v>37.798173484550112</v>
      </c>
      <c r="I314" s="304">
        <f t="shared" ca="1" si="129"/>
        <v>45.82910563587631</v>
      </c>
      <c r="J314" s="306">
        <f t="shared" ca="1" si="130"/>
        <v>404.68073818104131</v>
      </c>
      <c r="K314" s="307">
        <f t="shared" ca="1" si="131"/>
        <v>1497.9506104453583</v>
      </c>
      <c r="L314" s="304">
        <f t="shared" ca="1" si="116"/>
        <v>1551.6515495395138</v>
      </c>
      <c r="M314" s="306">
        <f t="shared" ca="1" si="132"/>
        <v>0.96978383876023988</v>
      </c>
      <c r="N314" s="304">
        <f t="shared" ca="1" si="133"/>
        <v>55.564521000957285</v>
      </c>
      <c r="P314" s="310">
        <f t="shared" ca="1" si="134"/>
        <v>23</v>
      </c>
      <c r="Q314" s="304">
        <f t="shared" ca="1" si="135"/>
        <v>0</v>
      </c>
      <c r="R314" s="306">
        <f t="shared" ca="1" si="136"/>
        <v>0</v>
      </c>
      <c r="S314" s="307">
        <f t="shared" ca="1" si="137"/>
        <v>7.150000000000003</v>
      </c>
      <c r="T314" s="304">
        <f t="shared" ca="1" si="117"/>
        <v>70.141500000000036</v>
      </c>
      <c r="U314" s="311">
        <f t="shared" ca="1" si="118"/>
        <v>0</v>
      </c>
      <c r="V314" s="306">
        <f t="shared" ca="1" si="119"/>
        <v>1.0542870300944887</v>
      </c>
      <c r="W314" s="304">
        <f t="shared" ca="1" si="120"/>
        <v>5.7792444096721169</v>
      </c>
      <c r="Y314" s="314" t="str">
        <f t="shared" ca="1" si="138"/>
        <v/>
      </c>
      <c r="Z314" s="315" t="str">
        <f t="shared" ca="1" si="139"/>
        <v/>
      </c>
      <c r="AA314" s="316" t="str">
        <f t="shared" ca="1" si="140"/>
        <v/>
      </c>
      <c r="AC314" s="310">
        <f t="shared" ca="1" si="141"/>
        <v>12.999999999999972</v>
      </c>
      <c r="AD314" s="323">
        <f t="shared" ca="1" si="142"/>
        <v>404.68073818104131</v>
      </c>
      <c r="AE314" s="324">
        <f t="shared" ca="1" si="121"/>
        <v>1497.9506104453583</v>
      </c>
      <c r="AG314" s="306">
        <f t="shared" ca="1" si="143"/>
        <v>-8.9968754947332563</v>
      </c>
      <c r="AH314" s="304">
        <f t="shared" ca="1" si="144"/>
        <v>-0.84054023000867817</v>
      </c>
    </row>
    <row r="315" spans="1:34" x14ac:dyDescent="0.2">
      <c r="A315" s="347">
        <f t="shared" ca="1" si="122"/>
        <v>0.1</v>
      </c>
      <c r="B315" s="304">
        <f t="shared" ca="1" si="123"/>
        <v>13.099999999999971</v>
      </c>
      <c r="D315" s="306">
        <f t="shared" ca="1" si="124"/>
        <v>-0.45706777150585381</v>
      </c>
      <c r="E315" s="307">
        <f t="shared" ca="1" si="125"/>
        <v>-10.476644732362367</v>
      </c>
      <c r="F315" s="304">
        <f t="shared" ca="1" si="126"/>
        <v>10.486610310099516</v>
      </c>
      <c r="G315" s="306">
        <f t="shared" ca="1" si="127"/>
        <v>25.869636257742133</v>
      </c>
      <c r="H315" s="307">
        <f t="shared" ca="1" si="128"/>
        <v>36.750509011313873</v>
      </c>
      <c r="I315" s="304">
        <f t="shared" ca="1" si="129"/>
        <v>44.942607764776497</v>
      </c>
      <c r="J315" s="306">
        <f t="shared" ca="1" si="130"/>
        <v>407.26998714567304</v>
      </c>
      <c r="K315" s="307">
        <f t="shared" ca="1" si="131"/>
        <v>1501.6780445701515</v>
      </c>
      <c r="L315" s="304">
        <f t="shared" ca="1" si="116"/>
        <v>1555.9260239399784</v>
      </c>
      <c r="M315" s="306">
        <f t="shared" ca="1" si="132"/>
        <v>0.95744036645028596</v>
      </c>
      <c r="N315" s="304">
        <f t="shared" ca="1" si="133"/>
        <v>54.857292133060326</v>
      </c>
      <c r="P315" s="310">
        <f t="shared" ca="1" si="134"/>
        <v>23</v>
      </c>
      <c r="Q315" s="304">
        <f t="shared" ca="1" si="135"/>
        <v>0</v>
      </c>
      <c r="R315" s="306">
        <f t="shared" ca="1" si="136"/>
        <v>0</v>
      </c>
      <c r="S315" s="307">
        <f t="shared" ca="1" si="137"/>
        <v>7.150000000000003</v>
      </c>
      <c r="T315" s="304">
        <f t="shared" ca="1" si="117"/>
        <v>70.141500000000036</v>
      </c>
      <c r="U315" s="311">
        <f t="shared" ca="1" si="118"/>
        <v>0</v>
      </c>
      <c r="V315" s="306">
        <f t="shared" ca="1" si="119"/>
        <v>1.0538919031542302</v>
      </c>
      <c r="W315" s="304">
        <f t="shared" ca="1" si="120"/>
        <v>5.5557416040369576</v>
      </c>
      <c r="Y315" s="314" t="str">
        <f t="shared" ca="1" si="138"/>
        <v/>
      </c>
      <c r="Z315" s="315" t="str">
        <f t="shared" ca="1" si="139"/>
        <v/>
      </c>
      <c r="AA315" s="316" t="str">
        <f t="shared" ca="1" si="140"/>
        <v/>
      </c>
      <c r="AC315" s="310" t="e">
        <f t="shared" ca="1" si="141"/>
        <v>#N/A</v>
      </c>
      <c r="AD315" s="323" t="e">
        <f t="shared" ca="1" si="142"/>
        <v>#N/A</v>
      </c>
      <c r="AE315" s="324">
        <f t="shared" ca="1" si="121"/>
        <v>1501.6780445701515</v>
      </c>
      <c r="AG315" s="306">
        <f t="shared" ca="1" si="143"/>
        <v>-8.8992158489631965</v>
      </c>
      <c r="AH315" s="304">
        <f t="shared" ca="1" si="144"/>
        <v>-0.80828593142267335</v>
      </c>
    </row>
    <row r="316" spans="1:34" x14ac:dyDescent="0.2">
      <c r="A316" s="347">
        <f t="shared" ca="1" si="122"/>
        <v>0.1</v>
      </c>
      <c r="B316" s="304">
        <f t="shared" ca="1" si="123"/>
        <v>13.199999999999971</v>
      </c>
      <c r="D316" s="306">
        <f t="shared" ca="1" si="124"/>
        <v>-0.44726822987150544</v>
      </c>
      <c r="E316" s="307">
        <f t="shared" ca="1" si="125"/>
        <v>-10.445391041010401</v>
      </c>
      <c r="F316" s="304">
        <f t="shared" ca="1" si="126"/>
        <v>10.454962595297639</v>
      </c>
      <c r="G316" s="306">
        <f t="shared" ca="1" si="127"/>
        <v>25.824909434754982</v>
      </c>
      <c r="H316" s="307">
        <f t="shared" ca="1" si="128"/>
        <v>35.705969907212832</v>
      </c>
      <c r="I316" s="304">
        <f t="shared" ca="1" si="129"/>
        <v>44.066339016624532</v>
      </c>
      <c r="J316" s="306">
        <f t="shared" ca="1" si="130"/>
        <v>409.85471443029792</v>
      </c>
      <c r="K316" s="307">
        <f t="shared" ca="1" si="131"/>
        <v>1505.3008685160778</v>
      </c>
      <c r="L316" s="304">
        <f t="shared" ca="1" si="116"/>
        <v>1560.0998659367929</v>
      </c>
      <c r="M316" s="306">
        <f t="shared" ca="1" si="132"/>
        <v>0.94462573925175319</v>
      </c>
      <c r="N316" s="304">
        <f t="shared" ca="1" si="133"/>
        <v>54.123068078550844</v>
      </c>
      <c r="P316" s="310">
        <f t="shared" ca="1" si="134"/>
        <v>23</v>
      </c>
      <c r="Q316" s="304">
        <f t="shared" ca="1" si="135"/>
        <v>0</v>
      </c>
      <c r="R316" s="306">
        <f t="shared" ca="1" si="136"/>
        <v>0</v>
      </c>
      <c r="S316" s="307">
        <f t="shared" ca="1" si="137"/>
        <v>7.150000000000003</v>
      </c>
      <c r="T316" s="304">
        <f t="shared" ca="1" si="117"/>
        <v>70.141500000000036</v>
      </c>
      <c r="U316" s="311">
        <f t="shared" ca="1" si="118"/>
        <v>0</v>
      </c>
      <c r="V316" s="306">
        <f t="shared" ca="1" si="119"/>
        <v>1.0535079966835696</v>
      </c>
      <c r="W316" s="304">
        <f t="shared" ca="1" si="120"/>
        <v>5.3392617595645442</v>
      </c>
      <c r="Y316" s="314" t="str">
        <f t="shared" ca="1" si="138"/>
        <v/>
      </c>
      <c r="Z316" s="315" t="str">
        <f t="shared" ca="1" si="139"/>
        <v/>
      </c>
      <c r="AA316" s="316" t="str">
        <f t="shared" ca="1" si="140"/>
        <v/>
      </c>
      <c r="AC316" s="310" t="e">
        <f t="shared" ca="1" si="141"/>
        <v>#N/A</v>
      </c>
      <c r="AD316" s="323" t="e">
        <f t="shared" ca="1" si="142"/>
        <v>#N/A</v>
      </c>
      <c r="AE316" s="324">
        <f t="shared" ca="1" si="121"/>
        <v>1505.3008685160778</v>
      </c>
      <c r="AG316" s="306">
        <f t="shared" ca="1" si="143"/>
        <v>-8.7988686830428424</v>
      </c>
      <c r="AH316" s="304">
        <f t="shared" ca="1" si="144"/>
        <v>-0.77702679776740635</v>
      </c>
    </row>
    <row r="317" spans="1:34" x14ac:dyDescent="0.2">
      <c r="A317" s="347">
        <f t="shared" ca="1" si="122"/>
        <v>0.1</v>
      </c>
      <c r="B317" s="304">
        <f t="shared" ca="1" si="123"/>
        <v>13.299999999999971</v>
      </c>
      <c r="D317" s="306">
        <f t="shared" ca="1" si="124"/>
        <v>-0.43762992062415806</v>
      </c>
      <c r="E317" s="307">
        <f t="shared" ca="1" si="125"/>
        <v>-10.415074756052107</v>
      </c>
      <c r="F317" s="304">
        <f t="shared" ca="1" si="126"/>
        <v>10.424265063858428</v>
      </c>
      <c r="G317" s="306">
        <f t="shared" ca="1" si="127"/>
        <v>25.781146442692567</v>
      </c>
      <c r="H317" s="307">
        <f t="shared" ca="1" si="128"/>
        <v>34.664462431607625</v>
      </c>
      <c r="I317" s="304">
        <f t="shared" ca="1" si="129"/>
        <v>43.200607259295509</v>
      </c>
      <c r="J317" s="306">
        <f t="shared" ca="1" si="130"/>
        <v>412.43501722417028</v>
      </c>
      <c r="K317" s="307">
        <f t="shared" ca="1" si="131"/>
        <v>1508.8193901330187</v>
      </c>
      <c r="L317" s="304">
        <f t="shared" ca="1" si="116"/>
        <v>1564.1734544078147</v>
      </c>
      <c r="M317" s="306">
        <f t="shared" ca="1" si="132"/>
        <v>0.93131740158535303</v>
      </c>
      <c r="N317" s="304">
        <f t="shared" ca="1" si="133"/>
        <v>53.360556497931135</v>
      </c>
      <c r="P317" s="310">
        <f t="shared" ca="1" si="134"/>
        <v>23</v>
      </c>
      <c r="Q317" s="304">
        <f t="shared" ca="1" si="135"/>
        <v>0</v>
      </c>
      <c r="R317" s="306">
        <f t="shared" ca="1" si="136"/>
        <v>0</v>
      </c>
      <c r="S317" s="307">
        <f t="shared" ca="1" si="137"/>
        <v>7.150000000000003</v>
      </c>
      <c r="T317" s="304">
        <f t="shared" ca="1" si="117"/>
        <v>70.141500000000036</v>
      </c>
      <c r="U317" s="311">
        <f t="shared" ca="1" si="118"/>
        <v>0</v>
      </c>
      <c r="V317" s="306">
        <f t="shared" ca="1" si="119"/>
        <v>1.0531352668049423</v>
      </c>
      <c r="W317" s="304">
        <f t="shared" ca="1" si="120"/>
        <v>5.1297156669232766</v>
      </c>
      <c r="Y317" s="314" t="str">
        <f t="shared" ca="1" si="138"/>
        <v/>
      </c>
      <c r="Z317" s="315" t="str">
        <f t="shared" ca="1" si="139"/>
        <v/>
      </c>
      <c r="AA317" s="316" t="str">
        <f t="shared" ca="1" si="140"/>
        <v/>
      </c>
      <c r="AC317" s="310" t="e">
        <f t="shared" ca="1" si="141"/>
        <v>#N/A</v>
      </c>
      <c r="AD317" s="323" t="e">
        <f t="shared" ca="1" si="142"/>
        <v>#N/A</v>
      </c>
      <c r="AE317" s="324">
        <f t="shared" ca="1" si="121"/>
        <v>1508.8193901330187</v>
      </c>
      <c r="AG317" s="306">
        <f t="shared" ca="1" si="143"/>
        <v>-8.6955737063264245</v>
      </c>
      <c r="AH317" s="304">
        <f t="shared" ca="1" si="144"/>
        <v>-0.74674989644259326</v>
      </c>
    </row>
    <row r="318" spans="1:34" x14ac:dyDescent="0.2">
      <c r="A318" s="347">
        <f t="shared" ca="1" si="122"/>
        <v>0.1</v>
      </c>
      <c r="B318" s="304">
        <f t="shared" ca="1" si="123"/>
        <v>13.39999999999997</v>
      </c>
      <c r="D318" s="306">
        <f t="shared" ca="1" si="124"/>
        <v>-0.42815362540922175</v>
      </c>
      <c r="E318" s="307">
        <f t="shared" ca="1" si="125"/>
        <v>-10.385680965000738</v>
      </c>
      <c r="F318" s="304">
        <f t="shared" ca="1" si="126"/>
        <v>10.394502615985516</v>
      </c>
      <c r="G318" s="306">
        <f t="shared" ca="1" si="127"/>
        <v>25.738331080151646</v>
      </c>
      <c r="H318" s="307">
        <f t="shared" ca="1" si="128"/>
        <v>33.625894335107553</v>
      </c>
      <c r="I318" s="304">
        <f t="shared" ca="1" si="129"/>
        <v>42.345748979411361</v>
      </c>
      <c r="J318" s="306">
        <f t="shared" ca="1" si="130"/>
        <v>415.01099110031248</v>
      </c>
      <c r="K318" s="307">
        <f t="shared" ca="1" si="131"/>
        <v>1512.2339079713545</v>
      </c>
      <c r="L318" s="304">
        <f t="shared" ca="1" si="116"/>
        <v>1568.147159915924</v>
      </c>
      <c r="M318" s="306">
        <f t="shared" ca="1" si="132"/>
        <v>0.917491756670757</v>
      </c>
      <c r="N318" s="304">
        <f t="shared" ca="1" si="133"/>
        <v>52.568405395278269</v>
      </c>
      <c r="P318" s="310">
        <f t="shared" ca="1" si="134"/>
        <v>23</v>
      </c>
      <c r="Q318" s="304">
        <f t="shared" ca="1" si="135"/>
        <v>0</v>
      </c>
      <c r="R318" s="306">
        <f t="shared" ca="1" si="136"/>
        <v>0</v>
      </c>
      <c r="S318" s="307">
        <f t="shared" ca="1" si="137"/>
        <v>7.150000000000003</v>
      </c>
      <c r="T318" s="304">
        <f t="shared" ca="1" si="117"/>
        <v>70.141500000000036</v>
      </c>
      <c r="U318" s="311">
        <f t="shared" ca="1" si="118"/>
        <v>0</v>
      </c>
      <c r="V318" s="306">
        <f t="shared" ca="1" si="119"/>
        <v>1.0527736710013673</v>
      </c>
      <c r="W318" s="304">
        <f t="shared" ca="1" si="120"/>
        <v>4.9270172900419293</v>
      </c>
      <c r="Y318" s="314" t="str">
        <f t="shared" ca="1" si="138"/>
        <v/>
      </c>
      <c r="Z318" s="315" t="str">
        <f t="shared" ca="1" si="139"/>
        <v/>
      </c>
      <c r="AA318" s="316" t="str">
        <f t="shared" ca="1" si="140"/>
        <v/>
      </c>
      <c r="AC318" s="310" t="e">
        <f t="shared" ca="1" si="141"/>
        <v>#N/A</v>
      </c>
      <c r="AD318" s="323" t="e">
        <f t="shared" ca="1" si="142"/>
        <v>#N/A</v>
      </c>
      <c r="AE318" s="324">
        <f t="shared" ca="1" si="121"/>
        <v>1512.2339079713545</v>
      </c>
      <c r="AG318" s="306">
        <f t="shared" ca="1" si="143"/>
        <v>-8.5890537771256845</v>
      </c>
      <c r="AH318" s="304">
        <f t="shared" ca="1" si="144"/>
        <v>-0.71744275061863982</v>
      </c>
    </row>
    <row r="319" spans="1:34" x14ac:dyDescent="0.2">
      <c r="A319" s="347">
        <f t="shared" ca="1" si="122"/>
        <v>0.1</v>
      </c>
      <c r="B319" s="304">
        <f t="shared" ca="1" si="123"/>
        <v>13.49999999999997</v>
      </c>
      <c r="D319" s="306">
        <f t="shared" ca="1" si="124"/>
        <v>-0.41884044160472939</v>
      </c>
      <c r="E319" s="307">
        <f t="shared" ca="1" si="125"/>
        <v>-10.357194936175615</v>
      </c>
      <c r="F319" s="304">
        <f t="shared" ca="1" si="126"/>
        <v>10.365660338901012</v>
      </c>
      <c r="G319" s="306">
        <f t="shared" ca="1" si="127"/>
        <v>25.696447035991174</v>
      </c>
      <c r="H319" s="307">
        <f t="shared" ca="1" si="128"/>
        <v>32.59017484148999</v>
      </c>
      <c r="I319" s="304">
        <f t="shared" ca="1" si="129"/>
        <v>41.502131107599602</v>
      </c>
      <c r="J319" s="306">
        <f t="shared" ca="1" si="130"/>
        <v>417.58273000611962</v>
      </c>
      <c r="K319" s="307">
        <f t="shared" ca="1" si="131"/>
        <v>1515.5447114301844</v>
      </c>
      <c r="L319" s="304">
        <f t="shared" ca="1" si="116"/>
        <v>1572.0213448752422</v>
      </c>
      <c r="M319" s="306">
        <f t="shared" ca="1" si="132"/>
        <v>0.90312416041068178</v>
      </c>
      <c r="N319" s="304">
        <f t="shared" ca="1" si="133"/>
        <v>51.745202767828012</v>
      </c>
      <c r="P319" s="310">
        <f t="shared" ca="1" si="134"/>
        <v>23</v>
      </c>
      <c r="Q319" s="304">
        <f t="shared" ca="1" si="135"/>
        <v>0</v>
      </c>
      <c r="R319" s="306">
        <f t="shared" ca="1" si="136"/>
        <v>0</v>
      </c>
      <c r="S319" s="307">
        <f t="shared" ca="1" si="137"/>
        <v>7.150000000000003</v>
      </c>
      <c r="T319" s="304">
        <f t="shared" ca="1" si="117"/>
        <v>70.141500000000036</v>
      </c>
      <c r="U319" s="311">
        <f t="shared" ca="1" si="118"/>
        <v>0</v>
      </c>
      <c r="V319" s="306">
        <f t="shared" ca="1" si="119"/>
        <v>1.0524231680952345</v>
      </c>
      <c r="W319" s="304">
        <f t="shared" ca="1" si="120"/>
        <v>4.7310836834924581</v>
      </c>
      <c r="Y319" s="314" t="str">
        <f t="shared" ca="1" si="138"/>
        <v/>
      </c>
      <c r="Z319" s="315" t="str">
        <f t="shared" ca="1" si="139"/>
        <v/>
      </c>
      <c r="AA319" s="316" t="str">
        <f t="shared" ca="1" si="140"/>
        <v/>
      </c>
      <c r="AC319" s="310" t="e">
        <f t="shared" ca="1" si="141"/>
        <v>#N/A</v>
      </c>
      <c r="AD319" s="323" t="e">
        <f t="shared" ca="1" si="142"/>
        <v>#N/A</v>
      </c>
      <c r="AE319" s="324">
        <f t="shared" ca="1" si="121"/>
        <v>1515.5447114301844</v>
      </c>
      <c r="AG319" s="306">
        <f t="shared" ca="1" si="143"/>
        <v>-8.4790139539698099</v>
      </c>
      <c r="AH319" s="304">
        <f t="shared" ca="1" si="144"/>
        <v>-0.68909332727859118</v>
      </c>
    </row>
    <row r="320" spans="1:34" x14ac:dyDescent="0.2">
      <c r="A320" s="347">
        <f t="shared" ca="1" si="122"/>
        <v>0.1</v>
      </c>
      <c r="B320" s="304">
        <f t="shared" ca="1" si="123"/>
        <v>13.599999999999969</v>
      </c>
      <c r="D320" s="306">
        <f t="shared" ca="1" si="124"/>
        <v>-0.40969179762401731</v>
      </c>
      <c r="E320" s="307">
        <f t="shared" ca="1" si="125"/>
        <v>-10.329602079501107</v>
      </c>
      <c r="F320" s="304">
        <f t="shared" ca="1" si="126"/>
        <v>10.337723467469711</v>
      </c>
      <c r="G320" s="306">
        <f t="shared" ca="1" si="127"/>
        <v>25.655477856228771</v>
      </c>
      <c r="H320" s="307">
        <f t="shared" ca="1" si="128"/>
        <v>31.557214633539878</v>
      </c>
      <c r="I320" s="304">
        <f t="shared" ca="1" si="129"/>
        <v>40.670152931342024</v>
      </c>
      <c r="J320" s="306">
        <f t="shared" ca="1" si="130"/>
        <v>420.15032625073064</v>
      </c>
      <c r="K320" s="307">
        <f t="shared" ca="1" si="131"/>
        <v>1518.7520809039358</v>
      </c>
      <c r="L320" s="304">
        <f t="shared" ca="1" si="116"/>
        <v>1575.7963637153853</v>
      </c>
      <c r="M320" s="306">
        <f t="shared" ca="1" si="132"/>
        <v>0.88818892650224912</v>
      </c>
      <c r="N320" s="304">
        <f t="shared" ca="1" si="133"/>
        <v>50.889476898834147</v>
      </c>
      <c r="P320" s="310">
        <f t="shared" ca="1" si="134"/>
        <v>23</v>
      </c>
      <c r="Q320" s="304">
        <f t="shared" ca="1" si="135"/>
        <v>0</v>
      </c>
      <c r="R320" s="306">
        <f t="shared" ca="1" si="136"/>
        <v>0</v>
      </c>
      <c r="S320" s="307">
        <f t="shared" ca="1" si="137"/>
        <v>7.150000000000003</v>
      </c>
      <c r="T320" s="304">
        <f t="shared" ca="1" si="117"/>
        <v>70.141500000000036</v>
      </c>
      <c r="U320" s="311">
        <f t="shared" ca="1" si="118"/>
        <v>0</v>
      </c>
      <c r="V320" s="306">
        <f t="shared" ca="1" si="119"/>
        <v>1.0520837182274776</v>
      </c>
      <c r="W320" s="304">
        <f t="shared" ca="1" si="120"/>
        <v>4.5418349125736315</v>
      </c>
      <c r="Y320" s="314" t="str">
        <f t="shared" ca="1" si="138"/>
        <v/>
      </c>
      <c r="Z320" s="315" t="str">
        <f t="shared" ca="1" si="139"/>
        <v/>
      </c>
      <c r="AA320" s="316" t="str">
        <f t="shared" ca="1" si="140"/>
        <v/>
      </c>
      <c r="AC320" s="310" t="e">
        <f t="shared" ca="1" si="141"/>
        <v>#N/A</v>
      </c>
      <c r="AD320" s="323" t="e">
        <f t="shared" ca="1" si="142"/>
        <v>#N/A</v>
      </c>
      <c r="AE320" s="324">
        <f t="shared" ca="1" si="121"/>
        <v>1518.7520809039358</v>
      </c>
      <c r="AG320" s="306">
        <f t="shared" ca="1" si="143"/>
        <v>-8.3651405874218714</v>
      </c>
      <c r="AH320" s="304">
        <f t="shared" ca="1" si="144"/>
        <v>-0.66169002566328061</v>
      </c>
    </row>
    <row r="321" spans="1:34" x14ac:dyDescent="0.2">
      <c r="A321" s="347">
        <f t="shared" ca="1" si="122"/>
        <v>0.1</v>
      </c>
      <c r="B321" s="304">
        <f t="shared" ca="1" si="123"/>
        <v>13.699999999999969</v>
      </c>
      <c r="D321" s="306">
        <f t="shared" ca="1" si="124"/>
        <v>-0.40070946907400995</v>
      </c>
      <c r="E321" s="307">
        <f t="shared" ca="1" si="125"/>
        <v>-10.302887904568507</v>
      </c>
      <c r="F321" s="304">
        <f t="shared" ca="1" si="126"/>
        <v>10.310677342091044</v>
      </c>
      <c r="G321" s="306">
        <f t="shared" ca="1" si="127"/>
        <v>25.615406909321369</v>
      </c>
      <c r="H321" s="307">
        <f t="shared" ca="1" si="128"/>
        <v>30.526925843083028</v>
      </c>
      <c r="I321" s="304">
        <f t="shared" ca="1" si="129"/>
        <v>39.8502480865452</v>
      </c>
      <c r="J321" s="306">
        <f t="shared" ca="1" si="130"/>
        <v>422.71387048900817</v>
      </c>
      <c r="K321" s="307">
        <f t="shared" ca="1" si="131"/>
        <v>1521.856287927767</v>
      </c>
      <c r="L321" s="304">
        <f t="shared" ca="1" si="116"/>
        <v>1579.4725630440944</v>
      </c>
      <c r="M321" s="306">
        <f t="shared" ca="1" si="132"/>
        <v>0.87265934554412794</v>
      </c>
      <c r="N321" s="304">
        <f t="shared" ca="1" si="133"/>
        <v>49.999697452327077</v>
      </c>
      <c r="P321" s="310">
        <f t="shared" ca="1" si="134"/>
        <v>23</v>
      </c>
      <c r="Q321" s="304">
        <f t="shared" ca="1" si="135"/>
        <v>0</v>
      </c>
      <c r="R321" s="306">
        <f t="shared" ca="1" si="136"/>
        <v>0</v>
      </c>
      <c r="S321" s="307">
        <f t="shared" ca="1" si="137"/>
        <v>7.150000000000003</v>
      </c>
      <c r="T321" s="304">
        <f t="shared" ca="1" si="117"/>
        <v>70.141500000000036</v>
      </c>
      <c r="U321" s="311">
        <f t="shared" ca="1" si="118"/>
        <v>0</v>
      </c>
      <c r="V321" s="306">
        <f t="shared" ca="1" si="119"/>
        <v>1.0517552828370815</v>
      </c>
      <c r="W321" s="304">
        <f t="shared" ca="1" si="120"/>
        <v>4.3591939759129339</v>
      </c>
      <c r="Y321" s="314" t="str">
        <f t="shared" ca="1" si="138"/>
        <v/>
      </c>
      <c r="Z321" s="315" t="str">
        <f t="shared" ca="1" si="139"/>
        <v/>
      </c>
      <c r="AA321" s="316" t="str">
        <f t="shared" ca="1" si="140"/>
        <v/>
      </c>
      <c r="AC321" s="310" t="e">
        <f t="shared" ca="1" si="141"/>
        <v>#N/A</v>
      </c>
      <c r="AD321" s="323" t="e">
        <f t="shared" ca="1" si="142"/>
        <v>#N/A</v>
      </c>
      <c r="AE321" s="324">
        <f t="shared" ca="1" si="121"/>
        <v>1521.856287927767</v>
      </c>
      <c r="AG321" s="306">
        <f t="shared" ca="1" si="143"/>
        <v>-8.2471004824252567</v>
      </c>
      <c r="AH321" s="304">
        <f t="shared" ca="1" si="144"/>
        <v>-0.63522166609421393</v>
      </c>
    </row>
    <row r="322" spans="1:34" x14ac:dyDescent="0.2">
      <c r="A322" s="347">
        <f t="shared" ca="1" si="122"/>
        <v>0.1</v>
      </c>
      <c r="B322" s="304">
        <f t="shared" ca="1" si="123"/>
        <v>13.799999999999969</v>
      </c>
      <c r="D322" s="306">
        <f t="shared" ca="1" si="124"/>
        <v>-0.39189559567924354</v>
      </c>
      <c r="E322" s="307">
        <f t="shared" ca="1" si="125"/>
        <v>-10.277037975616842</v>
      </c>
      <c r="F322" s="304">
        <f t="shared" ca="1" si="126"/>
        <v>10.284507363514479</v>
      </c>
      <c r="G322" s="306">
        <f t="shared" ca="1" si="127"/>
        <v>25.576217349753446</v>
      </c>
      <c r="H322" s="307">
        <f t="shared" ca="1" si="128"/>
        <v>29.499222045521343</v>
      </c>
      <c r="I322" s="304">
        <f t="shared" ca="1" si="129"/>
        <v>39.042886614757386</v>
      </c>
      <c r="J322" s="306">
        <f t="shared" ca="1" si="130"/>
        <v>425.2734517019619</v>
      </c>
      <c r="K322" s="307">
        <f t="shared" ca="1" si="131"/>
        <v>1524.8575953221971</v>
      </c>
      <c r="L322" s="304">
        <f t="shared" ca="1" si="116"/>
        <v>1583.050281808602</v>
      </c>
      <c r="M322" s="306">
        <f t="shared" ca="1" si="132"/>
        <v>0.8565077213728729</v>
      </c>
      <c r="N322" s="304">
        <f t="shared" ca="1" si="133"/>
        <v>49.074277555032673</v>
      </c>
      <c r="P322" s="310">
        <f t="shared" ca="1" si="134"/>
        <v>23</v>
      </c>
      <c r="Q322" s="304">
        <f t="shared" ca="1" si="135"/>
        <v>0</v>
      </c>
      <c r="R322" s="306">
        <f t="shared" ca="1" si="136"/>
        <v>0</v>
      </c>
      <c r="S322" s="307">
        <f t="shared" ca="1" si="137"/>
        <v>7.150000000000003</v>
      </c>
      <c r="T322" s="304">
        <f t="shared" ca="1" si="117"/>
        <v>70.141500000000036</v>
      </c>
      <c r="U322" s="311">
        <f t="shared" ca="1" si="118"/>
        <v>0</v>
      </c>
      <c r="V322" s="306">
        <f t="shared" ca="1" si="119"/>
        <v>1.0514378246408811</v>
      </c>
      <c r="W322" s="304">
        <f t="shared" ca="1" si="120"/>
        <v>4.1830867304027723</v>
      </c>
      <c r="Y322" s="314" t="str">
        <f t="shared" ca="1" si="138"/>
        <v/>
      </c>
      <c r="Z322" s="315" t="str">
        <f t="shared" ca="1" si="139"/>
        <v/>
      </c>
      <c r="AA322" s="316" t="str">
        <f t="shared" ca="1" si="140"/>
        <v/>
      </c>
      <c r="AC322" s="310" t="e">
        <f t="shared" ca="1" si="141"/>
        <v>#N/A</v>
      </c>
      <c r="AD322" s="323" t="e">
        <f t="shared" ca="1" si="142"/>
        <v>#N/A</v>
      </c>
      <c r="AE322" s="324">
        <f t="shared" ca="1" si="121"/>
        <v>1524.8575953221971</v>
      </c>
      <c r="AG322" s="306">
        <f t="shared" ca="1" si="143"/>
        <v>-8.1245401688430707</v>
      </c>
      <c r="AH322" s="304">
        <f t="shared" ca="1" si="144"/>
        <v>-0.60967747914866177</v>
      </c>
    </row>
    <row r="323" spans="1:34" x14ac:dyDescent="0.2">
      <c r="A323" s="347">
        <f t="shared" ca="1" si="122"/>
        <v>0.1</v>
      </c>
      <c r="B323" s="304">
        <f t="shared" ca="1" si="123"/>
        <v>13.899999999999968</v>
      </c>
      <c r="D323" s="306">
        <f t="shared" ca="1" si="124"/>
        <v>-0.3832526988419348</v>
      </c>
      <c r="E323" s="307">
        <f t="shared" ca="1" si="125"/>
        <v>-10.252037863069402</v>
      </c>
      <c r="F323" s="304">
        <f t="shared" ca="1" si="126"/>
        <v>10.259198944214809</v>
      </c>
      <c r="G323" s="306">
        <f t="shared" ca="1" si="127"/>
        <v>25.537892079869252</v>
      </c>
      <c r="H323" s="307">
        <f t="shared" ca="1" si="128"/>
        <v>28.474018259214404</v>
      </c>
      <c r="I323" s="304">
        <f t="shared" ca="1" si="129"/>
        <v>38.248577067769773</v>
      </c>
      <c r="J323" s="306">
        <f t="shared" ca="1" si="130"/>
        <v>427.82915717344304</v>
      </c>
      <c r="K323" s="307">
        <f t="shared" ca="1" si="131"/>
        <v>1527.7562573374339</v>
      </c>
      <c r="L323" s="304">
        <f t="shared" ca="1" si="116"/>
        <v>1586.5298514561339</v>
      </c>
      <c r="M323" s="306">
        <f t="shared" ca="1" si="132"/>
        <v>0.83970542837126549</v>
      </c>
      <c r="N323" s="304">
        <f t="shared" ca="1" si="133"/>
        <v>48.111577079898368</v>
      </c>
      <c r="P323" s="310">
        <f t="shared" ca="1" si="134"/>
        <v>23</v>
      </c>
      <c r="Q323" s="304">
        <f t="shared" ca="1" si="135"/>
        <v>0</v>
      </c>
      <c r="R323" s="306">
        <f t="shared" ca="1" si="136"/>
        <v>0</v>
      </c>
      <c r="S323" s="307">
        <f t="shared" ca="1" si="137"/>
        <v>7.150000000000003</v>
      </c>
      <c r="T323" s="304">
        <f t="shared" ca="1" si="117"/>
        <v>70.141500000000036</v>
      </c>
      <c r="U323" s="311">
        <f t="shared" ca="1" si="118"/>
        <v>0</v>
      </c>
      <c r="V323" s="306">
        <f t="shared" ca="1" si="119"/>
        <v>1.0511313076135855</v>
      </c>
      <c r="W323" s="304">
        <f t="shared" ca="1" si="120"/>
        <v>4.0134418182845062</v>
      </c>
      <c r="Y323" s="314" t="str">
        <f t="shared" ca="1" si="138"/>
        <v/>
      </c>
      <c r="Z323" s="315" t="str">
        <f t="shared" ca="1" si="139"/>
        <v/>
      </c>
      <c r="AA323" s="316" t="str">
        <f t="shared" ca="1" si="140"/>
        <v/>
      </c>
      <c r="AC323" s="310" t="e">
        <f t="shared" ca="1" si="141"/>
        <v>#N/A</v>
      </c>
      <c r="AD323" s="323" t="e">
        <f t="shared" ca="1" si="142"/>
        <v>#N/A</v>
      </c>
      <c r="AE323" s="324">
        <f t="shared" ca="1" si="121"/>
        <v>1527.7562573374339</v>
      </c>
      <c r="AG323" s="306">
        <f t="shared" ca="1" si="143"/>
        <v>-7.9970853269138473</v>
      </c>
      <c r="AH323" s="304">
        <f t="shared" ca="1" si="144"/>
        <v>-0.58504709516122666</v>
      </c>
    </row>
    <row r="324" spans="1:34" x14ac:dyDescent="0.2">
      <c r="A324" s="347">
        <f t="shared" ca="1" si="122"/>
        <v>0.1</v>
      </c>
      <c r="B324" s="304">
        <f t="shared" ca="1" si="123"/>
        <v>13.999999999999968</v>
      </c>
      <c r="D324" s="306">
        <f t="shared" ca="1" si="124"/>
        <v>-0.37478369965937747</v>
      </c>
      <c r="E324" s="307">
        <f t="shared" ca="1" si="125"/>
        <v>-10.227873091247384</v>
      </c>
      <c r="F324" s="304">
        <f t="shared" ca="1" si="126"/>
        <v>10.234737455948379</v>
      </c>
      <c r="G324" s="306">
        <f t="shared" ca="1" si="127"/>
        <v>25.500413709903313</v>
      </c>
      <c r="H324" s="307">
        <f t="shared" ca="1" si="128"/>
        <v>27.451230950089666</v>
      </c>
      <c r="I324" s="304">
        <f t="shared" ca="1" si="129"/>
        <v>37.467868635023606</v>
      </c>
      <c r="J324" s="306">
        <f t="shared" ca="1" si="130"/>
        <v>430.38107246293168</v>
      </c>
      <c r="K324" s="307">
        <f t="shared" ca="1" si="131"/>
        <v>1530.5525197978991</v>
      </c>
      <c r="L324" s="304">
        <f t="shared" ref="L324:L387" ca="1" si="145">SQRT(pos_x^2+pos_z^2)</f>
        <v>1589.9115960939594</v>
      </c>
      <c r="M324" s="306">
        <f t="shared" ca="1" si="132"/>
        <v>0.82222299403806487</v>
      </c>
      <c r="N324" s="304">
        <f t="shared" ca="1" si="133"/>
        <v>47.109907376991366</v>
      </c>
      <c r="P324" s="310">
        <f t="shared" ca="1" si="134"/>
        <v>23</v>
      </c>
      <c r="Q324" s="304">
        <f t="shared" ca="1" si="135"/>
        <v>0</v>
      </c>
      <c r="R324" s="306">
        <f t="shared" ca="1" si="136"/>
        <v>0</v>
      </c>
      <c r="S324" s="307">
        <f t="shared" ca="1" si="137"/>
        <v>7.150000000000003</v>
      </c>
      <c r="T324" s="304">
        <f t="shared" ref="T324:T387" ca="1" si="146">m*g</f>
        <v>70.141500000000036</v>
      </c>
      <c r="U324" s="311">
        <f t="shared" ref="U324:U387" ca="1" si="147">IF(pos_xz&lt;L_rampe,Poids*COS(Beta),0)</f>
        <v>0</v>
      </c>
      <c r="V324" s="306">
        <f t="shared" ref="V324:V387" ca="1" si="148">Rho_moyen*(20000-Alt_rampe-pos_z)/(20000+Alt_rampe+pos_z)</f>
        <v>1.0508356969679822</v>
      </c>
      <c r="W324" s="304">
        <f t="shared" ref="W324:W387" ca="1" si="149">1/2*Rho*Sref*Cx*vit_xz^2</f>
        <v>3.8501905961903398</v>
      </c>
      <c r="Y324" s="314" t="str">
        <f t="shared" ca="1" si="138"/>
        <v/>
      </c>
      <c r="Z324" s="315" t="str">
        <f t="shared" ca="1" si="139"/>
        <v/>
      </c>
      <c r="AA324" s="316" t="str">
        <f t="shared" ca="1" si="140"/>
        <v/>
      </c>
      <c r="AC324" s="310">
        <f t="shared" ca="1" si="141"/>
        <v>13.999999999999968</v>
      </c>
      <c r="AD324" s="323">
        <f t="shared" ca="1" si="142"/>
        <v>430.38107246293168</v>
      </c>
      <c r="AE324" s="324">
        <f t="shared" ref="AE324:AE387" ca="1" si="150">IF(t&lt;T_para, pos_z, NA())</f>
        <v>1530.5525197978991</v>
      </c>
      <c r="AG324" s="306">
        <f t="shared" ca="1" si="143"/>
        <v>-7.8643404248826423</v>
      </c>
      <c r="AH324" s="304">
        <f t="shared" ca="1" si="144"/>
        <v>-0.56132053402580484</v>
      </c>
    </row>
    <row r="325" spans="1:34" x14ac:dyDescent="0.2">
      <c r="A325" s="347">
        <f t="shared" ref="A325:A388" ca="1" si="151">IF(B324+0.01&lt;=T_ini+ROUNDUP(Temps_fin_propu,0), 0.01, IF(K324&gt;0, 0.1, 0.0001))</f>
        <v>0.1</v>
      </c>
      <c r="B325" s="304">
        <f t="shared" ref="B325:B388" ca="1" si="152">B324+pas</f>
        <v>14.099999999999968</v>
      </c>
      <c r="D325" s="306">
        <f t="shared" ref="D325:D388" ca="1" si="153">IF(AND(L324&lt;L_rampe,Poussee&lt;Poids*SIN(M324)),0,(-W324+Poussee)/m*COS(M324)-U324/m*SIN(M324))</f>
        <v>-0.36649193716034917</v>
      </c>
      <c r="E325" s="307">
        <f t="shared" ref="E325:E388" ca="1" si="154">IF(AND(L324&lt;L_rampe,Poussee&lt;Poids*SIN(M324)),0,(-W324+Poussee)/m*SIN(M324)+U324/m*COS(M324)-Poids/m)</f>
        <v>-10.204529081872399</v>
      </c>
      <c r="F325" s="304">
        <f t="shared" ref="F325:F388" ca="1" si="155">SQRT(acc_x^2+acc_z^2)</f>
        <v>10.211108173101639</v>
      </c>
      <c r="G325" s="306">
        <f t="shared" ref="G325:G388" ca="1" si="156">G324+acc_x*pas</f>
        <v>25.463764516187279</v>
      </c>
      <c r="H325" s="307">
        <f t="shared" ref="H325:H388" ca="1" si="157">H324+acc_z*pas</f>
        <v>26.430778041902425</v>
      </c>
      <c r="I325" s="304">
        <f t="shared" ref="I325:I388" ca="1" si="158">SQRT(vit_x^2+vit_z^2)</f>
        <v>36.701353261646219</v>
      </c>
      <c r="J325" s="306">
        <f t="shared" ref="J325:J388" ca="1" si="159">J324+0.5*(vit_x+G324)*pas*(K324&gt;=0)</f>
        <v>432.92928137423621</v>
      </c>
      <c r="K325" s="307">
        <f t="shared" ref="K325:K388" ca="1" si="160">K324+0.5*(vit_z+H324)*pas</f>
        <v>1533.2466202474986</v>
      </c>
      <c r="L325" s="304">
        <f t="shared" ca="1" si="145"/>
        <v>1593.1958326494548</v>
      </c>
      <c r="M325" s="306">
        <f t="shared" ref="M325:M388" ca="1" si="161">IF(AND(L324&gt;L_rampe,G325&gt;0),ATAN2(G325,H325),$M$4)</f>
        <v>0.80403021167925337</v>
      </c>
      <c r="N325" s="304">
        <f t="shared" ref="N325:N388" ca="1" si="162">DEGREES(Beta)</f>
        <v>46.067537730231408</v>
      </c>
      <c r="P325" s="310">
        <f t="shared" ref="P325:P388" ca="1" si="163">MATCH(t-pas/2-T_ini,CdP_t)</f>
        <v>23</v>
      </c>
      <c r="Q325" s="304">
        <f t="shared" ref="Q325:Q388" ca="1" si="164">(INDEX(CdP,2,i_P+1)-INDEX(CdP,2,i_P+0))/(INDEX(CdP,1,i_P+1)-INDEX(CdP,1,i_P+0))*(t-pas/2-T_ini-INDEX(CdP,1,i_P+0))+INDEX(CdP,2,i_P+0)</f>
        <v>0</v>
      </c>
      <c r="R325" s="306">
        <f t="shared" ref="R325:R388" ca="1" si="165">Poussee/(g*ISP)</f>
        <v>0</v>
      </c>
      <c r="S325" s="307">
        <f t="shared" ref="S325:S388" ca="1" si="166">S324-Débit*pas</f>
        <v>7.150000000000003</v>
      </c>
      <c r="T325" s="304">
        <f t="shared" ca="1" si="146"/>
        <v>70.141500000000036</v>
      </c>
      <c r="U325" s="311">
        <f t="shared" ca="1" si="147"/>
        <v>0</v>
      </c>
      <c r="V325" s="306">
        <f t="shared" ca="1" si="148"/>
        <v>1.0505509591352467</v>
      </c>
      <c r="W325" s="304">
        <f t="shared" ca="1" si="149"/>
        <v>3.693267065948485</v>
      </c>
      <c r="Y325" s="314" t="str">
        <f t="shared" ref="Y325:Y388" ca="1" si="167">IF(AND(pos_z&lt;=0,K324&gt;0),"Impact balistique","") &amp; IF(AND(H326&lt;0,vit_z&gt;=0),"Apogée","") &amp; IF(AND(Poussee=0,Q324&gt;0),"Fin de propulsion","") &amp; IF(AND(L326&gt;L_rampe,pos_xz&lt;=L_rampe),"Sortie de rampe","")</f>
        <v/>
      </c>
      <c r="Z325" s="315" t="str">
        <f t="shared" ref="Z325:Z388" ca="1" si="168">IF(ABS(t-T_para)&lt;pas/2,"Para","")</f>
        <v/>
      </c>
      <c r="AA325" s="316" t="str">
        <f t="shared" ref="AA325:AA388" ca="1" si="169">IF(ABS(t-T_satellite)&lt;pas/2,"Satellite","")</f>
        <v/>
      </c>
      <c r="AC325" s="310" t="e">
        <f t="shared" ref="AC325:AC388" ca="1" si="170">IF(ABS(t-ROUND(t,0))&lt;0.001,t,NA())</f>
        <v>#N/A</v>
      </c>
      <c r="AD325" s="323" t="e">
        <f t="shared" ref="AD325:AD388" ca="1" si="171">IF(ABS(t-ROUND(t,0))&lt;0.001,pos_x,NA())</f>
        <v>#N/A</v>
      </c>
      <c r="AE325" s="324">
        <f t="shared" ca="1" si="150"/>
        <v>1533.2466202474986</v>
      </c>
      <c r="AG325" s="306">
        <f t="shared" ref="AG325:AG388" ca="1" si="172">IF(AND(L324&lt;L_rampe,Poussee&lt;Poids*SIN(M324)),0,(-W324+Poussee)/m-Poids*SIN(M324)/m)</f>
        <v>-7.7258886381311287</v>
      </c>
      <c r="AH325" s="304">
        <f t="shared" ref="AH325:AH388" ca="1" si="173">IF(AND(L324&lt;L_rampe,Poussee&lt;Poids*SIN(M324)), g*SIN(M324), (-W324+Poussee)/m)</f>
        <v>-0.53848819527137592</v>
      </c>
    </row>
    <row r="326" spans="1:34" x14ac:dyDescent="0.2">
      <c r="A326" s="347">
        <f t="shared" ca="1" si="151"/>
        <v>0.1</v>
      </c>
      <c r="B326" s="304">
        <f t="shared" ca="1" si="152"/>
        <v>14.199999999999967</v>
      </c>
      <c r="D326" s="306">
        <f t="shared" ca="1" si="153"/>
        <v>-0.35838118645061828</v>
      </c>
      <c r="E326" s="307">
        <f t="shared" ca="1" si="154"/>
        <v>-10.181991092968538</v>
      </c>
      <c r="F326" s="304">
        <f t="shared" ca="1" si="155"/>
        <v>10.188296211442442</v>
      </c>
      <c r="G326" s="306">
        <f t="shared" ca="1" si="156"/>
        <v>25.427926397542215</v>
      </c>
      <c r="H326" s="307">
        <f t="shared" ca="1" si="157"/>
        <v>25.41257893260557</v>
      </c>
      <c r="I326" s="304">
        <f t="shared" ca="1" si="158"/>
        <v>35.949667715915439</v>
      </c>
      <c r="J326" s="306">
        <f t="shared" ca="1" si="159"/>
        <v>435.47386591992267</v>
      </c>
      <c r="K326" s="307">
        <f t="shared" ca="1" si="160"/>
        <v>1535.8387880962241</v>
      </c>
      <c r="L326" s="304">
        <f t="shared" ca="1" si="145"/>
        <v>1596.3828710306689</v>
      </c>
      <c r="M326" s="306">
        <f t="shared" ca="1" si="161"/>
        <v>0.78509628865464653</v>
      </c>
      <c r="N326" s="304">
        <f t="shared" ca="1" si="162"/>
        <v>44.982703851295859</v>
      </c>
      <c r="P326" s="310">
        <f t="shared" ca="1" si="163"/>
        <v>23</v>
      </c>
      <c r="Q326" s="304">
        <f t="shared" ca="1" si="164"/>
        <v>0</v>
      </c>
      <c r="R326" s="306">
        <f t="shared" ca="1" si="165"/>
        <v>0</v>
      </c>
      <c r="S326" s="307">
        <f t="shared" ca="1" si="166"/>
        <v>7.150000000000003</v>
      </c>
      <c r="T326" s="304">
        <f t="shared" ca="1" si="146"/>
        <v>70.141500000000036</v>
      </c>
      <c r="U326" s="311">
        <f t="shared" ca="1" si="147"/>
        <v>0</v>
      </c>
      <c r="V326" s="306">
        <f t="shared" ca="1" si="148"/>
        <v>1.0502770617452981</v>
      </c>
      <c r="W326" s="304">
        <f t="shared" ca="1" si="149"/>
        <v>3.5426078069514562</v>
      </c>
      <c r="Y326" s="314" t="str">
        <f t="shared" ca="1" si="167"/>
        <v/>
      </c>
      <c r="Z326" s="315" t="str">
        <f t="shared" ca="1" si="168"/>
        <v/>
      </c>
      <c r="AA326" s="316" t="str">
        <f t="shared" ca="1" si="169"/>
        <v/>
      </c>
      <c r="AC326" s="310" t="e">
        <f t="shared" ca="1" si="170"/>
        <v>#N/A</v>
      </c>
      <c r="AD326" s="323" t="e">
        <f t="shared" ca="1" si="171"/>
        <v>#N/A</v>
      </c>
      <c r="AE326" s="324">
        <f t="shared" ca="1" si="150"/>
        <v>1535.8387880962241</v>
      </c>
      <c r="AG326" s="306">
        <f t="shared" ca="1" si="172"/>
        <v>-7.5812921326925693</v>
      </c>
      <c r="AH326" s="304">
        <f t="shared" ca="1" si="173"/>
        <v>-0.51654084838440328</v>
      </c>
    </row>
    <row r="327" spans="1:34" x14ac:dyDescent="0.2">
      <c r="A327" s="347">
        <f t="shared" ca="1" si="151"/>
        <v>0.1</v>
      </c>
      <c r="B327" s="304">
        <f t="shared" ca="1" si="152"/>
        <v>14.299999999999967</v>
      </c>
      <c r="D327" s="306">
        <f t="shared" ca="1" si="153"/>
        <v>-0.3504556763727858</v>
      </c>
      <c r="E327" s="307">
        <f t="shared" ca="1" si="154"/>
        <v>-10.160244152785653</v>
      </c>
      <c r="F327" s="304">
        <f t="shared" ca="1" si="155"/>
        <v>10.166286461895364</v>
      </c>
      <c r="G327" s="306">
        <f t="shared" ca="1" si="156"/>
        <v>25.392880829904936</v>
      </c>
      <c r="H327" s="307">
        <f t="shared" ca="1" si="157"/>
        <v>24.396554517327004</v>
      </c>
      <c r="I327" s="304">
        <f t="shared" ca="1" si="158"/>
        <v>35.213495554384572</v>
      </c>
      <c r="J327" s="306">
        <f t="shared" ca="1" si="159"/>
        <v>438.01490628129505</v>
      </c>
      <c r="K327" s="307">
        <f t="shared" ca="1" si="160"/>
        <v>1538.3292447687206</v>
      </c>
      <c r="L327" s="304">
        <f t="shared" ca="1" si="145"/>
        <v>1599.4730142879291</v>
      </c>
      <c r="M327" s="306">
        <f t="shared" ca="1" si="161"/>
        <v>0.76539003615947665</v>
      </c>
      <c r="N327" s="304">
        <f t="shared" ca="1" si="162"/>
        <v>43.853618753303479</v>
      </c>
      <c r="P327" s="310">
        <f t="shared" ca="1" si="163"/>
        <v>23</v>
      </c>
      <c r="Q327" s="304">
        <f t="shared" ca="1" si="164"/>
        <v>0</v>
      </c>
      <c r="R327" s="306">
        <f t="shared" ca="1" si="165"/>
        <v>0</v>
      </c>
      <c r="S327" s="307">
        <f t="shared" ca="1" si="166"/>
        <v>7.150000000000003</v>
      </c>
      <c r="T327" s="304">
        <f t="shared" ca="1" si="146"/>
        <v>70.141500000000036</v>
      </c>
      <c r="U327" s="311">
        <f t="shared" ca="1" si="147"/>
        <v>0</v>
      </c>
      <c r="V327" s="306">
        <f t="shared" ca="1" si="148"/>
        <v>1.0500139736071328</v>
      </c>
      <c r="W327" s="304">
        <f t="shared" ca="1" si="149"/>
        <v>3.3981519098806108</v>
      </c>
      <c r="Y327" s="314" t="str">
        <f t="shared" ca="1" si="167"/>
        <v/>
      </c>
      <c r="Z327" s="315" t="str">
        <f t="shared" ca="1" si="168"/>
        <v/>
      </c>
      <c r="AA327" s="316" t="str">
        <f t="shared" ca="1" si="169"/>
        <v/>
      </c>
      <c r="AC327" s="310" t="e">
        <f t="shared" ca="1" si="170"/>
        <v>#N/A</v>
      </c>
      <c r="AD327" s="323" t="e">
        <f t="shared" ca="1" si="171"/>
        <v>#N/A</v>
      </c>
      <c r="AE327" s="324">
        <f t="shared" ca="1" si="150"/>
        <v>1538.3292447687206</v>
      </c>
      <c r="AG327" s="306">
        <f t="shared" ca="1" si="172"/>
        <v>-7.430092810937567</v>
      </c>
      <c r="AH327" s="304">
        <f t="shared" ca="1" si="173"/>
        <v>-0.49546962334985378</v>
      </c>
    </row>
    <row r="328" spans="1:34" x14ac:dyDescent="0.2">
      <c r="A328" s="347">
        <f t="shared" ca="1" si="151"/>
        <v>0.1</v>
      </c>
      <c r="B328" s="304">
        <f t="shared" ca="1" si="152"/>
        <v>14.399999999999967</v>
      </c>
      <c r="D328" s="306">
        <f t="shared" ca="1" si="153"/>
        <v>-0.34272010618648807</v>
      </c>
      <c r="E328" s="307">
        <f t="shared" ca="1" si="154"/>
        <v>-10.13927298839271</v>
      </c>
      <c r="F328" s="304">
        <f t="shared" ca="1" si="155"/>
        <v>10.145063518989643</v>
      </c>
      <c r="G328" s="306">
        <f t="shared" ca="1" si="156"/>
        <v>25.358608819286285</v>
      </c>
      <c r="H328" s="307">
        <f t="shared" ca="1" si="157"/>
        <v>23.382627218487734</v>
      </c>
      <c r="I328" s="304">
        <f t="shared" ca="1" si="158"/>
        <v>34.49356892071836</v>
      </c>
      <c r="J328" s="306">
        <f t="shared" ca="1" si="159"/>
        <v>440.5524807637546</v>
      </c>
      <c r="K328" s="307">
        <f t="shared" ca="1" si="160"/>
        <v>1540.7182038555113</v>
      </c>
      <c r="L328" s="304">
        <f t="shared" ca="1" si="145"/>
        <v>1602.4665587770783</v>
      </c>
      <c r="M328" s="306">
        <f t="shared" ca="1" si="161"/>
        <v>0.74488010699425777</v>
      </c>
      <c r="N328" s="304">
        <f t="shared" ca="1" si="162"/>
        <v>42.67848637402416</v>
      </c>
      <c r="P328" s="310">
        <f t="shared" ca="1" si="163"/>
        <v>23</v>
      </c>
      <c r="Q328" s="304">
        <f t="shared" ca="1" si="164"/>
        <v>0</v>
      </c>
      <c r="R328" s="306">
        <f t="shared" ca="1" si="165"/>
        <v>0</v>
      </c>
      <c r="S328" s="307">
        <f t="shared" ca="1" si="166"/>
        <v>7.150000000000003</v>
      </c>
      <c r="T328" s="304">
        <f t="shared" ca="1" si="146"/>
        <v>70.141500000000036</v>
      </c>
      <c r="U328" s="311">
        <f t="shared" ca="1" si="147"/>
        <v>0</v>
      </c>
      <c r="V328" s="306">
        <f t="shared" ca="1" si="148"/>
        <v>1.0497616646890462</v>
      </c>
      <c r="W328" s="304">
        <f t="shared" ca="1" si="149"/>
        <v>3.2598409115724389</v>
      </c>
      <c r="Y328" s="314" t="str">
        <f t="shared" ca="1" si="167"/>
        <v/>
      </c>
      <c r="Z328" s="315" t="str">
        <f t="shared" ca="1" si="168"/>
        <v/>
      </c>
      <c r="AA328" s="316" t="str">
        <f t="shared" ca="1" si="169"/>
        <v/>
      </c>
      <c r="AC328" s="310" t="e">
        <f t="shared" ca="1" si="170"/>
        <v>#N/A</v>
      </c>
      <c r="AD328" s="323" t="e">
        <f t="shared" ca="1" si="171"/>
        <v>#N/A</v>
      </c>
      <c r="AE328" s="324">
        <f t="shared" ca="1" si="150"/>
        <v>1540.7182038555113</v>
      </c>
      <c r="AG328" s="306">
        <f t="shared" ca="1" si="172"/>
        <v>-7.2718136331087946</v>
      </c>
      <c r="AH328" s="304">
        <f t="shared" ca="1" si="173"/>
        <v>-0.47526600138190339</v>
      </c>
    </row>
    <row r="329" spans="1:34" x14ac:dyDescent="0.2">
      <c r="A329" s="347">
        <f t="shared" ca="1" si="151"/>
        <v>0.1</v>
      </c>
      <c r="B329" s="304">
        <f t="shared" ca="1" si="152"/>
        <v>14.499999999999966</v>
      </c>
      <c r="D329" s="306">
        <f t="shared" ca="1" si="153"/>
        <v>-0.33517966066085286</v>
      </c>
      <c r="E329" s="307">
        <f t="shared" ca="1" si="154"/>
        <v>-10.119061948638574</v>
      </c>
      <c r="F329" s="304">
        <f t="shared" ca="1" si="155"/>
        <v>10.124611603676748</v>
      </c>
      <c r="G329" s="306">
        <f t="shared" ca="1" si="156"/>
        <v>25.3250908532202</v>
      </c>
      <c r="H329" s="307">
        <f t="shared" ca="1" si="157"/>
        <v>22.370721023623876</v>
      </c>
      <c r="I329" s="304">
        <f t="shared" ca="1" si="158"/>
        <v>33.790670100497628</v>
      </c>
      <c r="J329" s="306">
        <f t="shared" ca="1" si="159"/>
        <v>443.08666574737993</v>
      </c>
      <c r="K329" s="307">
        <f t="shared" ca="1" si="160"/>
        <v>1543.0058712676168</v>
      </c>
      <c r="L329" s="304">
        <f t="shared" ca="1" si="145"/>
        <v>1605.363794324971</v>
      </c>
      <c r="M329" s="306">
        <f t="shared" ca="1" si="161"/>
        <v>0.72353528811826417</v>
      </c>
      <c r="N329" s="304">
        <f t="shared" ca="1" si="162"/>
        <v>41.455518337958559</v>
      </c>
      <c r="P329" s="310">
        <f t="shared" ca="1" si="163"/>
        <v>23</v>
      </c>
      <c r="Q329" s="304">
        <f t="shared" ca="1" si="164"/>
        <v>0</v>
      </c>
      <c r="R329" s="306">
        <f t="shared" ca="1" si="165"/>
        <v>0</v>
      </c>
      <c r="S329" s="307">
        <f t="shared" ca="1" si="166"/>
        <v>7.150000000000003</v>
      </c>
      <c r="T329" s="304">
        <f t="shared" ca="1" si="146"/>
        <v>70.141500000000036</v>
      </c>
      <c r="U329" s="311">
        <f t="shared" ca="1" si="147"/>
        <v>0</v>
      </c>
      <c r="V329" s="306">
        <f t="shared" ca="1" si="148"/>
        <v>1.0495201060986752</v>
      </c>
      <c r="W329" s="304">
        <f t="shared" ca="1" si="149"/>
        <v>3.1276187308035657</v>
      </c>
      <c r="Y329" s="314" t="str">
        <f t="shared" ca="1" si="167"/>
        <v/>
      </c>
      <c r="Z329" s="315" t="str">
        <f t="shared" ca="1" si="168"/>
        <v/>
      </c>
      <c r="AA329" s="316" t="str">
        <f t="shared" ca="1" si="169"/>
        <v/>
      </c>
      <c r="AC329" s="310" t="e">
        <f t="shared" ca="1" si="170"/>
        <v>#N/A</v>
      </c>
      <c r="AD329" s="323" t="e">
        <f t="shared" ca="1" si="171"/>
        <v>#N/A</v>
      </c>
      <c r="AE329" s="324">
        <f t="shared" ca="1" si="150"/>
        <v>1543.0058712676168</v>
      </c>
      <c r="AG329" s="306">
        <f t="shared" ca="1" si="172"/>
        <v>-7.105960644665438</v>
      </c>
      <c r="AH329" s="304">
        <f t="shared" ca="1" si="173"/>
        <v>-0.45592180581432695</v>
      </c>
    </row>
    <row r="330" spans="1:34" x14ac:dyDescent="0.2">
      <c r="A330" s="347">
        <f t="shared" ca="1" si="151"/>
        <v>0.1</v>
      </c>
      <c r="B330" s="304">
        <f t="shared" ca="1" si="152"/>
        <v>14.599999999999966</v>
      </c>
      <c r="D330" s="306">
        <f t="shared" ca="1" si="153"/>
        <v>-0.32784002284216163</v>
      </c>
      <c r="E330" s="307">
        <f t="shared" ca="1" si="154"/>
        <v>-10.099594921253676</v>
      </c>
      <c r="F330" s="304">
        <f t="shared" ca="1" si="155"/>
        <v>10.104914480290775</v>
      </c>
      <c r="G330" s="306">
        <f t="shared" ca="1" si="156"/>
        <v>25.292306850935983</v>
      </c>
      <c r="H330" s="307">
        <f t="shared" ca="1" si="157"/>
        <v>21.360761531498508</v>
      </c>
      <c r="I330" s="304">
        <f t="shared" ca="1" si="158"/>
        <v>33.105632738968303</v>
      </c>
      <c r="J330" s="306">
        <f t="shared" ca="1" si="159"/>
        <v>445.61753563258776</v>
      </c>
      <c r="K330" s="307">
        <f t="shared" ca="1" si="160"/>
        <v>1545.1924453953729</v>
      </c>
      <c r="L330" s="304">
        <f t="shared" ca="1" si="145"/>
        <v>1608.1650043979296</v>
      </c>
      <c r="M330" s="306">
        <f t="shared" ca="1" si="161"/>
        <v>0.7013248549144</v>
      </c>
      <c r="N330" s="304">
        <f t="shared" ca="1" si="162"/>
        <v>40.182954254219915</v>
      </c>
      <c r="P330" s="310">
        <f t="shared" ca="1" si="163"/>
        <v>23</v>
      </c>
      <c r="Q330" s="304">
        <f t="shared" ca="1" si="164"/>
        <v>0</v>
      </c>
      <c r="R330" s="306">
        <f t="shared" ca="1" si="165"/>
        <v>0</v>
      </c>
      <c r="S330" s="307">
        <f t="shared" ca="1" si="166"/>
        <v>7.150000000000003</v>
      </c>
      <c r="T330" s="304">
        <f t="shared" ca="1" si="146"/>
        <v>70.141500000000036</v>
      </c>
      <c r="U330" s="311">
        <f t="shared" ca="1" si="147"/>
        <v>0</v>
      </c>
      <c r="V330" s="306">
        <f t="shared" ca="1" si="148"/>
        <v>1.0492892700627632</v>
      </c>
      <c r="W330" s="304">
        <f t="shared" ca="1" si="149"/>
        <v>3.0014316047621392</v>
      </c>
      <c r="Y330" s="314" t="str">
        <f t="shared" ca="1" si="167"/>
        <v/>
      </c>
      <c r="Z330" s="315" t="str">
        <f t="shared" ca="1" si="168"/>
        <v/>
      </c>
      <c r="AA330" s="316" t="str">
        <f t="shared" ca="1" si="169"/>
        <v/>
      </c>
      <c r="AC330" s="310" t="e">
        <f t="shared" ca="1" si="170"/>
        <v>#N/A</v>
      </c>
      <c r="AD330" s="323" t="e">
        <f t="shared" ca="1" si="171"/>
        <v>#N/A</v>
      </c>
      <c r="AE330" s="324">
        <f t="shared" ca="1" si="150"/>
        <v>1545.1924453953729</v>
      </c>
      <c r="AG330" s="306">
        <f t="shared" ca="1" si="172"/>
        <v>-6.9320258551287051</v>
      </c>
      <c r="AH330" s="304">
        <f t="shared" ca="1" si="173"/>
        <v>-0.43742919311937961</v>
      </c>
    </row>
    <row r="331" spans="1:34" x14ac:dyDescent="0.2">
      <c r="A331" s="347">
        <f t="shared" ca="1" si="151"/>
        <v>0.1</v>
      </c>
      <c r="B331" s="304">
        <f t="shared" ca="1" si="152"/>
        <v>14.699999999999966</v>
      </c>
      <c r="D331" s="306">
        <f t="shared" ca="1" si="153"/>
        <v>-0.32070738361715834</v>
      </c>
      <c r="E331" s="307">
        <f t="shared" ca="1" si="154"/>
        <v>-10.080855243976428</v>
      </c>
      <c r="F331" s="304">
        <f t="shared" ca="1" si="155"/>
        <v>10.085955367535274</v>
      </c>
      <c r="G331" s="306">
        <f t="shared" ca="1" si="156"/>
        <v>25.260236112574265</v>
      </c>
      <c r="H331" s="307">
        <f t="shared" ca="1" si="157"/>
        <v>20.352676007100865</v>
      </c>
      <c r="I331" s="304">
        <f t="shared" ca="1" si="158"/>
        <v>32.439342612220429</v>
      </c>
      <c r="J331" s="306">
        <f t="shared" ca="1" si="159"/>
        <v>448.14516278076326</v>
      </c>
      <c r="K331" s="307">
        <f t="shared" ca="1" si="160"/>
        <v>1547.278117272303</v>
      </c>
      <c r="L331" s="304">
        <f t="shared" ca="1" si="145"/>
        <v>1610.8704662739085</v>
      </c>
      <c r="M331" s="306">
        <f t="shared" ca="1" si="161"/>
        <v>0.67821899391791307</v>
      </c>
      <c r="N331" s="304">
        <f t="shared" ca="1" si="162"/>
        <v>38.85908593710527</v>
      </c>
      <c r="P331" s="310">
        <f t="shared" ca="1" si="163"/>
        <v>23</v>
      </c>
      <c r="Q331" s="304">
        <f t="shared" ca="1" si="164"/>
        <v>0</v>
      </c>
      <c r="R331" s="306">
        <f t="shared" ca="1" si="165"/>
        <v>0</v>
      </c>
      <c r="S331" s="307">
        <f t="shared" ca="1" si="166"/>
        <v>7.150000000000003</v>
      </c>
      <c r="T331" s="304">
        <f t="shared" ca="1" si="146"/>
        <v>70.141500000000036</v>
      </c>
      <c r="U331" s="311">
        <f t="shared" ca="1" si="147"/>
        <v>0</v>
      </c>
      <c r="V331" s="306">
        <f t="shared" ca="1" si="148"/>
        <v>1.049069129906556</v>
      </c>
      <c r="W331" s="304">
        <f t="shared" ca="1" si="149"/>
        <v>2.8812280259634266</v>
      </c>
      <c r="Y331" s="314" t="str">
        <f t="shared" ca="1" si="167"/>
        <v/>
      </c>
      <c r="Z331" s="315" t="str">
        <f t="shared" ca="1" si="168"/>
        <v/>
      </c>
      <c r="AA331" s="316" t="str">
        <f t="shared" ca="1" si="169"/>
        <v/>
      </c>
      <c r="AC331" s="310" t="e">
        <f t="shared" ca="1" si="170"/>
        <v>#N/A</v>
      </c>
      <c r="AD331" s="323" t="e">
        <f t="shared" ca="1" si="171"/>
        <v>#N/A</v>
      </c>
      <c r="AE331" s="324">
        <f t="shared" ca="1" si="150"/>
        <v>1547.278117272303</v>
      </c>
      <c r="AG331" s="306">
        <f t="shared" ca="1" si="172"/>
        <v>-6.7494911279229681</v>
      </c>
      <c r="AH331" s="304">
        <f t="shared" ca="1" si="173"/>
        <v>-0.41978064402267662</v>
      </c>
    </row>
    <row r="332" spans="1:34" x14ac:dyDescent="0.2">
      <c r="A332" s="347">
        <f t="shared" ca="1" si="151"/>
        <v>0.1</v>
      </c>
      <c r="B332" s="304">
        <f t="shared" ca="1" si="152"/>
        <v>14.799999999999965</v>
      </c>
      <c r="D332" s="306">
        <f t="shared" ca="1" si="153"/>
        <v>-0.31378844703913467</v>
      </c>
      <c r="E332" s="307">
        <f t="shared" ca="1" si="154"/>
        <v>-10.062825609740827</v>
      </c>
      <c r="F332" s="304">
        <f t="shared" ca="1" si="155"/>
        <v>10.067716843532653</v>
      </c>
      <c r="G332" s="306">
        <f t="shared" ca="1" si="156"/>
        <v>25.228857267870353</v>
      </c>
      <c r="H332" s="307">
        <f t="shared" ca="1" si="157"/>
        <v>19.346393446126783</v>
      </c>
      <c r="I332" s="304">
        <f t="shared" ca="1" si="158"/>
        <v>31.792737825090061</v>
      </c>
      <c r="J332" s="306">
        <f t="shared" ca="1" si="159"/>
        <v>450.66961744978551</v>
      </c>
      <c r="K332" s="307">
        <f t="shared" ca="1" si="160"/>
        <v>1549.2630707449644</v>
      </c>
      <c r="L332" s="304">
        <f t="shared" ca="1" si="145"/>
        <v>1613.4804512191811</v>
      </c>
      <c r="M332" s="306">
        <f t="shared" ca="1" si="161"/>
        <v>0.65418930015916077</v>
      </c>
      <c r="N332" s="304">
        <f t="shared" ca="1" si="162"/>
        <v>37.482285901736908</v>
      </c>
      <c r="P332" s="310">
        <f t="shared" ca="1" si="163"/>
        <v>23</v>
      </c>
      <c r="Q332" s="304">
        <f t="shared" ca="1" si="164"/>
        <v>0</v>
      </c>
      <c r="R332" s="306">
        <f t="shared" ca="1" si="165"/>
        <v>0</v>
      </c>
      <c r="S332" s="307">
        <f t="shared" ca="1" si="166"/>
        <v>7.150000000000003</v>
      </c>
      <c r="T332" s="304">
        <f t="shared" ca="1" si="146"/>
        <v>70.141500000000036</v>
      </c>
      <c r="U332" s="311">
        <f t="shared" ca="1" si="147"/>
        <v>0</v>
      </c>
      <c r="V332" s="306">
        <f t="shared" ca="1" si="148"/>
        <v>1.0488596600327296</v>
      </c>
      <c r="W332" s="304">
        <f t="shared" ca="1" si="149"/>
        <v>2.7669586793574612</v>
      </c>
      <c r="Y332" s="314" t="str">
        <f t="shared" ca="1" si="167"/>
        <v/>
      </c>
      <c r="Z332" s="315" t="str">
        <f t="shared" ca="1" si="168"/>
        <v/>
      </c>
      <c r="AA332" s="316" t="str">
        <f t="shared" ca="1" si="169"/>
        <v/>
      </c>
      <c r="AC332" s="310" t="e">
        <f t="shared" ca="1" si="170"/>
        <v>#N/A</v>
      </c>
      <c r="AD332" s="323" t="e">
        <f t="shared" ca="1" si="171"/>
        <v>#N/A</v>
      </c>
      <c r="AE332" s="324">
        <f t="shared" ca="1" si="150"/>
        <v>1549.2630707449644</v>
      </c>
      <c r="AG332" s="306">
        <f t="shared" ca="1" si="172"/>
        <v>-6.5578332506799697</v>
      </c>
      <c r="AH332" s="304">
        <f t="shared" ca="1" si="173"/>
        <v>-0.40296895468019939</v>
      </c>
    </row>
    <row r="333" spans="1:34" x14ac:dyDescent="0.2">
      <c r="A333" s="347">
        <f t="shared" ca="1" si="151"/>
        <v>0.1</v>
      </c>
      <c r="B333" s="304">
        <f t="shared" ca="1" si="152"/>
        <v>14.899999999999965</v>
      </c>
      <c r="D333" s="306">
        <f t="shared" ca="1" si="153"/>
        <v>-0.30709043022469656</v>
      </c>
      <c r="E333" s="307">
        <f t="shared" ca="1" si="154"/>
        <v>-10.045487966164583</v>
      </c>
      <c r="F333" s="304">
        <f t="shared" ca="1" si="155"/>
        <v>10.050180745175334</v>
      </c>
      <c r="G333" s="306">
        <f t="shared" ca="1" si="156"/>
        <v>25.198148224847884</v>
      </c>
      <c r="H333" s="307">
        <f t="shared" ca="1" si="157"/>
        <v>18.341844649510325</v>
      </c>
      <c r="I333" s="304">
        <f t="shared" ca="1" si="158"/>
        <v>31.166808291966234</v>
      </c>
      <c r="J333" s="306">
        <f t="shared" ca="1" si="159"/>
        <v>453.1909677244214</v>
      </c>
      <c r="K333" s="307">
        <f t="shared" ca="1" si="160"/>
        <v>1551.1474826497463</v>
      </c>
      <c r="L333" s="304">
        <f t="shared" ca="1" si="145"/>
        <v>1615.9952246704329</v>
      </c>
      <c r="M333" s="306">
        <f t="shared" ca="1" si="161"/>
        <v>0.62920935410307166</v>
      </c>
      <c r="N333" s="304">
        <f t="shared" ca="1" si="162"/>
        <v>36.051040420258531</v>
      </c>
      <c r="P333" s="310">
        <f t="shared" ca="1" si="163"/>
        <v>23</v>
      </c>
      <c r="Q333" s="304">
        <f t="shared" ca="1" si="164"/>
        <v>0</v>
      </c>
      <c r="R333" s="306">
        <f t="shared" ca="1" si="165"/>
        <v>0</v>
      </c>
      <c r="S333" s="307">
        <f t="shared" ca="1" si="166"/>
        <v>7.150000000000003</v>
      </c>
      <c r="T333" s="304">
        <f t="shared" ca="1" si="146"/>
        <v>70.141500000000036</v>
      </c>
      <c r="U333" s="311">
        <f t="shared" ca="1" si="147"/>
        <v>0</v>
      </c>
      <c r="V333" s="306">
        <f t="shared" ca="1" si="148"/>
        <v>1.04866083589974</v>
      </c>
      <c r="W333" s="304">
        <f t="shared" ca="1" si="149"/>
        <v>2.6585763793665294</v>
      </c>
      <c r="Y333" s="314" t="str">
        <f t="shared" ca="1" si="167"/>
        <v/>
      </c>
      <c r="Z333" s="315" t="str">
        <f t="shared" ca="1" si="168"/>
        <v/>
      </c>
      <c r="AA333" s="316" t="str">
        <f t="shared" ca="1" si="169"/>
        <v/>
      </c>
      <c r="AC333" s="310" t="e">
        <f t="shared" ca="1" si="170"/>
        <v>#N/A</v>
      </c>
      <c r="AD333" s="323" t="e">
        <f t="shared" ca="1" si="171"/>
        <v>#N/A</v>
      </c>
      <c r="AE333" s="324">
        <f t="shared" ca="1" si="150"/>
        <v>1551.1474826497463</v>
      </c>
      <c r="AG333" s="306">
        <f t="shared" ca="1" si="172"/>
        <v>-6.3565303591040205</v>
      </c>
      <c r="AH333" s="304">
        <f t="shared" ca="1" si="173"/>
        <v>-0.38698722788216222</v>
      </c>
    </row>
    <row r="334" spans="1:34" x14ac:dyDescent="0.2">
      <c r="A334" s="347">
        <f t="shared" ca="1" si="151"/>
        <v>0.1</v>
      </c>
      <c r="B334" s="304">
        <f t="shared" ca="1" si="152"/>
        <v>14.999999999999964</v>
      </c>
      <c r="D334" s="306">
        <f t="shared" ca="1" si="153"/>
        <v>-0.30062105647146276</v>
      </c>
      <c r="E334" s="307">
        <f t="shared" ca="1" si="154"/>
        <v>-10.028823409838266</v>
      </c>
      <c r="F334" s="304">
        <f t="shared" ca="1" si="155"/>
        <v>10.033328062278938</v>
      </c>
      <c r="G334" s="306">
        <f t="shared" ca="1" si="156"/>
        <v>25.168086119200737</v>
      </c>
      <c r="H334" s="307">
        <f t="shared" ca="1" si="157"/>
        <v>17.338962308526497</v>
      </c>
      <c r="I334" s="304">
        <f t="shared" ca="1" si="158"/>
        <v>30.562594340795211</v>
      </c>
      <c r="J334" s="306">
        <f t="shared" ca="1" si="159"/>
        <v>455.70927944162383</v>
      </c>
      <c r="K334" s="307">
        <f t="shared" ca="1" si="160"/>
        <v>1552.931522997648</v>
      </c>
      <c r="L334" s="304">
        <f t="shared" ca="1" si="145"/>
        <v>1618.4150464231968</v>
      </c>
      <c r="M334" s="306">
        <f t="shared" ca="1" si="161"/>
        <v>0.60325538128270884</v>
      </c>
      <c r="N334" s="304">
        <f t="shared" ca="1" si="162"/>
        <v>34.563987316054494</v>
      </c>
      <c r="P334" s="310">
        <f t="shared" ca="1" si="163"/>
        <v>23</v>
      </c>
      <c r="Q334" s="304">
        <f t="shared" ca="1" si="164"/>
        <v>0</v>
      </c>
      <c r="R334" s="306">
        <f t="shared" ca="1" si="165"/>
        <v>0</v>
      </c>
      <c r="S334" s="307">
        <f t="shared" ca="1" si="166"/>
        <v>7.150000000000003</v>
      </c>
      <c r="T334" s="304">
        <f t="shared" ca="1" si="146"/>
        <v>70.141500000000036</v>
      </c>
      <c r="U334" s="311">
        <f t="shared" ca="1" si="147"/>
        <v>0</v>
      </c>
      <c r="V334" s="306">
        <f t="shared" ca="1" si="148"/>
        <v>1.0484726339994852</v>
      </c>
      <c r="W334" s="304">
        <f t="shared" ca="1" si="149"/>
        <v>2.5560360065812278</v>
      </c>
      <c r="Y334" s="314" t="str">
        <f t="shared" ca="1" si="167"/>
        <v/>
      </c>
      <c r="Z334" s="315" t="str">
        <f t="shared" ca="1" si="168"/>
        <v/>
      </c>
      <c r="AA334" s="316" t="str">
        <f t="shared" ca="1" si="169"/>
        <v/>
      </c>
      <c r="AC334" s="310">
        <f t="shared" ca="1" si="170"/>
        <v>14.999999999999964</v>
      </c>
      <c r="AD334" s="323">
        <f t="shared" ca="1" si="171"/>
        <v>455.70927944162383</v>
      </c>
      <c r="AE334" s="324">
        <f t="shared" ca="1" si="150"/>
        <v>1552.931522997648</v>
      </c>
      <c r="AG334" s="306">
        <f t="shared" ca="1" si="172"/>
        <v>-6.1450698816173688</v>
      </c>
      <c r="AH334" s="304">
        <f t="shared" ca="1" si="173"/>
        <v>-0.3718288642470669</v>
      </c>
    </row>
    <row r="335" spans="1:34" x14ac:dyDescent="0.2">
      <c r="A335" s="347">
        <f t="shared" ca="1" si="151"/>
        <v>0.1</v>
      </c>
      <c r="B335" s="304">
        <f t="shared" ca="1" si="152"/>
        <v>15.099999999999964</v>
      </c>
      <c r="D335" s="306">
        <f t="shared" ca="1" si="153"/>
        <v>-0.29438854010173626</v>
      </c>
      <c r="E335" s="307">
        <f t="shared" ca="1" si="154"/>
        <v>-10.01281207624254</v>
      </c>
      <c r="F335" s="304">
        <f t="shared" ca="1" si="155"/>
        <v>10.017138827364413</v>
      </c>
      <c r="G335" s="306">
        <f t="shared" ca="1" si="156"/>
        <v>25.138647265190563</v>
      </c>
      <c r="H335" s="307">
        <f t="shared" ca="1" si="157"/>
        <v>16.337681100902245</v>
      </c>
      <c r="I335" s="304">
        <f t="shared" ca="1" si="158"/>
        <v>29.981184267444331</v>
      </c>
      <c r="J335" s="306">
        <f t="shared" ca="1" si="159"/>
        <v>458.22461611084339</v>
      </c>
      <c r="K335" s="307">
        <f t="shared" ca="1" si="160"/>
        <v>1554.6153551681195</v>
      </c>
      <c r="L335" s="304">
        <f t="shared" ca="1" si="145"/>
        <v>1620.7401708276464</v>
      </c>
      <c r="M335" s="306">
        <f t="shared" ca="1" si="161"/>
        <v>0.57630699496565763</v>
      </c>
      <c r="N335" s="304">
        <f t="shared" ca="1" si="162"/>
        <v>33.019958515399367</v>
      </c>
      <c r="P335" s="310">
        <f t="shared" ca="1" si="163"/>
        <v>23</v>
      </c>
      <c r="Q335" s="304">
        <f t="shared" ca="1" si="164"/>
        <v>0</v>
      </c>
      <c r="R335" s="306">
        <f t="shared" ca="1" si="165"/>
        <v>0</v>
      </c>
      <c r="S335" s="307">
        <f t="shared" ca="1" si="166"/>
        <v>7.150000000000003</v>
      </c>
      <c r="T335" s="304">
        <f t="shared" ca="1" si="146"/>
        <v>70.141500000000036</v>
      </c>
      <c r="U335" s="311">
        <f t="shared" ca="1" si="147"/>
        <v>0</v>
      </c>
      <c r="V335" s="306">
        <f t="shared" ca="1" si="148"/>
        <v>1.0482950318341608</v>
      </c>
      <c r="W335" s="304">
        <f t="shared" ca="1" si="149"/>
        <v>2.4592944438357232</v>
      </c>
      <c r="Y335" s="314" t="str">
        <f t="shared" ca="1" si="167"/>
        <v/>
      </c>
      <c r="Z335" s="315" t="str">
        <f t="shared" ca="1" si="168"/>
        <v/>
      </c>
      <c r="AA335" s="316" t="str">
        <f t="shared" ca="1" si="169"/>
        <v/>
      </c>
      <c r="AC335" s="310" t="e">
        <f t="shared" ca="1" si="170"/>
        <v>#N/A</v>
      </c>
      <c r="AD335" s="323" t="e">
        <f t="shared" ca="1" si="171"/>
        <v>#N/A</v>
      </c>
      <c r="AE335" s="324">
        <f t="shared" ca="1" si="150"/>
        <v>1554.6153551681195</v>
      </c>
      <c r="AG335" s="306">
        <f t="shared" ca="1" si="172"/>
        <v>-5.9229581528190582</v>
      </c>
      <c r="AH335" s="304">
        <f t="shared" ca="1" si="173"/>
        <v>-0.35748755336800375</v>
      </c>
    </row>
    <row r="336" spans="1:34" x14ac:dyDescent="0.2">
      <c r="A336" s="347">
        <f t="shared" ca="1" si="151"/>
        <v>0.1</v>
      </c>
      <c r="B336" s="304">
        <f t="shared" ca="1" si="152"/>
        <v>15.199999999999964</v>
      </c>
      <c r="D336" s="306">
        <f t="shared" ca="1" si="153"/>
        <v>-0.2884015614189489</v>
      </c>
      <c r="E336" s="307">
        <f t="shared" ca="1" si="154"/>
        <v>-9.9974330265172817</v>
      </c>
      <c r="F336" s="304">
        <f t="shared" ca="1" si="155"/>
        <v>10.001592002292805</v>
      </c>
      <c r="G336" s="306">
        <f t="shared" ca="1" si="156"/>
        <v>25.109807109048667</v>
      </c>
      <c r="H336" s="307">
        <f t="shared" ca="1" si="157"/>
        <v>15.337937798250517</v>
      </c>
      <c r="I336" s="304">
        <f t="shared" ca="1" si="158"/>
        <v>29.423710659205323</v>
      </c>
      <c r="J336" s="306">
        <f t="shared" ca="1" si="159"/>
        <v>460.73703882955533</v>
      </c>
      <c r="K336" s="307">
        <f t="shared" ca="1" si="160"/>
        <v>1556.1991361130772</v>
      </c>
      <c r="L336" s="304">
        <f t="shared" ca="1" si="145"/>
        <v>1622.9708469927964</v>
      </c>
      <c r="M336" s="306">
        <f t="shared" ca="1" si="161"/>
        <v>0.54834801841781022</v>
      </c>
      <c r="N336" s="304">
        <f t="shared" ca="1" si="162"/>
        <v>31.418027159702458</v>
      </c>
      <c r="P336" s="310">
        <f t="shared" ca="1" si="163"/>
        <v>23</v>
      </c>
      <c r="Q336" s="304">
        <f t="shared" ca="1" si="164"/>
        <v>0</v>
      </c>
      <c r="R336" s="306">
        <f t="shared" ca="1" si="165"/>
        <v>0</v>
      </c>
      <c r="S336" s="307">
        <f t="shared" ca="1" si="166"/>
        <v>7.150000000000003</v>
      </c>
      <c r="T336" s="304">
        <f t="shared" ca="1" si="146"/>
        <v>70.141500000000036</v>
      </c>
      <c r="U336" s="311">
        <f t="shared" ca="1" si="147"/>
        <v>0</v>
      </c>
      <c r="V336" s="306">
        <f t="shared" ca="1" si="148"/>
        <v>1.0481280078921869</v>
      </c>
      <c r="W336" s="304">
        <f t="shared" ca="1" si="149"/>
        <v>2.3683105113771052</v>
      </c>
      <c r="Y336" s="314" t="str">
        <f t="shared" ca="1" si="167"/>
        <v/>
      </c>
      <c r="Z336" s="315" t="str">
        <f t="shared" ca="1" si="168"/>
        <v/>
      </c>
      <c r="AA336" s="316" t="str">
        <f t="shared" ca="1" si="169"/>
        <v/>
      </c>
      <c r="AC336" s="310" t="e">
        <f t="shared" ca="1" si="170"/>
        <v>#N/A</v>
      </c>
      <c r="AD336" s="323" t="e">
        <f t="shared" ca="1" si="171"/>
        <v>#N/A</v>
      </c>
      <c r="AE336" s="324">
        <f t="shared" ca="1" si="150"/>
        <v>1556.1991361130772</v>
      </c>
      <c r="AG336" s="306">
        <f t="shared" ca="1" si="172"/>
        <v>-5.6897318070034189</v>
      </c>
      <c r="AH336" s="304">
        <f t="shared" ca="1" si="173"/>
        <v>-0.34395726487212896</v>
      </c>
    </row>
    <row r="337" spans="1:34" x14ac:dyDescent="0.2">
      <c r="A337" s="347">
        <f t="shared" ca="1" si="151"/>
        <v>0.1</v>
      </c>
      <c r="B337" s="304">
        <f t="shared" ca="1" si="152"/>
        <v>15.299999999999963</v>
      </c>
      <c r="D337" s="306">
        <f t="shared" ca="1" si="153"/>
        <v>-0.28266923009117767</v>
      </c>
      <c r="E337" s="307">
        <f t="shared" ca="1" si="154"/>
        <v>-9.9826641327744596</v>
      </c>
      <c r="F337" s="304">
        <f t="shared" ca="1" si="155"/>
        <v>9.9866653634444962</v>
      </c>
      <c r="G337" s="306">
        <f t="shared" ca="1" si="156"/>
        <v>25.08154018603955</v>
      </c>
      <c r="H337" s="307">
        <f t="shared" ca="1" si="157"/>
        <v>14.339671384973071</v>
      </c>
      <c r="I337" s="304">
        <f t="shared" ca="1" si="158"/>
        <v>28.891345305003235</v>
      </c>
      <c r="J337" s="306">
        <f t="shared" ca="1" si="159"/>
        <v>463.24660619430972</v>
      </c>
      <c r="K337" s="307">
        <f t="shared" ca="1" si="160"/>
        <v>1557.6830165722383</v>
      </c>
      <c r="L337" s="304">
        <f t="shared" ca="1" si="145"/>
        <v>1625.1073190002357</v>
      </c>
      <c r="M337" s="306">
        <f t="shared" ca="1" si="161"/>
        <v>0.51936737843654124</v>
      </c>
      <c r="N337" s="304">
        <f t="shared" ca="1" si="162"/>
        <v>29.757558801187653</v>
      </c>
      <c r="P337" s="310">
        <f t="shared" ca="1" si="163"/>
        <v>23</v>
      </c>
      <c r="Q337" s="304">
        <f t="shared" ca="1" si="164"/>
        <v>0</v>
      </c>
      <c r="R337" s="306">
        <f t="shared" ca="1" si="165"/>
        <v>0</v>
      </c>
      <c r="S337" s="307">
        <f t="shared" ca="1" si="166"/>
        <v>7.150000000000003</v>
      </c>
      <c r="T337" s="304">
        <f t="shared" ca="1" si="146"/>
        <v>70.141500000000036</v>
      </c>
      <c r="U337" s="311">
        <f t="shared" ca="1" si="147"/>
        <v>0</v>
      </c>
      <c r="V337" s="306">
        <f t="shared" ca="1" si="148"/>
        <v>1.047971541623085</v>
      </c>
      <c r="W337" s="304">
        <f t="shared" ca="1" si="149"/>
        <v>2.2830449008409186</v>
      </c>
      <c r="Y337" s="314" t="str">
        <f t="shared" ca="1" si="167"/>
        <v/>
      </c>
      <c r="Z337" s="315" t="str">
        <f t="shared" ca="1" si="168"/>
        <v/>
      </c>
      <c r="AA337" s="316" t="str">
        <f t="shared" ca="1" si="169"/>
        <v/>
      </c>
      <c r="AC337" s="310" t="e">
        <f t="shared" ca="1" si="170"/>
        <v>#N/A</v>
      </c>
      <c r="AD337" s="323" t="e">
        <f t="shared" ca="1" si="171"/>
        <v>#N/A</v>
      </c>
      <c r="AE337" s="324">
        <f t="shared" ca="1" si="150"/>
        <v>1557.6830165722383</v>
      </c>
      <c r="AG337" s="306">
        <f t="shared" ca="1" si="172"/>
        <v>-5.4449710041058728</v>
      </c>
      <c r="AH337" s="304">
        <f t="shared" ca="1" si="173"/>
        <v>-0.33123223935344115</v>
      </c>
    </row>
    <row r="338" spans="1:34" x14ac:dyDescent="0.2">
      <c r="A338" s="347">
        <f t="shared" ca="1" si="151"/>
        <v>0.1</v>
      </c>
      <c r="B338" s="304">
        <f t="shared" ca="1" si="152"/>
        <v>15.399999999999963</v>
      </c>
      <c r="D338" s="306">
        <f t="shared" ca="1" si="153"/>
        <v>-0.27720103527198964</v>
      </c>
      <c r="E338" s="307">
        <f t="shared" ca="1" si="154"/>
        <v>-9.9684819641812563</v>
      </c>
      <c r="F338" s="304">
        <f t="shared" ca="1" si="155"/>
        <v>9.9723353876693732</v>
      </c>
      <c r="G338" s="306">
        <f t="shared" ca="1" si="156"/>
        <v>25.053820082512352</v>
      </c>
      <c r="H338" s="307">
        <f t="shared" ca="1" si="157"/>
        <v>13.342823188554945</v>
      </c>
      <c r="I338" s="304">
        <f t="shared" ca="1" si="158"/>
        <v>28.385292518625537</v>
      </c>
      <c r="J338" s="306">
        <f t="shared" ca="1" si="159"/>
        <v>465.75337420773729</v>
      </c>
      <c r="K338" s="307">
        <f t="shared" ca="1" si="160"/>
        <v>1559.0671413009147</v>
      </c>
      <c r="L338" s="304">
        <f t="shared" ca="1" si="145"/>
        <v>1627.149826128528</v>
      </c>
      <c r="M338" s="306">
        <f t="shared" ca="1" si="161"/>
        <v>0.48936005578404385</v>
      </c>
      <c r="N338" s="304">
        <f t="shared" ca="1" si="162"/>
        <v>28.038265858712244</v>
      </c>
      <c r="P338" s="310">
        <f t="shared" ca="1" si="163"/>
        <v>23</v>
      </c>
      <c r="Q338" s="304">
        <f t="shared" ca="1" si="164"/>
        <v>0</v>
      </c>
      <c r="R338" s="306">
        <f t="shared" ca="1" si="165"/>
        <v>0</v>
      </c>
      <c r="S338" s="307">
        <f t="shared" ca="1" si="166"/>
        <v>7.150000000000003</v>
      </c>
      <c r="T338" s="304">
        <f t="shared" ca="1" si="146"/>
        <v>70.141500000000036</v>
      </c>
      <c r="U338" s="311">
        <f t="shared" ca="1" si="147"/>
        <v>0</v>
      </c>
      <c r="V338" s="306">
        <f t="shared" ca="1" si="148"/>
        <v>1.047825613411177</v>
      </c>
      <c r="W338" s="304">
        <f t="shared" ca="1" si="149"/>
        <v>2.2034601077462881</v>
      </c>
      <c r="Y338" s="314" t="str">
        <f t="shared" ca="1" si="167"/>
        <v/>
      </c>
      <c r="Z338" s="315" t="str">
        <f t="shared" ca="1" si="168"/>
        <v/>
      </c>
      <c r="AA338" s="316" t="str">
        <f t="shared" ca="1" si="169"/>
        <v/>
      </c>
      <c r="AC338" s="310" t="e">
        <f t="shared" ca="1" si="170"/>
        <v>#N/A</v>
      </c>
      <c r="AD338" s="323" t="e">
        <f t="shared" ca="1" si="171"/>
        <v>#N/A</v>
      </c>
      <c r="AE338" s="324">
        <f t="shared" ca="1" si="150"/>
        <v>1559.0671413009147</v>
      </c>
      <c r="AG338" s="306">
        <f t="shared" ca="1" si="172"/>
        <v>-5.1883144553056857</v>
      </c>
      <c r="AH338" s="304">
        <f t="shared" ca="1" si="173"/>
        <v>-0.31930697913858985</v>
      </c>
    </row>
    <row r="339" spans="1:34" x14ac:dyDescent="0.2">
      <c r="A339" s="347">
        <f t="shared" ca="1" si="151"/>
        <v>0.1</v>
      </c>
      <c r="B339" s="304">
        <f t="shared" ca="1" si="152"/>
        <v>15.499999999999963</v>
      </c>
      <c r="D339" s="306">
        <f t="shared" ca="1" si="153"/>
        <v>-0.27200678085940494</v>
      </c>
      <c r="E339" s="307">
        <f t="shared" ca="1" si="154"/>
        <v>-9.9548616766282425</v>
      </c>
      <c r="F339" s="304">
        <f t="shared" ca="1" si="155"/>
        <v>9.9585771418227793</v>
      </c>
      <c r="G339" s="306">
        <f t="shared" ca="1" si="156"/>
        <v>25.026619404426413</v>
      </c>
      <c r="H339" s="307">
        <f t="shared" ca="1" si="157"/>
        <v>12.347337020892121</v>
      </c>
      <c r="I339" s="304">
        <f t="shared" ca="1" si="158"/>
        <v>27.906780722998235</v>
      </c>
      <c r="J339" s="306">
        <f t="shared" ca="1" si="159"/>
        <v>468.25739618208422</v>
      </c>
      <c r="K339" s="307">
        <f t="shared" ca="1" si="160"/>
        <v>1560.3516493113871</v>
      </c>
      <c r="L339" s="304">
        <f t="shared" ca="1" si="145"/>
        <v>1629.0986030894483</v>
      </c>
      <c r="M339" s="306">
        <f t="shared" ca="1" si="161"/>
        <v>0.45832807104543416</v>
      </c>
      <c r="N339" s="304">
        <f t="shared" ca="1" si="162"/>
        <v>26.260264103275524</v>
      </c>
      <c r="P339" s="310">
        <f t="shared" ca="1" si="163"/>
        <v>23</v>
      </c>
      <c r="Q339" s="304">
        <f t="shared" ca="1" si="164"/>
        <v>0</v>
      </c>
      <c r="R339" s="306">
        <f t="shared" ca="1" si="165"/>
        <v>0</v>
      </c>
      <c r="S339" s="307">
        <f t="shared" ca="1" si="166"/>
        <v>7.150000000000003</v>
      </c>
      <c r="T339" s="304">
        <f t="shared" ca="1" si="146"/>
        <v>70.141500000000036</v>
      </c>
      <c r="U339" s="311">
        <f t="shared" ca="1" si="147"/>
        <v>0</v>
      </c>
      <c r="V339" s="306">
        <f t="shared" ca="1" si="148"/>
        <v>1.0476902045479861</v>
      </c>
      <c r="W339" s="304">
        <f t="shared" ca="1" si="149"/>
        <v>2.1295203622307635</v>
      </c>
      <c r="Y339" s="314" t="str">
        <f t="shared" ca="1" si="167"/>
        <v/>
      </c>
      <c r="Z339" s="315" t="str">
        <f t="shared" ca="1" si="168"/>
        <v/>
      </c>
      <c r="AA339" s="316" t="str">
        <f t="shared" ca="1" si="169"/>
        <v/>
      </c>
      <c r="AC339" s="310" t="e">
        <f t="shared" ca="1" si="170"/>
        <v>#N/A</v>
      </c>
      <c r="AD339" s="323" t="e">
        <f t="shared" ca="1" si="171"/>
        <v>#N/A</v>
      </c>
      <c r="AE339" s="324">
        <f t="shared" ca="1" si="150"/>
        <v>1560.3516493113871</v>
      </c>
      <c r="AG339" s="306">
        <f t="shared" ca="1" si="172"/>
        <v>-4.9194761010484314</v>
      </c>
      <c r="AH339" s="304">
        <f t="shared" ca="1" si="173"/>
        <v>-0.30817623884563455</v>
      </c>
    </row>
    <row r="340" spans="1:34" x14ac:dyDescent="0.2">
      <c r="A340" s="347">
        <f t="shared" ca="1" si="151"/>
        <v>0.1</v>
      </c>
      <c r="B340" s="304">
        <f t="shared" ca="1" si="152"/>
        <v>15.599999999999962</v>
      </c>
      <c r="D340" s="306">
        <f t="shared" ca="1" si="153"/>
        <v>-0.26709650450679467</v>
      </c>
      <c r="E340" s="307">
        <f t="shared" ca="1" si="154"/>
        <v>-9.9417769094160739</v>
      </c>
      <c r="F340" s="304">
        <f t="shared" ca="1" si="155"/>
        <v>9.9453641793208547</v>
      </c>
      <c r="G340" s="306">
        <f t="shared" ca="1" si="156"/>
        <v>24.999909753975732</v>
      </c>
      <c r="H340" s="307">
        <f t="shared" ca="1" si="157"/>
        <v>11.353159329950515</v>
      </c>
      <c r="I340" s="304">
        <f t="shared" ca="1" si="158"/>
        <v>27.457052181145983</v>
      </c>
      <c r="J340" s="306">
        <f t="shared" ca="1" si="159"/>
        <v>470.75872264000435</v>
      </c>
      <c r="K340" s="307">
        <f t="shared" ca="1" si="160"/>
        <v>1561.5366741289292</v>
      </c>
      <c r="L340" s="304">
        <f t="shared" ca="1" si="145"/>
        <v>1630.9538802772095</v>
      </c>
      <c r="M340" s="306">
        <f t="shared" ca="1" si="161"/>
        <v>0.42628147650764142</v>
      </c>
      <c r="N340" s="304">
        <f t="shared" ca="1" si="162"/>
        <v>24.424129488493005</v>
      </c>
      <c r="P340" s="310">
        <f t="shared" ca="1" si="163"/>
        <v>23</v>
      </c>
      <c r="Q340" s="304">
        <f t="shared" ca="1" si="164"/>
        <v>0</v>
      </c>
      <c r="R340" s="306">
        <f t="shared" ca="1" si="165"/>
        <v>0</v>
      </c>
      <c r="S340" s="307">
        <f t="shared" ca="1" si="166"/>
        <v>7.150000000000003</v>
      </c>
      <c r="T340" s="304">
        <f t="shared" ca="1" si="146"/>
        <v>70.141500000000036</v>
      </c>
      <c r="U340" s="311">
        <f t="shared" ca="1" si="147"/>
        <v>0</v>
      </c>
      <c r="V340" s="306">
        <f t="shared" ca="1" si="148"/>
        <v>1.047565297203223</v>
      </c>
      <c r="W340" s="304">
        <f t="shared" ca="1" si="149"/>
        <v>2.0611915577583555</v>
      </c>
      <c r="Y340" s="314" t="str">
        <f t="shared" ca="1" si="167"/>
        <v/>
      </c>
      <c r="Z340" s="315" t="str">
        <f t="shared" ca="1" si="168"/>
        <v/>
      </c>
      <c r="AA340" s="316" t="str">
        <f t="shared" ca="1" si="169"/>
        <v/>
      </c>
      <c r="AC340" s="310" t="e">
        <f t="shared" ca="1" si="170"/>
        <v>#N/A</v>
      </c>
      <c r="AD340" s="323" t="e">
        <f t="shared" ca="1" si="171"/>
        <v>#N/A</v>
      </c>
      <c r="AE340" s="324">
        <f t="shared" ca="1" si="150"/>
        <v>1561.5366741289292</v>
      </c>
      <c r="AG340" s="306">
        <f t="shared" ca="1" si="172"/>
        <v>-4.6382631495346898</v>
      </c>
      <c r="AH340" s="304">
        <f t="shared" ca="1" si="173"/>
        <v>-0.29783501569661014</v>
      </c>
    </row>
    <row r="341" spans="1:34" x14ac:dyDescent="0.2">
      <c r="A341" s="347">
        <f t="shared" ca="1" si="151"/>
        <v>0.1</v>
      </c>
      <c r="B341" s="304">
        <f t="shared" ca="1" si="152"/>
        <v>15.699999999999962</v>
      </c>
      <c r="D341" s="306">
        <f t="shared" ca="1" si="153"/>
        <v>-0.2624803793621483</v>
      </c>
      <c r="E341" s="307">
        <f t="shared" ca="1" si="154"/>
        <v>-9.929199693007309</v>
      </c>
      <c r="F341" s="304">
        <f t="shared" ca="1" si="155"/>
        <v>9.9326684477619871</v>
      </c>
      <c r="G341" s="306">
        <f t="shared" ca="1" si="156"/>
        <v>24.973661716039519</v>
      </c>
      <c r="H341" s="307">
        <f t="shared" ca="1" si="157"/>
        <v>10.360239360649784</v>
      </c>
      <c r="I341" s="304">
        <f t="shared" ca="1" si="158"/>
        <v>27.037350815439279</v>
      </c>
      <c r="J341" s="306">
        <f t="shared" ca="1" si="159"/>
        <v>473.25740121350509</v>
      </c>
      <c r="K341" s="307">
        <f t="shared" ca="1" si="160"/>
        <v>1562.6223440634592</v>
      </c>
      <c r="L341" s="304">
        <f t="shared" ca="1" si="145"/>
        <v>1632.7158840317993</v>
      </c>
      <c r="M341" s="306">
        <f t="shared" ca="1" si="161"/>
        <v>0.39323931634721887</v>
      </c>
      <c r="N341" s="304">
        <f t="shared" ca="1" si="162"/>
        <v>22.53095316530548</v>
      </c>
      <c r="P341" s="310">
        <f t="shared" ca="1" si="163"/>
        <v>23</v>
      </c>
      <c r="Q341" s="304">
        <f t="shared" ca="1" si="164"/>
        <v>0</v>
      </c>
      <c r="R341" s="306">
        <f t="shared" ca="1" si="165"/>
        <v>0</v>
      </c>
      <c r="S341" s="307">
        <f t="shared" ca="1" si="166"/>
        <v>7.150000000000003</v>
      </c>
      <c r="T341" s="304">
        <f t="shared" ca="1" si="146"/>
        <v>70.141500000000036</v>
      </c>
      <c r="U341" s="311">
        <f t="shared" ca="1" si="147"/>
        <v>0</v>
      </c>
      <c r="V341" s="306">
        <f t="shared" ca="1" si="148"/>
        <v>1.0474508743942499</v>
      </c>
      <c r="W341" s="304">
        <f t="shared" ca="1" si="149"/>
        <v>1.9984411775555695</v>
      </c>
      <c r="Y341" s="314" t="str">
        <f t="shared" ca="1" si="167"/>
        <v/>
      </c>
      <c r="Z341" s="315" t="str">
        <f t="shared" ca="1" si="168"/>
        <v/>
      </c>
      <c r="AA341" s="316" t="str">
        <f t="shared" ca="1" si="169"/>
        <v/>
      </c>
      <c r="AC341" s="310" t="e">
        <f t="shared" ca="1" si="170"/>
        <v>#N/A</v>
      </c>
      <c r="AD341" s="323" t="e">
        <f t="shared" ca="1" si="171"/>
        <v>#N/A</v>
      </c>
      <c r="AE341" s="324">
        <f t="shared" ca="1" si="150"/>
        <v>1562.6223440634592</v>
      </c>
      <c r="AG341" s="306">
        <f t="shared" ca="1" si="172"/>
        <v>-4.3445950112504725</v>
      </c>
      <c r="AH341" s="304">
        <f t="shared" ca="1" si="173"/>
        <v>-0.28827853954662302</v>
      </c>
    </row>
    <row r="342" spans="1:34" x14ac:dyDescent="0.2">
      <c r="A342" s="347">
        <f t="shared" ca="1" si="151"/>
        <v>0.1</v>
      </c>
      <c r="B342" s="304">
        <f t="shared" ca="1" si="152"/>
        <v>15.799999999999962</v>
      </c>
      <c r="D342" s="306">
        <f t="shared" ca="1" si="153"/>
        <v>-0.25816859804673775</v>
      </c>
      <c r="E342" s="307">
        <f t="shared" ca="1" si="154"/>
        <v>-9.9171003724475764</v>
      </c>
      <c r="F342" s="304">
        <f t="shared" ca="1" si="155"/>
        <v>9.9204602122188508</v>
      </c>
      <c r="G342" s="306">
        <f t="shared" ca="1" si="156"/>
        <v>24.947844856234845</v>
      </c>
      <c r="H342" s="307">
        <f t="shared" ca="1" si="157"/>
        <v>9.368529323405026</v>
      </c>
      <c r="I342" s="304">
        <f t="shared" ca="1" si="158"/>
        <v>26.64890813249697</v>
      </c>
      <c r="J342" s="306">
        <f t="shared" ca="1" si="159"/>
        <v>475.75347654211879</v>
      </c>
      <c r="K342" s="307">
        <f t="shared" ca="1" si="160"/>
        <v>1563.6087824976619</v>
      </c>
      <c r="L342" s="304">
        <f t="shared" ca="1" si="145"/>
        <v>1634.3848369174664</v>
      </c>
      <c r="M342" s="306">
        <f t="shared" ca="1" si="161"/>
        <v>0.35923050939988316</v>
      </c>
      <c r="N342" s="304">
        <f t="shared" ca="1" si="162"/>
        <v>20.582392060947953</v>
      </c>
      <c r="P342" s="310">
        <f t="shared" ca="1" si="163"/>
        <v>23</v>
      </c>
      <c r="Q342" s="304">
        <f t="shared" ca="1" si="164"/>
        <v>0</v>
      </c>
      <c r="R342" s="306">
        <f t="shared" ca="1" si="165"/>
        <v>0</v>
      </c>
      <c r="S342" s="307">
        <f t="shared" ca="1" si="166"/>
        <v>7.150000000000003</v>
      </c>
      <c r="T342" s="304">
        <f t="shared" ca="1" si="146"/>
        <v>70.141500000000036</v>
      </c>
      <c r="U342" s="311">
        <f t="shared" ca="1" si="147"/>
        <v>0</v>
      </c>
      <c r="V342" s="306">
        <f t="shared" ca="1" si="148"/>
        <v>1.0473469199539267</v>
      </c>
      <c r="W342" s="304">
        <f t="shared" ca="1" si="149"/>
        <v>1.9412382185607657</v>
      </c>
      <c r="Y342" s="314" t="str">
        <f t="shared" ca="1" si="167"/>
        <v/>
      </c>
      <c r="Z342" s="315" t="str">
        <f t="shared" ca="1" si="168"/>
        <v/>
      </c>
      <c r="AA342" s="316" t="str">
        <f t="shared" ca="1" si="169"/>
        <v/>
      </c>
      <c r="AC342" s="310" t="e">
        <f t="shared" ca="1" si="170"/>
        <v>#N/A</v>
      </c>
      <c r="AD342" s="323" t="e">
        <f t="shared" ca="1" si="171"/>
        <v>#N/A</v>
      </c>
      <c r="AE342" s="324">
        <f t="shared" ca="1" si="150"/>
        <v>1563.6087824976619</v>
      </c>
      <c r="AG342" s="306">
        <f t="shared" ca="1" si="172"/>
        <v>-4.0385224721468473</v>
      </c>
      <c r="AH342" s="304">
        <f t="shared" ca="1" si="173"/>
        <v>-0.2795022625951844</v>
      </c>
    </row>
    <row r="343" spans="1:34" x14ac:dyDescent="0.2">
      <c r="A343" s="347">
        <f t="shared" ca="1" si="151"/>
        <v>0.1</v>
      </c>
      <c r="B343" s="304">
        <f t="shared" ca="1" si="152"/>
        <v>15.899999999999961</v>
      </c>
      <c r="D343" s="306">
        <f t="shared" ca="1" si="153"/>
        <v>-0.25417123910341716</v>
      </c>
      <c r="E343" s="307">
        <f t="shared" ca="1" si="154"/>
        <v>-9.9054475514990816</v>
      </c>
      <c r="F343" s="304">
        <f t="shared" ca="1" si="155"/>
        <v>9.9087079992442266</v>
      </c>
      <c r="G343" s="306">
        <f t="shared" ca="1" si="156"/>
        <v>24.922427732324504</v>
      </c>
      <c r="H343" s="307">
        <f t="shared" ca="1" si="157"/>
        <v>8.3779845682551173</v>
      </c>
      <c r="I343" s="304">
        <f t="shared" ca="1" si="158"/>
        <v>26.292927366477443</v>
      </c>
      <c r="J343" s="306">
        <f t="shared" ca="1" si="159"/>
        <v>478.24699017154677</v>
      </c>
      <c r="K343" s="307">
        <f t="shared" ca="1" si="160"/>
        <v>1564.4961081922449</v>
      </c>
      <c r="L343" s="304">
        <f t="shared" ca="1" si="145"/>
        <v>1635.9609580172823</v>
      </c>
      <c r="M343" s="306">
        <f t="shared" ca="1" si="161"/>
        <v>0.3242946019628048</v>
      </c>
      <c r="N343" s="304">
        <f t="shared" ca="1" si="162"/>
        <v>18.580712011343657</v>
      </c>
      <c r="P343" s="310">
        <f t="shared" ca="1" si="163"/>
        <v>23</v>
      </c>
      <c r="Q343" s="304">
        <f t="shared" ca="1" si="164"/>
        <v>0</v>
      </c>
      <c r="R343" s="306">
        <f t="shared" ca="1" si="165"/>
        <v>0</v>
      </c>
      <c r="S343" s="307">
        <f t="shared" ca="1" si="166"/>
        <v>7.150000000000003</v>
      </c>
      <c r="T343" s="304">
        <f t="shared" ca="1" si="146"/>
        <v>70.141500000000036</v>
      </c>
      <c r="U343" s="311">
        <f t="shared" ca="1" si="147"/>
        <v>0</v>
      </c>
      <c r="V343" s="306">
        <f t="shared" ca="1" si="148"/>
        <v>1.0472534184967646</v>
      </c>
      <c r="W343" s="304">
        <f t="shared" ca="1" si="149"/>
        <v>1.8895531127130611</v>
      </c>
      <c r="Y343" s="314" t="str">
        <f t="shared" ca="1" si="167"/>
        <v/>
      </c>
      <c r="Z343" s="315" t="str">
        <f t="shared" ca="1" si="168"/>
        <v/>
      </c>
      <c r="AA343" s="316" t="str">
        <f t="shared" ca="1" si="169"/>
        <v/>
      </c>
      <c r="AC343" s="310" t="e">
        <f t="shared" ca="1" si="170"/>
        <v>#N/A</v>
      </c>
      <c r="AD343" s="323" t="e">
        <f t="shared" ca="1" si="171"/>
        <v>#N/A</v>
      </c>
      <c r="AE343" s="324">
        <f t="shared" ca="1" si="150"/>
        <v>1564.4961081922449</v>
      </c>
      <c r="AG343" s="306">
        <f t="shared" ca="1" si="172"/>
        <v>-3.7202462477943681</v>
      </c>
      <c r="AH343" s="304">
        <f t="shared" ca="1" si="173"/>
        <v>-0.27150184874975736</v>
      </c>
    </row>
    <row r="344" spans="1:34" x14ac:dyDescent="0.2">
      <c r="A344" s="347">
        <f t="shared" ca="1" si="151"/>
        <v>0.1</v>
      </c>
      <c r="B344" s="304">
        <f t="shared" ca="1" si="152"/>
        <v>15.999999999999961</v>
      </c>
      <c r="D344" s="306">
        <f t="shared" ca="1" si="153"/>
        <v>-0.25049811704563663</v>
      </c>
      <c r="E344" s="307">
        <f t="shared" ca="1" si="154"/>
        <v>-9.8942080627748528</v>
      </c>
      <c r="F344" s="304">
        <f t="shared" ca="1" si="155"/>
        <v>9.897378566879329</v>
      </c>
      <c r="G344" s="306">
        <f t="shared" ca="1" si="156"/>
        <v>24.897377920619942</v>
      </c>
      <c r="H344" s="307">
        <f t="shared" ca="1" si="157"/>
        <v>7.3885637619776316</v>
      </c>
      <c r="I344" s="304">
        <f t="shared" ca="1" si="158"/>
        <v>25.970566065971347</v>
      </c>
      <c r="J344" s="306">
        <f t="shared" ca="1" si="159"/>
        <v>480.73798045419397</v>
      </c>
      <c r="K344" s="307">
        <f t="shared" ca="1" si="160"/>
        <v>1565.2844356087567</v>
      </c>
      <c r="L344" s="304">
        <f t="shared" ca="1" si="145"/>
        <v>1637.4444632445404</v>
      </c>
      <c r="M344" s="306">
        <f t="shared" ca="1" si="161"/>
        <v>0.28848233354029568</v>
      </c>
      <c r="N344" s="304">
        <f t="shared" ca="1" si="162"/>
        <v>16.528820175944254</v>
      </c>
      <c r="P344" s="310">
        <f t="shared" ca="1" si="163"/>
        <v>23</v>
      </c>
      <c r="Q344" s="304">
        <f t="shared" ca="1" si="164"/>
        <v>0</v>
      </c>
      <c r="R344" s="306">
        <f t="shared" ca="1" si="165"/>
        <v>0</v>
      </c>
      <c r="S344" s="307">
        <f t="shared" ca="1" si="166"/>
        <v>7.150000000000003</v>
      </c>
      <c r="T344" s="304">
        <f t="shared" ca="1" si="146"/>
        <v>70.141500000000036</v>
      </c>
      <c r="U344" s="311">
        <f t="shared" ca="1" si="147"/>
        <v>0</v>
      </c>
      <c r="V344" s="306">
        <f t="shared" ca="1" si="148"/>
        <v>1.0471703553833422</v>
      </c>
      <c r="W344" s="304">
        <f t="shared" ca="1" si="149"/>
        <v>1.8433576454587395</v>
      </c>
      <c r="Y344" s="314" t="str">
        <f t="shared" ca="1" si="167"/>
        <v/>
      </c>
      <c r="Z344" s="315" t="str">
        <f t="shared" ca="1" si="168"/>
        <v/>
      </c>
      <c r="AA344" s="316" t="str">
        <f t="shared" ca="1" si="169"/>
        <v/>
      </c>
      <c r="AC344" s="310">
        <f t="shared" ca="1" si="170"/>
        <v>15.999999999999961</v>
      </c>
      <c r="AD344" s="323">
        <f t="shared" ca="1" si="171"/>
        <v>480.73798045419397</v>
      </c>
      <c r="AE344" s="324">
        <f t="shared" ca="1" si="150"/>
        <v>1565.2844356087567</v>
      </c>
      <c r="AG344" s="306">
        <f t="shared" ca="1" si="172"/>
        <v>-3.3901338729529327</v>
      </c>
      <c r="AH344" s="304">
        <f t="shared" ca="1" si="173"/>
        <v>-0.26427316261721123</v>
      </c>
    </row>
    <row r="345" spans="1:34" x14ac:dyDescent="0.2">
      <c r="A345" s="347">
        <f t="shared" ca="1" si="151"/>
        <v>0.1</v>
      </c>
      <c r="B345" s="304">
        <f t="shared" ca="1" si="152"/>
        <v>16.099999999999962</v>
      </c>
      <c r="D345" s="306">
        <f t="shared" ca="1" si="153"/>
        <v>-0.24715861819611584</v>
      </c>
      <c r="E345" s="307">
        <f t="shared" ca="1" si="154"/>
        <v>-9.8833469691341236</v>
      </c>
      <c r="F345" s="304">
        <f t="shared" ca="1" si="155"/>
        <v>9.8864369059252724</v>
      </c>
      <c r="G345" s="306">
        <f t="shared" ca="1" si="156"/>
        <v>24.87266205880033</v>
      </c>
      <c r="H345" s="307">
        <f t="shared" ca="1" si="157"/>
        <v>6.4002290650642193</v>
      </c>
      <c r="I345" s="304">
        <f t="shared" ca="1" si="158"/>
        <v>25.682917474005524</v>
      </c>
      <c r="J345" s="306">
        <f t="shared" ca="1" si="159"/>
        <v>483.22648245316498</v>
      </c>
      <c r="K345" s="307">
        <f t="shared" ca="1" si="160"/>
        <v>1565.9738752501087</v>
      </c>
      <c r="L345" s="304">
        <f t="shared" ca="1" si="145"/>
        <v>1638.8355656715235</v>
      </c>
      <c r="M345" s="306">
        <f t="shared" ca="1" si="161"/>
        <v>0.25185595736156596</v>
      </c>
      <c r="N345" s="304">
        <f t="shared" ca="1" si="162"/>
        <v>14.430283402044546</v>
      </c>
      <c r="P345" s="310">
        <f t="shared" ca="1" si="163"/>
        <v>23</v>
      </c>
      <c r="Q345" s="304">
        <f t="shared" ca="1" si="164"/>
        <v>0</v>
      </c>
      <c r="R345" s="306">
        <f t="shared" ca="1" si="165"/>
        <v>0</v>
      </c>
      <c r="S345" s="307">
        <f t="shared" ca="1" si="166"/>
        <v>7.150000000000003</v>
      </c>
      <c r="T345" s="304">
        <f t="shared" ca="1" si="146"/>
        <v>70.141500000000036</v>
      </c>
      <c r="U345" s="311">
        <f t="shared" ca="1" si="147"/>
        <v>0</v>
      </c>
      <c r="V345" s="306">
        <f t="shared" ca="1" si="148"/>
        <v>1.0470977166829538</v>
      </c>
      <c r="W345" s="304">
        <f t="shared" ca="1" si="149"/>
        <v>1.8026248714161461</v>
      </c>
      <c r="Y345" s="314" t="str">
        <f t="shared" ca="1" si="167"/>
        <v/>
      </c>
      <c r="Z345" s="315" t="str">
        <f t="shared" ca="1" si="168"/>
        <v/>
      </c>
      <c r="AA345" s="316" t="str">
        <f t="shared" ca="1" si="169"/>
        <v/>
      </c>
      <c r="AC345" s="310" t="e">
        <f t="shared" ca="1" si="170"/>
        <v>#N/A</v>
      </c>
      <c r="AD345" s="323" t="e">
        <f t="shared" ca="1" si="171"/>
        <v>#N/A</v>
      </c>
      <c r="AE345" s="324">
        <f t="shared" ca="1" si="150"/>
        <v>1565.9738752501087</v>
      </c>
      <c r="AG345" s="306">
        <f t="shared" ca="1" si="172"/>
        <v>-3.0487337313185119</v>
      </c>
      <c r="AH345" s="304">
        <f t="shared" ca="1" si="173"/>
        <v>-0.2578122581061173</v>
      </c>
    </row>
    <row r="346" spans="1:34" x14ac:dyDescent="0.2">
      <c r="A346" s="347">
        <f t="shared" ca="1" si="151"/>
        <v>0.1</v>
      </c>
      <c r="B346" s="304">
        <f t="shared" ca="1" si="152"/>
        <v>16.199999999999964</v>
      </c>
      <c r="D346" s="306">
        <f t="shared" ca="1" si="153"/>
        <v>-0.24416152566802027</v>
      </c>
      <c r="E346" s="307">
        <f t="shared" ca="1" si="154"/>
        <v>-9.8728276012216387</v>
      </c>
      <c r="F346" s="304">
        <f t="shared" ca="1" si="155"/>
        <v>9.8758462773607594</v>
      </c>
      <c r="G346" s="306">
        <f t="shared" ca="1" si="156"/>
        <v>24.848245906233529</v>
      </c>
      <c r="H346" s="307">
        <f t="shared" ca="1" si="157"/>
        <v>5.4129463049420554</v>
      </c>
      <c r="I346" s="304">
        <f t="shared" ca="1" si="158"/>
        <v>25.430991178419241</v>
      </c>
      <c r="J346" s="306">
        <f t="shared" ca="1" si="159"/>
        <v>485.71252785141667</v>
      </c>
      <c r="K346" s="307">
        <f t="shared" ca="1" si="160"/>
        <v>1566.564534018609</v>
      </c>
      <c r="L346" s="304">
        <f t="shared" ca="1" si="145"/>
        <v>1640.1344758759128</v>
      </c>
      <c r="M346" s="306">
        <f t="shared" ca="1" si="161"/>
        <v>0.21448926098411661</v>
      </c>
      <c r="N346" s="304">
        <f t="shared" ca="1" si="162"/>
        <v>12.289329405269916</v>
      </c>
      <c r="P346" s="310">
        <f t="shared" ca="1" si="163"/>
        <v>23</v>
      </c>
      <c r="Q346" s="304">
        <f t="shared" ca="1" si="164"/>
        <v>0</v>
      </c>
      <c r="R346" s="306">
        <f t="shared" ca="1" si="165"/>
        <v>0</v>
      </c>
      <c r="S346" s="307">
        <f t="shared" ca="1" si="166"/>
        <v>7.150000000000003</v>
      </c>
      <c r="T346" s="304">
        <f t="shared" ca="1" si="146"/>
        <v>70.141500000000036</v>
      </c>
      <c r="U346" s="311">
        <f t="shared" ca="1" si="147"/>
        <v>0</v>
      </c>
      <c r="V346" s="306">
        <f t="shared" ca="1" si="148"/>
        <v>1.0470354891345124</v>
      </c>
      <c r="W346" s="304">
        <f t="shared" ca="1" si="149"/>
        <v>1.7673290272136817</v>
      </c>
      <c r="Y346" s="314" t="str">
        <f t="shared" ca="1" si="167"/>
        <v/>
      </c>
      <c r="Z346" s="315" t="str">
        <f t="shared" ca="1" si="168"/>
        <v/>
      </c>
      <c r="AA346" s="316" t="str">
        <f t="shared" ca="1" si="169"/>
        <v/>
      </c>
      <c r="AC346" s="310" t="e">
        <f t="shared" ca="1" si="170"/>
        <v>#N/A</v>
      </c>
      <c r="AD346" s="323" t="e">
        <f t="shared" ca="1" si="171"/>
        <v>#N/A</v>
      </c>
      <c r="AE346" s="324">
        <f t="shared" ca="1" si="150"/>
        <v>1566.564534018609</v>
      </c>
      <c r="AG346" s="306">
        <f t="shared" ca="1" si="172"/>
        <v>-2.6967849487314002</v>
      </c>
      <c r="AH346" s="304">
        <f t="shared" ca="1" si="173"/>
        <v>-0.2521153666316287</v>
      </c>
    </row>
    <row r="347" spans="1:34" x14ac:dyDescent="0.2">
      <c r="A347" s="347">
        <f t="shared" ca="1" si="151"/>
        <v>0.1</v>
      </c>
      <c r="B347" s="304">
        <f t="shared" ca="1" si="152"/>
        <v>16.299999999999965</v>
      </c>
      <c r="D347" s="306">
        <f t="shared" ca="1" si="153"/>
        <v>-0.24151483803182763</v>
      </c>
      <c r="E347" s="307">
        <f t="shared" ca="1" si="154"/>
        <v>-9.8626116352456545</v>
      </c>
      <c r="F347" s="304">
        <f t="shared" ca="1" si="155"/>
        <v>9.8655682900009616</v>
      </c>
      <c r="G347" s="306">
        <f t="shared" ca="1" si="156"/>
        <v>24.824094422430345</v>
      </c>
      <c r="H347" s="307">
        <f t="shared" ca="1" si="157"/>
        <v>4.4266851414174901</v>
      </c>
      <c r="I347" s="304">
        <f t="shared" ca="1" si="158"/>
        <v>25.215693629860429</v>
      </c>
      <c r="J347" s="306">
        <f t="shared" ca="1" si="159"/>
        <v>488.19614486784985</v>
      </c>
      <c r="K347" s="307">
        <f t="shared" ca="1" si="160"/>
        <v>1567.0565155909271</v>
      </c>
      <c r="L347" s="304">
        <f t="shared" ca="1" si="145"/>
        <v>1641.341402304776</v>
      </c>
      <c r="M347" s="306">
        <f t="shared" ca="1" si="161"/>
        <v>0.17646724117967116</v>
      </c>
      <c r="N347" s="304">
        <f t="shared" ca="1" si="162"/>
        <v>10.110828141912361</v>
      </c>
      <c r="P347" s="310">
        <f t="shared" ca="1" si="163"/>
        <v>23</v>
      </c>
      <c r="Q347" s="304">
        <f t="shared" ca="1" si="164"/>
        <v>0</v>
      </c>
      <c r="R347" s="306">
        <f t="shared" ca="1" si="165"/>
        <v>0</v>
      </c>
      <c r="S347" s="307">
        <f t="shared" ca="1" si="166"/>
        <v>7.150000000000003</v>
      </c>
      <c r="T347" s="304">
        <f t="shared" ca="1" si="146"/>
        <v>70.141500000000036</v>
      </c>
      <c r="U347" s="311">
        <f t="shared" ca="1" si="147"/>
        <v>0</v>
      </c>
      <c r="V347" s="306">
        <f t="shared" ca="1" si="148"/>
        <v>1.0469836601057574</v>
      </c>
      <c r="W347" s="304">
        <f t="shared" ca="1" si="149"/>
        <v>1.7374454415984817</v>
      </c>
      <c r="Y347" s="314" t="str">
        <f t="shared" ca="1" si="167"/>
        <v/>
      </c>
      <c r="Z347" s="315" t="str">
        <f t="shared" ca="1" si="168"/>
        <v/>
      </c>
      <c r="AA347" s="316" t="str">
        <f t="shared" ca="1" si="169"/>
        <v/>
      </c>
      <c r="AC347" s="310" t="e">
        <f t="shared" ca="1" si="170"/>
        <v>#N/A</v>
      </c>
      <c r="AD347" s="323" t="e">
        <f t="shared" ca="1" si="171"/>
        <v>#N/A</v>
      </c>
      <c r="AE347" s="324">
        <f t="shared" ca="1" si="150"/>
        <v>1567.0565155909271</v>
      </c>
      <c r="AG347" s="306">
        <f t="shared" ca="1" si="172"/>
        <v>-2.3352218903640836</v>
      </c>
      <c r="AH347" s="304">
        <f t="shared" ca="1" si="173"/>
        <v>-0.24717888492499035</v>
      </c>
    </row>
    <row r="348" spans="1:34" x14ac:dyDescent="0.2">
      <c r="A348" s="347">
        <f t="shared" ca="1" si="151"/>
        <v>0.1</v>
      </c>
      <c r="B348" s="304">
        <f t="shared" ca="1" si="152"/>
        <v>16.399999999999967</v>
      </c>
      <c r="D348" s="306">
        <f t="shared" ca="1" si="153"/>
        <v>-0.2392255873218159</v>
      </c>
      <c r="E348" s="307">
        <f t="shared" ca="1" si="154"/>
        <v>-9.8526592138598819</v>
      </c>
      <c r="F348" s="304">
        <f t="shared" ca="1" si="155"/>
        <v>9.8555630212630412</v>
      </c>
      <c r="G348" s="306">
        <f t="shared" ca="1" si="156"/>
        <v>24.800171863698164</v>
      </c>
      <c r="H348" s="307">
        <f t="shared" ca="1" si="157"/>
        <v>3.4414192200315021</v>
      </c>
      <c r="I348" s="304">
        <f t="shared" ca="1" si="158"/>
        <v>25.037809223591594</v>
      </c>
      <c r="J348" s="306">
        <f t="shared" ca="1" si="159"/>
        <v>490.6773581821563</v>
      </c>
      <c r="K348" s="307">
        <f t="shared" ca="1" si="160"/>
        <v>1567.4499208089997</v>
      </c>
      <c r="L348" s="304">
        <f t="shared" ca="1" si="145"/>
        <v>1642.4565516557079</v>
      </c>
      <c r="M348" s="306">
        <f t="shared" ca="1" si="161"/>
        <v>0.13788540190523119</v>
      </c>
      <c r="N348" s="304">
        <f t="shared" ca="1" si="162"/>
        <v>7.9002515856348676</v>
      </c>
      <c r="P348" s="310">
        <f t="shared" ca="1" si="163"/>
        <v>23</v>
      </c>
      <c r="Q348" s="304">
        <f t="shared" ca="1" si="164"/>
        <v>0</v>
      </c>
      <c r="R348" s="306">
        <f t="shared" ca="1" si="165"/>
        <v>0</v>
      </c>
      <c r="S348" s="307">
        <f t="shared" ca="1" si="166"/>
        <v>7.150000000000003</v>
      </c>
      <c r="T348" s="304">
        <f t="shared" ca="1" si="146"/>
        <v>70.141500000000036</v>
      </c>
      <c r="U348" s="311">
        <f t="shared" ca="1" si="147"/>
        <v>0</v>
      </c>
      <c r="V348" s="306">
        <f t="shared" ca="1" si="148"/>
        <v>1.046942217550864</v>
      </c>
      <c r="W348" s="304">
        <f t="shared" ca="1" si="149"/>
        <v>1.7129504430034999</v>
      </c>
      <c r="Y348" s="314" t="str">
        <f t="shared" ca="1" si="167"/>
        <v/>
      </c>
      <c r="Z348" s="315" t="str">
        <f t="shared" ca="1" si="168"/>
        <v/>
      </c>
      <c r="AA348" s="316" t="str">
        <f t="shared" ca="1" si="169"/>
        <v/>
      </c>
      <c r="AC348" s="310" t="e">
        <f t="shared" ca="1" si="170"/>
        <v>#N/A</v>
      </c>
      <c r="AD348" s="323" t="e">
        <f t="shared" ca="1" si="171"/>
        <v>#N/A</v>
      </c>
      <c r="AE348" s="324">
        <f t="shared" ca="1" si="150"/>
        <v>1567.4499208089997</v>
      </c>
      <c r="AG348" s="306">
        <f t="shared" ca="1" si="172"/>
        <v>-1.9651721440135559</v>
      </c>
      <c r="AH348" s="304">
        <f t="shared" ca="1" si="173"/>
        <v>-0.242999362461326</v>
      </c>
    </row>
    <row r="349" spans="1:34" x14ac:dyDescent="0.2">
      <c r="A349" s="347">
        <f t="shared" ca="1" si="151"/>
        <v>0.1</v>
      </c>
      <c r="B349" s="304">
        <f t="shared" ca="1" si="152"/>
        <v>16.499999999999968</v>
      </c>
      <c r="D349" s="306">
        <f t="shared" ca="1" si="153"/>
        <v>-0.23729966294255489</v>
      </c>
      <c r="E349" s="307">
        <f t="shared" ca="1" si="154"/>
        <v>-9.8429291113563977</v>
      </c>
      <c r="F349" s="304">
        <f t="shared" ca="1" si="155"/>
        <v>9.8457891822453671</v>
      </c>
      <c r="G349" s="306">
        <f t="shared" ca="1" si="156"/>
        <v>24.77644189740391</v>
      </c>
      <c r="H349" s="307">
        <f t="shared" ca="1" si="157"/>
        <v>2.4571263088958624</v>
      </c>
      <c r="I349" s="304">
        <f t="shared" ca="1" si="158"/>
        <v>24.897982705297633</v>
      </c>
      <c r="J349" s="306">
        <f t="shared" ca="1" si="159"/>
        <v>493.15618887021139</v>
      </c>
      <c r="K349" s="307">
        <f t="shared" ca="1" si="160"/>
        <v>1567.7448480854459</v>
      </c>
      <c r="L349" s="304">
        <f t="shared" ca="1" si="145"/>
        <v>1643.4801292742939</v>
      </c>
      <c r="M349" s="306">
        <f t="shared" ca="1" si="161"/>
        <v>9.8848664099566205E-2</v>
      </c>
      <c r="N349" s="304">
        <f t="shared" ca="1" si="162"/>
        <v>5.6636112634114815</v>
      </c>
      <c r="P349" s="310">
        <f t="shared" ca="1" si="163"/>
        <v>23</v>
      </c>
      <c r="Q349" s="304">
        <f t="shared" ca="1" si="164"/>
        <v>0</v>
      </c>
      <c r="R349" s="306">
        <f t="shared" ca="1" si="165"/>
        <v>0</v>
      </c>
      <c r="S349" s="307">
        <f t="shared" ca="1" si="166"/>
        <v>7.150000000000003</v>
      </c>
      <c r="T349" s="304">
        <f t="shared" ca="1" si="146"/>
        <v>70.141500000000036</v>
      </c>
      <c r="U349" s="311">
        <f t="shared" ca="1" si="147"/>
        <v>0</v>
      </c>
      <c r="V349" s="306">
        <f t="shared" ca="1" si="148"/>
        <v>1.0469111499665991</v>
      </c>
      <c r="W349" s="304">
        <f t="shared" ca="1" si="149"/>
        <v>1.6938212648547086</v>
      </c>
      <c r="Y349" s="314" t="str">
        <f t="shared" ca="1" si="167"/>
        <v/>
      </c>
      <c r="Z349" s="315" t="str">
        <f t="shared" ca="1" si="168"/>
        <v/>
      </c>
      <c r="AA349" s="316" t="str">
        <f t="shared" ca="1" si="169"/>
        <v/>
      </c>
      <c r="AC349" s="310" t="e">
        <f t="shared" ca="1" si="170"/>
        <v>#N/A</v>
      </c>
      <c r="AD349" s="323" t="e">
        <f t="shared" ca="1" si="171"/>
        <v>#N/A</v>
      </c>
      <c r="AE349" s="324">
        <f t="shared" ca="1" si="150"/>
        <v>1567.7448480854459</v>
      </c>
      <c r="AG349" s="306">
        <f t="shared" ca="1" si="172"/>
        <v>-1.5879471520192077</v>
      </c>
      <c r="AH349" s="304">
        <f t="shared" ca="1" si="173"/>
        <v>-0.23957348853195792</v>
      </c>
    </row>
    <row r="350" spans="1:34" x14ac:dyDescent="0.2">
      <c r="A350" s="347">
        <f t="shared" ca="1" si="151"/>
        <v>0.1</v>
      </c>
      <c r="B350" s="304">
        <f t="shared" ca="1" si="152"/>
        <v>16.599999999999969</v>
      </c>
      <c r="D350" s="306">
        <f t="shared" ca="1" si="153"/>
        <v>-0.23574164860824418</v>
      </c>
      <c r="E350" s="307">
        <f t="shared" ca="1" si="154"/>
        <v>-9.8333789423556617</v>
      </c>
      <c r="F350" s="304">
        <f t="shared" ca="1" si="155"/>
        <v>9.8362043263065804</v>
      </c>
      <c r="G350" s="306">
        <f t="shared" ca="1" si="156"/>
        <v>24.752867732543084</v>
      </c>
      <c r="H350" s="307">
        <f t="shared" ca="1" si="157"/>
        <v>1.4737884146602962</v>
      </c>
      <c r="I350" s="304">
        <f t="shared" ca="1" si="158"/>
        <v>24.79670367762537</v>
      </c>
      <c r="J350" s="306">
        <f t="shared" ca="1" si="159"/>
        <v>495.63265435170877</v>
      </c>
      <c r="K350" s="307">
        <f t="shared" ca="1" si="160"/>
        <v>1567.9413938216237</v>
      </c>
      <c r="L350" s="304">
        <f t="shared" ca="1" si="145"/>
        <v>1644.4123395666359</v>
      </c>
      <c r="M350" s="306">
        <f t="shared" ca="1" si="161"/>
        <v>5.9469900087470988E-2</v>
      </c>
      <c r="N350" s="304">
        <f t="shared" ca="1" si="162"/>
        <v>3.407374283076773</v>
      </c>
      <c r="P350" s="310">
        <f t="shared" ca="1" si="163"/>
        <v>23</v>
      </c>
      <c r="Q350" s="304">
        <f t="shared" ca="1" si="164"/>
        <v>0</v>
      </c>
      <c r="R350" s="306">
        <f t="shared" ca="1" si="165"/>
        <v>0</v>
      </c>
      <c r="S350" s="307">
        <f t="shared" ca="1" si="166"/>
        <v>7.150000000000003</v>
      </c>
      <c r="T350" s="304">
        <f t="shared" ca="1" si="146"/>
        <v>70.141500000000036</v>
      </c>
      <c r="U350" s="311">
        <f t="shared" ca="1" si="147"/>
        <v>0</v>
      </c>
      <c r="V350" s="306">
        <f t="shared" ca="1" si="148"/>
        <v>1.046890446347216</v>
      </c>
      <c r="W350" s="304">
        <f t="shared" ca="1" si="149"/>
        <v>1.6800359489941294</v>
      </c>
      <c r="Y350" s="314" t="str">
        <f t="shared" ca="1" si="167"/>
        <v/>
      </c>
      <c r="Z350" s="315" t="str">
        <f t="shared" ca="1" si="168"/>
        <v/>
      </c>
      <c r="AA350" s="316" t="str">
        <f t="shared" ca="1" si="169"/>
        <v/>
      </c>
      <c r="AC350" s="310" t="e">
        <f t="shared" ca="1" si="170"/>
        <v>#N/A</v>
      </c>
      <c r="AD350" s="323" t="e">
        <f t="shared" ca="1" si="171"/>
        <v>#N/A</v>
      </c>
      <c r="AE350" s="324">
        <f t="shared" ca="1" si="150"/>
        <v>1567.9413938216237</v>
      </c>
      <c r="AG350" s="306">
        <f t="shared" ca="1" si="172"/>
        <v>-1.2050250704753385</v>
      </c>
      <c r="AH350" s="304">
        <f t="shared" ca="1" si="173"/>
        <v>-0.23689807900065846</v>
      </c>
    </row>
    <row r="351" spans="1:34" x14ac:dyDescent="0.2">
      <c r="A351" s="347">
        <f t="shared" ca="1" si="151"/>
        <v>0.1</v>
      </c>
      <c r="B351" s="304">
        <f t="shared" ca="1" si="152"/>
        <v>16.699999999999971</v>
      </c>
      <c r="D351" s="306">
        <f t="shared" ca="1" si="153"/>
        <v>-0.23455467957034354</v>
      </c>
      <c r="E351" s="307">
        <f t="shared" ca="1" si="154"/>
        <v>-9.8239654109208789</v>
      </c>
      <c r="F351" s="304">
        <f t="shared" ca="1" si="155"/>
        <v>9.8267650980716024</v>
      </c>
      <c r="G351" s="306">
        <f t="shared" ca="1" si="156"/>
        <v>24.729412264586049</v>
      </c>
      <c r="H351" s="307">
        <f t="shared" ca="1" si="157"/>
        <v>0.49139187356820824</v>
      </c>
      <c r="I351" s="304">
        <f t="shared" ca="1" si="158"/>
        <v>24.734293944345122</v>
      </c>
      <c r="J351" s="306">
        <f t="shared" ca="1" si="159"/>
        <v>498.10676835156522</v>
      </c>
      <c r="K351" s="307">
        <f t="shared" ca="1" si="160"/>
        <v>1568.0396528360352</v>
      </c>
      <c r="L351" s="304">
        <f t="shared" ca="1" si="145"/>
        <v>1645.2533864252623</v>
      </c>
      <c r="M351" s="306">
        <f t="shared" ca="1" si="161"/>
        <v>1.9868131471677541E-2</v>
      </c>
      <c r="N351" s="304">
        <f t="shared" ca="1" si="162"/>
        <v>1.1383600801381681</v>
      </c>
      <c r="P351" s="310">
        <f t="shared" ca="1" si="163"/>
        <v>23</v>
      </c>
      <c r="Q351" s="304">
        <f t="shared" ca="1" si="164"/>
        <v>0</v>
      </c>
      <c r="R351" s="306">
        <f t="shared" ca="1" si="165"/>
        <v>0</v>
      </c>
      <c r="S351" s="307">
        <f t="shared" ca="1" si="166"/>
        <v>7.150000000000003</v>
      </c>
      <c r="T351" s="304">
        <f t="shared" ca="1" si="146"/>
        <v>70.141500000000036</v>
      </c>
      <c r="U351" s="311">
        <f t="shared" ca="1" si="147"/>
        <v>0</v>
      </c>
      <c r="V351" s="306">
        <f t="shared" ca="1" si="148"/>
        <v>1.0468800961383093</v>
      </c>
      <c r="W351" s="304">
        <f t="shared" ca="1" si="149"/>
        <v>1.6715732476836436</v>
      </c>
      <c r="Y351" s="314" t="str">
        <f t="shared" ca="1" si="167"/>
        <v>Apogée</v>
      </c>
      <c r="Z351" s="315" t="str">
        <f t="shared" ca="1" si="168"/>
        <v/>
      </c>
      <c r="AA351" s="316" t="str">
        <f t="shared" ca="1" si="169"/>
        <v/>
      </c>
      <c r="AC351" s="310" t="e">
        <f t="shared" ca="1" si="170"/>
        <v>#N/A</v>
      </c>
      <c r="AD351" s="323" t="e">
        <f t="shared" ca="1" si="171"/>
        <v>#N/A</v>
      </c>
      <c r="AE351" s="324">
        <f t="shared" ca="1" si="150"/>
        <v>1568.0396528360352</v>
      </c>
      <c r="AG351" s="306">
        <f t="shared" ca="1" si="172"/>
        <v>-0.81802596150694962</v>
      </c>
      <c r="AH351" s="304">
        <f t="shared" ca="1" si="173"/>
        <v>-0.23497006279638163</v>
      </c>
    </row>
    <row r="352" spans="1:34" x14ac:dyDescent="0.2">
      <c r="A352" s="347">
        <f t="shared" ca="1" si="151"/>
        <v>0.1</v>
      </c>
      <c r="B352" s="304">
        <f t="shared" ca="1" si="152"/>
        <v>16.799999999999972</v>
      </c>
      <c r="D352" s="306">
        <f t="shared" ca="1" si="153"/>
        <v>-0.23374032698057434</v>
      </c>
      <c r="E352" s="307">
        <f t="shared" ca="1" si="154"/>
        <v>-9.8146445947026386</v>
      </c>
      <c r="F352" s="304">
        <f t="shared" ca="1" si="155"/>
        <v>9.8174275174702821</v>
      </c>
      <c r="G352" s="306">
        <f t="shared" ca="1" si="156"/>
        <v>24.706038231887991</v>
      </c>
      <c r="H352" s="307">
        <f t="shared" ca="1" si="157"/>
        <v>-0.49007258590205571</v>
      </c>
      <c r="I352" s="304">
        <f t="shared" ca="1" si="158"/>
        <v>24.710898329582513</v>
      </c>
      <c r="J352" s="306">
        <f t="shared" ca="1" si="159"/>
        <v>500.5785408763889</v>
      </c>
      <c r="K352" s="307">
        <f t="shared" ca="1" si="160"/>
        <v>1568.0397188004185</v>
      </c>
      <c r="L352" s="304">
        <f t="shared" ca="1" si="145"/>
        <v>1646.0034736663317</v>
      </c>
      <c r="M352" s="306">
        <f t="shared" ca="1" si="161"/>
        <v>-1.9833545133631988E-2</v>
      </c>
      <c r="N352" s="304">
        <f t="shared" ca="1" si="162"/>
        <v>-1.1363784289393453</v>
      </c>
      <c r="P352" s="310">
        <f t="shared" ca="1" si="163"/>
        <v>23</v>
      </c>
      <c r="Q352" s="304">
        <f t="shared" ca="1" si="164"/>
        <v>0</v>
      </c>
      <c r="R352" s="306">
        <f t="shared" ca="1" si="165"/>
        <v>0</v>
      </c>
      <c r="S352" s="307">
        <f t="shared" ca="1" si="166"/>
        <v>7.150000000000003</v>
      </c>
      <c r="T352" s="304">
        <f t="shared" ca="1" si="146"/>
        <v>70.141500000000036</v>
      </c>
      <c r="U352" s="311">
        <f t="shared" ca="1" si="147"/>
        <v>0</v>
      </c>
      <c r="V352" s="306">
        <f t="shared" ca="1" si="148"/>
        <v>1.0468800891899188</v>
      </c>
      <c r="W352" s="304">
        <f t="shared" ca="1" si="149"/>
        <v>1.6684125247342754</v>
      </c>
      <c r="Y352" s="314" t="str">
        <f t="shared" ca="1" si="167"/>
        <v/>
      </c>
      <c r="Z352" s="315" t="str">
        <f t="shared" ca="1" si="168"/>
        <v/>
      </c>
      <c r="AA352" s="316" t="str">
        <f t="shared" ca="1" si="169"/>
        <v/>
      </c>
      <c r="AC352" s="310" t="e">
        <f t="shared" ca="1" si="170"/>
        <v>#N/A</v>
      </c>
      <c r="AD352" s="323" t="e">
        <f t="shared" ca="1" si="171"/>
        <v>#N/A</v>
      </c>
      <c r="AE352" s="324">
        <f t="shared" ca="1" si="150"/>
        <v>1568.0397188004185</v>
      </c>
      <c r="AG352" s="306">
        <f t="shared" ca="1" si="172"/>
        <v>-0.42868001522165622</v>
      </c>
      <c r="AH352" s="304">
        <f t="shared" ca="1" si="173"/>
        <v>-0.23378646820750248</v>
      </c>
    </row>
    <row r="353" spans="1:34" x14ac:dyDescent="0.2">
      <c r="A353" s="347">
        <f t="shared" ca="1" si="151"/>
        <v>0.1</v>
      </c>
      <c r="B353" s="304">
        <f t="shared" ca="1" si="152"/>
        <v>16.899999999999974</v>
      </c>
      <c r="D353" s="306">
        <f t="shared" ca="1" si="153"/>
        <v>-0.23329851526998396</v>
      </c>
      <c r="E353" s="307">
        <f t="shared" ca="1" si="154"/>
        <v>-9.805372256547475</v>
      </c>
      <c r="F353" s="304">
        <f t="shared" ca="1" si="155"/>
        <v>9.8081472912420153</v>
      </c>
      <c r="G353" s="306">
        <f t="shared" ca="1" si="156"/>
        <v>24.682708380360992</v>
      </c>
      <c r="H353" s="307">
        <f t="shared" ca="1" si="157"/>
        <v>-1.4706098115568031</v>
      </c>
      <c r="I353" s="304">
        <f t="shared" ca="1" si="158"/>
        <v>24.726479454378254</v>
      </c>
      <c r="J353" s="306">
        <f t="shared" ca="1" si="159"/>
        <v>503.04797820700134</v>
      </c>
      <c r="K353" s="307">
        <f t="shared" ca="1" si="160"/>
        <v>1567.9416846805457</v>
      </c>
      <c r="L353" s="304">
        <f t="shared" ca="1" si="145"/>
        <v>1646.6628054756745</v>
      </c>
      <c r="M353" s="306">
        <f t="shared" ca="1" si="161"/>
        <v>-5.9510218273218542E-2</v>
      </c>
      <c r="N353" s="304">
        <f t="shared" ca="1" si="162"/>
        <v>-3.4096843449577321</v>
      </c>
      <c r="P353" s="310">
        <f t="shared" ca="1" si="163"/>
        <v>23</v>
      </c>
      <c r="Q353" s="304">
        <f t="shared" ca="1" si="164"/>
        <v>0</v>
      </c>
      <c r="R353" s="306">
        <f t="shared" ca="1" si="165"/>
        <v>0</v>
      </c>
      <c r="S353" s="307">
        <f t="shared" ca="1" si="166"/>
        <v>7.150000000000003</v>
      </c>
      <c r="T353" s="304">
        <f t="shared" ca="1" si="146"/>
        <v>70.141500000000036</v>
      </c>
      <c r="U353" s="311">
        <f t="shared" ca="1" si="147"/>
        <v>0</v>
      </c>
      <c r="V353" s="306">
        <f t="shared" ca="1" si="148"/>
        <v>1.046890415709169</v>
      </c>
      <c r="W353" s="304">
        <f t="shared" ca="1" si="149"/>
        <v>1.6705336563709234</v>
      </c>
      <c r="Y353" s="314" t="str">
        <f t="shared" ca="1" si="167"/>
        <v/>
      </c>
      <c r="Z353" s="315" t="str">
        <f t="shared" ca="1" si="168"/>
        <v/>
      </c>
      <c r="AA353" s="316" t="str">
        <f t="shared" ca="1" si="169"/>
        <v/>
      </c>
      <c r="AC353" s="310" t="e">
        <f t="shared" ca="1" si="170"/>
        <v>#N/A</v>
      </c>
      <c r="AD353" s="323" t="e">
        <f t="shared" ca="1" si="171"/>
        <v>#N/A</v>
      </c>
      <c r="AE353" s="324">
        <f t="shared" ca="1" si="150"/>
        <v>1567.9416846805457</v>
      </c>
      <c r="AG353" s="306">
        <f t="shared" ca="1" si="172"/>
        <v>-3.879008716801377E-2</v>
      </c>
      <c r="AH353" s="304">
        <f t="shared" ca="1" si="173"/>
        <v>-0.23334440905374471</v>
      </c>
    </row>
    <row r="354" spans="1:34" x14ac:dyDescent="0.2">
      <c r="A354" s="347">
        <f t="shared" ca="1" si="151"/>
        <v>0.1</v>
      </c>
      <c r="B354" s="304">
        <f t="shared" ca="1" si="152"/>
        <v>16.999999999999975</v>
      </c>
      <c r="D354" s="306">
        <f t="shared" ca="1" si="153"/>
        <v>-0.23322747693997137</v>
      </c>
      <c r="E354" s="307">
        <f t="shared" ca="1" si="154"/>
        <v>-9.7961041742005328</v>
      </c>
      <c r="F354" s="304">
        <f t="shared" ca="1" si="155"/>
        <v>9.7988801425361309</v>
      </c>
      <c r="G354" s="306">
        <f t="shared" ca="1" si="156"/>
        <v>24.659385632666996</v>
      </c>
      <c r="H354" s="307">
        <f t="shared" ca="1" si="157"/>
        <v>-2.4502202289768564</v>
      </c>
      <c r="I354" s="304">
        <f t="shared" ca="1" si="158"/>
        <v>24.780816753107047</v>
      </c>
      <c r="J354" s="306">
        <f t="shared" ca="1" si="159"/>
        <v>505.51508290765275</v>
      </c>
      <c r="K354" s="307">
        <f t="shared" ca="1" si="160"/>
        <v>1567.745643178519</v>
      </c>
      <c r="L354" s="304">
        <f t="shared" ca="1" si="145"/>
        <v>1647.2315868609244</v>
      </c>
      <c r="M354" s="306">
        <f t="shared" ca="1" si="161"/>
        <v>-9.9037505891727884E-2</v>
      </c>
      <c r="N354" s="304">
        <f t="shared" ca="1" si="162"/>
        <v>-5.6744311010980324</v>
      </c>
      <c r="P354" s="310">
        <f t="shared" ca="1" si="163"/>
        <v>23</v>
      </c>
      <c r="Q354" s="304">
        <f t="shared" ca="1" si="164"/>
        <v>0</v>
      </c>
      <c r="R354" s="306">
        <f t="shared" ca="1" si="165"/>
        <v>0</v>
      </c>
      <c r="S354" s="307">
        <f t="shared" ca="1" si="166"/>
        <v>7.150000000000003</v>
      </c>
      <c r="T354" s="304">
        <f t="shared" ca="1" si="146"/>
        <v>70.141500000000036</v>
      </c>
      <c r="U354" s="311">
        <f t="shared" ca="1" si="147"/>
        <v>0</v>
      </c>
      <c r="V354" s="306">
        <f t="shared" ca="1" si="148"/>
        <v>1.0469110662127918</v>
      </c>
      <c r="W354" s="304">
        <f t="shared" ca="1" si="149"/>
        <v>1.6779169324894312</v>
      </c>
      <c r="Y354" s="314" t="str">
        <f t="shared" ca="1" si="167"/>
        <v/>
      </c>
      <c r="Z354" s="315" t="str">
        <f t="shared" ca="1" si="168"/>
        <v>Para</v>
      </c>
      <c r="AA354" s="316" t="str">
        <f t="shared" ca="1" si="169"/>
        <v/>
      </c>
      <c r="AC354" s="310">
        <f t="shared" ca="1" si="170"/>
        <v>16.999999999999975</v>
      </c>
      <c r="AD354" s="323">
        <f t="shared" ca="1" si="171"/>
        <v>505.51508290765275</v>
      </c>
      <c r="AE354" s="324" t="e">
        <f t="shared" ca="1" si="150"/>
        <v>#N/A</v>
      </c>
      <c r="AG354" s="306">
        <f t="shared" ca="1" si="172"/>
        <v>0.34980964960960581</v>
      </c>
      <c r="AH354" s="304">
        <f t="shared" ca="1" si="173"/>
        <v>-0.23364107082110808</v>
      </c>
    </row>
    <row r="355" spans="1:34" x14ac:dyDescent="0.2">
      <c r="A355" s="347">
        <f t="shared" ca="1" si="151"/>
        <v>0.1</v>
      </c>
      <c r="B355" s="304">
        <f t="shared" ca="1" si="152"/>
        <v>17.099999999999977</v>
      </c>
      <c r="D355" s="306">
        <f t="shared" ca="1" si="153"/>
        <v>-0.23352374726645431</v>
      </c>
      <c r="E355" s="307">
        <f t="shared" ca="1" si="154"/>
        <v>-9.7867964774945264</v>
      </c>
      <c r="F355" s="304">
        <f t="shared" ca="1" si="155"/>
        <v>9.7895821479998126</v>
      </c>
      <c r="G355" s="306">
        <f t="shared" ca="1" si="156"/>
        <v>24.636033257940351</v>
      </c>
      <c r="H355" s="307">
        <f t="shared" ca="1" si="157"/>
        <v>-3.4288998767263092</v>
      </c>
      <c r="I355" s="304">
        <f t="shared" ca="1" si="158"/>
        <v>24.873509785532011</v>
      </c>
      <c r="J355" s="306">
        <f t="shared" ca="1" si="159"/>
        <v>507.97985385218311</v>
      </c>
      <c r="K355" s="307">
        <f t="shared" ca="1" si="160"/>
        <v>1567.4516871732339</v>
      </c>
      <c r="L355" s="304">
        <f t="shared" ca="1" si="145"/>
        <v>1647.710024106761</v>
      </c>
      <c r="M355" s="306">
        <f t="shared" ca="1" si="161"/>
        <v>-0.13829387461197951</v>
      </c>
      <c r="N355" s="304">
        <f t="shared" ca="1" si="162"/>
        <v>-7.9236553477778306</v>
      </c>
      <c r="P355" s="310">
        <f t="shared" ca="1" si="163"/>
        <v>23</v>
      </c>
      <c r="Q355" s="304">
        <f t="shared" ca="1" si="164"/>
        <v>0</v>
      </c>
      <c r="R355" s="306">
        <f t="shared" ca="1" si="165"/>
        <v>0</v>
      </c>
      <c r="S355" s="307">
        <f t="shared" ca="1" si="166"/>
        <v>7.150000000000003</v>
      </c>
      <c r="T355" s="304">
        <f t="shared" ca="1" si="146"/>
        <v>70.141500000000036</v>
      </c>
      <c r="U355" s="311">
        <f t="shared" ca="1" si="147"/>
        <v>0</v>
      </c>
      <c r="V355" s="306">
        <f t="shared" ca="1" si="148"/>
        <v>1.0469420314798559</v>
      </c>
      <c r="W355" s="304">
        <f t="shared" ca="1" si="149"/>
        <v>1.6905429589880743</v>
      </c>
      <c r="Y355" s="314" t="str">
        <f t="shared" ca="1" si="167"/>
        <v/>
      </c>
      <c r="Z355" s="315" t="str">
        <f t="shared" ca="1" si="168"/>
        <v/>
      </c>
      <c r="AA355" s="316" t="str">
        <f t="shared" ca="1" si="169"/>
        <v/>
      </c>
      <c r="AC355" s="310" t="e">
        <f t="shared" ca="1" si="170"/>
        <v>#N/A</v>
      </c>
      <c r="AD355" s="323" t="e">
        <f t="shared" ca="1" si="171"/>
        <v>#N/A</v>
      </c>
      <c r="AE355" s="324" t="e">
        <f t="shared" ca="1" si="150"/>
        <v>#N/A</v>
      </c>
      <c r="AG355" s="306">
        <f t="shared" ca="1" si="172"/>
        <v>0.73529677206958766</v>
      </c>
      <c r="AH355" s="304">
        <f t="shared" ca="1" si="173"/>
        <v>-0.23467369685166861</v>
      </c>
    </row>
    <row r="356" spans="1:34" x14ac:dyDescent="0.2">
      <c r="A356" s="347">
        <f t="shared" ca="1" si="151"/>
        <v>0.1</v>
      </c>
      <c r="B356" s="304">
        <f t="shared" ca="1" si="152"/>
        <v>17.199999999999978</v>
      </c>
      <c r="D356" s="306">
        <f t="shared" ca="1" si="153"/>
        <v>-0.23418219928044637</v>
      </c>
      <c r="E356" s="307">
        <f t="shared" ca="1" si="154"/>
        <v>-9.7774059818869006</v>
      </c>
      <c r="F356" s="304">
        <f t="shared" ca="1" si="155"/>
        <v>9.7802100712151159</v>
      </c>
      <c r="G356" s="306">
        <f t="shared" ca="1" si="156"/>
        <v>24.612615038012308</v>
      </c>
      <c r="H356" s="307">
        <f t="shared" ca="1" si="157"/>
        <v>-4.4066404749149992</v>
      </c>
      <c r="I356" s="304">
        <f t="shared" ca="1" si="158"/>
        <v>25.00398566797999</v>
      </c>
      <c r="J356" s="306">
        <f t="shared" ca="1" si="159"/>
        <v>510.44228626698077</v>
      </c>
      <c r="K356" s="307">
        <f t="shared" ca="1" si="160"/>
        <v>1567.0599101556518</v>
      </c>
      <c r="L356" s="304">
        <f t="shared" ca="1" si="145"/>
        <v>1648.0983252301733</v>
      </c>
      <c r="M356" s="306">
        <f t="shared" ca="1" si="161"/>
        <v>-0.17716282717344717</v>
      </c>
      <c r="N356" s="304">
        <f t="shared" ca="1" si="162"/>
        <v>-10.150682283644139</v>
      </c>
      <c r="P356" s="310">
        <f t="shared" ca="1" si="163"/>
        <v>23</v>
      </c>
      <c r="Q356" s="304">
        <f t="shared" ca="1" si="164"/>
        <v>0</v>
      </c>
      <c r="R356" s="306">
        <f t="shared" ca="1" si="165"/>
        <v>0</v>
      </c>
      <c r="S356" s="307">
        <f t="shared" ca="1" si="166"/>
        <v>7.150000000000003</v>
      </c>
      <c r="T356" s="304">
        <f t="shared" ca="1" si="146"/>
        <v>70.141500000000036</v>
      </c>
      <c r="U356" s="311">
        <f t="shared" ca="1" si="147"/>
        <v>0</v>
      </c>
      <c r="V356" s="306">
        <f t="shared" ca="1" si="148"/>
        <v>1.0469833025050639</v>
      </c>
      <c r="W356" s="304">
        <f t="shared" ca="1" si="149"/>
        <v>1.7083925618575624</v>
      </c>
      <c r="Y356" s="314" t="str">
        <f t="shared" ca="1" si="167"/>
        <v/>
      </c>
      <c r="Z356" s="315" t="str">
        <f t="shared" ca="1" si="168"/>
        <v/>
      </c>
      <c r="AA356" s="316" t="str">
        <f t="shared" ca="1" si="169"/>
        <v/>
      </c>
      <c r="AC356" s="310" t="e">
        <f t="shared" ca="1" si="170"/>
        <v>#N/A</v>
      </c>
      <c r="AD356" s="323" t="e">
        <f t="shared" ca="1" si="171"/>
        <v>#N/A</v>
      </c>
      <c r="AE356" s="324" t="e">
        <f t="shared" ca="1" si="150"/>
        <v>#N/A</v>
      </c>
      <c r="AG356" s="306">
        <f t="shared" ca="1" si="172"/>
        <v>1.1159030613463827</v>
      </c>
      <c r="AH356" s="304">
        <f t="shared" ca="1" si="173"/>
        <v>-0.23643957468364665</v>
      </c>
    </row>
    <row r="357" spans="1:34" x14ac:dyDescent="0.2">
      <c r="A357" s="347">
        <f t="shared" ca="1" si="151"/>
        <v>0.1</v>
      </c>
      <c r="B357" s="304">
        <f t="shared" ca="1" si="152"/>
        <v>17.299999999999979</v>
      </c>
      <c r="D357" s="306">
        <f t="shared" ca="1" si="153"/>
        <v>-0.23519611721021041</v>
      </c>
      <c r="E357" s="307">
        <f t="shared" ca="1" si="154"/>
        <v>-9.7678905074474738</v>
      </c>
      <c r="F357" s="304">
        <f t="shared" ca="1" si="155"/>
        <v>9.7707216815869451</v>
      </c>
      <c r="G357" s="306">
        <f t="shared" ca="1" si="156"/>
        <v>24.589095426291287</v>
      </c>
      <c r="H357" s="307">
        <f t="shared" ca="1" si="157"/>
        <v>-5.3834295256597464</v>
      </c>
      <c r="I357" s="304">
        <f t="shared" ca="1" si="158"/>
        <v>25.171510231629014</v>
      </c>
      <c r="J357" s="306">
        <f t="shared" ca="1" si="159"/>
        <v>512.90237179019596</v>
      </c>
      <c r="K357" s="307">
        <f t="shared" ca="1" si="160"/>
        <v>1566.5704066556229</v>
      </c>
      <c r="L357" s="304">
        <f t="shared" ca="1" si="145"/>
        <v>1648.3967004326273</v>
      </c>
      <c r="M357" s="306">
        <f t="shared" ca="1" si="161"/>
        <v>-0.21553486237107269</v>
      </c>
      <c r="N357" s="304">
        <f t="shared" ca="1" si="162"/>
        <v>-12.349237951795525</v>
      </c>
      <c r="P357" s="310">
        <f t="shared" ca="1" si="163"/>
        <v>23</v>
      </c>
      <c r="Q357" s="304">
        <f t="shared" ca="1" si="164"/>
        <v>0</v>
      </c>
      <c r="R357" s="306">
        <f t="shared" ca="1" si="165"/>
        <v>0</v>
      </c>
      <c r="S357" s="307">
        <f t="shared" ca="1" si="166"/>
        <v>7.150000000000003</v>
      </c>
      <c r="T357" s="304">
        <f t="shared" ca="1" si="146"/>
        <v>70.141500000000036</v>
      </c>
      <c r="U357" s="311">
        <f t="shared" ca="1" si="147"/>
        <v>0</v>
      </c>
      <c r="V357" s="306">
        <f t="shared" ca="1" si="148"/>
        <v>1.0470348704529391</v>
      </c>
      <c r="W357" s="304">
        <f t="shared" ca="1" si="149"/>
        <v>1.73144669369212</v>
      </c>
      <c r="Y357" s="314" t="str">
        <f t="shared" ca="1" si="167"/>
        <v/>
      </c>
      <c r="Z357" s="315" t="str">
        <f t="shared" ca="1" si="168"/>
        <v/>
      </c>
      <c r="AA357" s="316" t="str">
        <f t="shared" ca="1" si="169"/>
        <v/>
      </c>
      <c r="AC357" s="310" t="e">
        <f t="shared" ca="1" si="170"/>
        <v>#N/A</v>
      </c>
      <c r="AD357" s="323" t="e">
        <f t="shared" ca="1" si="171"/>
        <v>#N/A</v>
      </c>
      <c r="AE357" s="324" t="e">
        <f t="shared" ca="1" si="150"/>
        <v>#N/A</v>
      </c>
      <c r="AG357" s="306">
        <f t="shared" ca="1" si="172"/>
        <v>1.4899540684441466</v>
      </c>
      <c r="AH357" s="304">
        <f t="shared" ca="1" si="173"/>
        <v>-0.23893602263742122</v>
      </c>
    </row>
    <row r="358" spans="1:34" x14ac:dyDescent="0.2">
      <c r="A358" s="347">
        <f t="shared" ca="1" si="151"/>
        <v>0.1</v>
      </c>
      <c r="B358" s="304">
        <f t="shared" ca="1" si="152"/>
        <v>17.399999999999981</v>
      </c>
      <c r="D358" s="306">
        <f t="shared" ca="1" si="153"/>
        <v>-0.23655730456126081</v>
      </c>
      <c r="E358" s="307">
        <f t="shared" ca="1" si="154"/>
        <v>-9.7582091733832588</v>
      </c>
      <c r="F358" s="304">
        <f t="shared" ca="1" si="155"/>
        <v>9.7610760487685191</v>
      </c>
      <c r="G358" s="306">
        <f t="shared" ca="1" si="156"/>
        <v>24.56543969583516</v>
      </c>
      <c r="H358" s="307">
        <f t="shared" ca="1" si="157"/>
        <v>-6.3592504429980723</v>
      </c>
      <c r="I358" s="304">
        <f t="shared" ca="1" si="158"/>
        <v>25.375202337055072</v>
      </c>
      <c r="J358" s="306">
        <f t="shared" ca="1" si="159"/>
        <v>515.36009854630231</v>
      </c>
      <c r="K358" s="307">
        <f t="shared" ca="1" si="160"/>
        <v>1565.9832726571901</v>
      </c>
      <c r="L358" s="304">
        <f t="shared" ca="1" si="145"/>
        <v>1648.6053625461061</v>
      </c>
      <c r="M358" s="306">
        <f t="shared" ca="1" si="161"/>
        <v>-0.25330913060500143</v>
      </c>
      <c r="N358" s="304">
        <f t="shared" ca="1" si="162"/>
        <v>-14.513544095794735</v>
      </c>
      <c r="P358" s="310">
        <f t="shared" ca="1" si="163"/>
        <v>23</v>
      </c>
      <c r="Q358" s="304">
        <f t="shared" ca="1" si="164"/>
        <v>0</v>
      </c>
      <c r="R358" s="306">
        <f t="shared" ca="1" si="165"/>
        <v>0</v>
      </c>
      <c r="S358" s="307">
        <f t="shared" ca="1" si="166"/>
        <v>7.150000000000003</v>
      </c>
      <c r="T358" s="304">
        <f t="shared" ca="1" si="146"/>
        <v>70.141500000000036</v>
      </c>
      <c r="U358" s="311">
        <f t="shared" ca="1" si="147"/>
        <v>0</v>
      </c>
      <c r="V358" s="306">
        <f t="shared" ca="1" si="148"/>
        <v>1.0470967266132265</v>
      </c>
      <c r="W358" s="304">
        <f t="shared" ca="1" si="149"/>
        <v>1.7596863432409382</v>
      </c>
      <c r="Y358" s="314" t="str">
        <f t="shared" ca="1" si="167"/>
        <v/>
      </c>
      <c r="Z358" s="315" t="str">
        <f t="shared" ca="1" si="168"/>
        <v/>
      </c>
      <c r="AA358" s="316" t="str">
        <f t="shared" ca="1" si="169"/>
        <v/>
      </c>
      <c r="AC358" s="310" t="e">
        <f t="shared" ca="1" si="170"/>
        <v>#N/A</v>
      </c>
      <c r="AD358" s="323" t="e">
        <f t="shared" ca="1" si="171"/>
        <v>#N/A</v>
      </c>
      <c r="AE358" s="324" t="e">
        <f t="shared" ca="1" si="150"/>
        <v>#N/A</v>
      </c>
      <c r="AG358" s="306">
        <f t="shared" ca="1" si="172"/>
        <v>1.8559037902784126</v>
      </c>
      <c r="AH358" s="304">
        <f t="shared" ca="1" si="173"/>
        <v>-0.24216037674015653</v>
      </c>
    </row>
    <row r="359" spans="1:34" x14ac:dyDescent="0.2">
      <c r="A359" s="347">
        <f t="shared" ca="1" si="151"/>
        <v>0.1</v>
      </c>
      <c r="B359" s="304">
        <f t="shared" ca="1" si="152"/>
        <v>17.499999999999982</v>
      </c>
      <c r="D359" s="306">
        <f t="shared" ca="1" si="153"/>
        <v>-0.23825622135561184</v>
      </c>
      <c r="E359" s="307">
        <f t="shared" ca="1" si="154"/>
        <v>-9.748322659803252</v>
      </c>
      <c r="F359" s="304">
        <f t="shared" ca="1" si="155"/>
        <v>9.7512338043269278</v>
      </c>
      <c r="G359" s="306">
        <f t="shared" ca="1" si="156"/>
        <v>24.541614073699598</v>
      </c>
      <c r="H359" s="307">
        <f t="shared" ca="1" si="157"/>
        <v>-7.3340827089783973</v>
      </c>
      <c r="I359" s="304">
        <f t="shared" ca="1" si="158"/>
        <v>25.614050646560106</v>
      </c>
      <c r="J359" s="306">
        <f t="shared" ca="1" si="159"/>
        <v>517.81545123477906</v>
      </c>
      <c r="K359" s="307">
        <f t="shared" ca="1" si="160"/>
        <v>1565.2986059995912</v>
      </c>
      <c r="L359" s="304">
        <f t="shared" ca="1" si="145"/>
        <v>1648.7245274701718</v>
      </c>
      <c r="M359" s="306">
        <f t="shared" ca="1" si="161"/>
        <v>-0.29039473204553434</v>
      </c>
      <c r="N359" s="304">
        <f t="shared" ca="1" si="162"/>
        <v>-16.638392539041558</v>
      </c>
      <c r="P359" s="310">
        <f t="shared" ca="1" si="163"/>
        <v>23</v>
      </c>
      <c r="Q359" s="304">
        <f t="shared" ca="1" si="164"/>
        <v>0</v>
      </c>
      <c r="R359" s="306">
        <f t="shared" ca="1" si="165"/>
        <v>0</v>
      </c>
      <c r="S359" s="307">
        <f t="shared" ca="1" si="166"/>
        <v>7.150000000000003</v>
      </c>
      <c r="T359" s="304">
        <f t="shared" ca="1" si="146"/>
        <v>70.141500000000036</v>
      </c>
      <c r="U359" s="311">
        <f t="shared" ca="1" si="147"/>
        <v>0</v>
      </c>
      <c r="V359" s="306">
        <f t="shared" ca="1" si="148"/>
        <v>1.0471688623577839</v>
      </c>
      <c r="W359" s="304">
        <f t="shared" ca="1" si="149"/>
        <v>1.7930924485568935</v>
      </c>
      <c r="Y359" s="314" t="str">
        <f t="shared" ca="1" si="167"/>
        <v/>
      </c>
      <c r="Z359" s="315" t="str">
        <f t="shared" ca="1" si="168"/>
        <v/>
      </c>
      <c r="AA359" s="316" t="str">
        <f t="shared" ca="1" si="169"/>
        <v/>
      </c>
      <c r="AC359" s="310" t="e">
        <f t="shared" ca="1" si="170"/>
        <v>#N/A</v>
      </c>
      <c r="AD359" s="323" t="e">
        <f t="shared" ca="1" si="171"/>
        <v>#N/A</v>
      </c>
      <c r="AE359" s="324" t="e">
        <f t="shared" ca="1" si="150"/>
        <v>#N/A</v>
      </c>
      <c r="AG359" s="306">
        <f t="shared" ca="1" si="172"/>
        <v>2.2123629049055462</v>
      </c>
      <c r="AH359" s="304">
        <f t="shared" ca="1" si="173"/>
        <v>-0.2461099780756556</v>
      </c>
    </row>
    <row r="360" spans="1:34" x14ac:dyDescent="0.2">
      <c r="A360" s="347">
        <f t="shared" ca="1" si="151"/>
        <v>0.1</v>
      </c>
      <c r="B360" s="304">
        <f t="shared" ca="1" si="152"/>
        <v>17.599999999999984</v>
      </c>
      <c r="D360" s="306">
        <f t="shared" ca="1" si="153"/>
        <v>-0.2402821438848205</v>
      </c>
      <c r="E360" s="307">
        <f t="shared" ca="1" si="154"/>
        <v>-9.7381934304952473</v>
      </c>
      <c r="F360" s="304">
        <f t="shared" ca="1" si="155"/>
        <v>9.7411573644208556</v>
      </c>
      <c r="G360" s="306">
        <f t="shared" ca="1" si="156"/>
        <v>24.517585859311115</v>
      </c>
      <c r="H360" s="307">
        <f t="shared" ca="1" si="157"/>
        <v>-8.3079020520279219</v>
      </c>
      <c r="I360" s="304">
        <f t="shared" ca="1" si="158"/>
        <v>25.886932086958126</v>
      </c>
      <c r="J360" s="306">
        <f t="shared" ca="1" si="159"/>
        <v>520.26841123142958</v>
      </c>
      <c r="K360" s="307">
        <f t="shared" ca="1" si="160"/>
        <v>1564.516506761541</v>
      </c>
      <c r="L360" s="304">
        <f t="shared" ca="1" si="145"/>
        <v>1648.7544145974593</v>
      </c>
      <c r="M360" s="306">
        <f t="shared" ca="1" si="161"/>
        <v>-0.32671163053204882</v>
      </c>
      <c r="N360" s="304">
        <f t="shared" ca="1" si="162"/>
        <v>-18.719197547323883</v>
      </c>
      <c r="P360" s="310">
        <f t="shared" ca="1" si="163"/>
        <v>23</v>
      </c>
      <c r="Q360" s="304">
        <f t="shared" ca="1" si="164"/>
        <v>0</v>
      </c>
      <c r="R360" s="306">
        <f t="shared" ca="1" si="165"/>
        <v>0</v>
      </c>
      <c r="S360" s="307">
        <f t="shared" ca="1" si="166"/>
        <v>7.150000000000003</v>
      </c>
      <c r="T360" s="304">
        <f t="shared" ca="1" si="146"/>
        <v>70.141500000000036</v>
      </c>
      <c r="U360" s="311">
        <f t="shared" ca="1" si="147"/>
        <v>0</v>
      </c>
      <c r="V360" s="306">
        <f t="shared" ca="1" si="148"/>
        <v>1.0472512690992204</v>
      </c>
      <c r="W360" s="304">
        <f t="shared" ca="1" si="149"/>
        <v>1.8316458142223317</v>
      </c>
      <c r="Y360" s="314" t="str">
        <f t="shared" ca="1" si="167"/>
        <v/>
      </c>
      <c r="Z360" s="315" t="str">
        <f t="shared" ca="1" si="168"/>
        <v/>
      </c>
      <c r="AA360" s="316" t="str">
        <f t="shared" ca="1" si="169"/>
        <v/>
      </c>
      <c r="AC360" s="310" t="e">
        <f t="shared" ca="1" si="170"/>
        <v>#N/A</v>
      </c>
      <c r="AD360" s="323" t="e">
        <f t="shared" ca="1" si="171"/>
        <v>#N/A</v>
      </c>
      <c r="AE360" s="324" t="e">
        <f t="shared" ca="1" si="150"/>
        <v>#N/A</v>
      </c>
      <c r="AG360" s="306">
        <f t="shared" ca="1" si="172"/>
        <v>2.5581195772352188</v>
      </c>
      <c r="AH360" s="304">
        <f t="shared" ca="1" si="173"/>
        <v>-0.25078216063732767</v>
      </c>
    </row>
    <row r="361" spans="1:34" x14ac:dyDescent="0.2">
      <c r="A361" s="347">
        <f t="shared" ca="1" si="151"/>
        <v>0.1</v>
      </c>
      <c r="B361" s="304">
        <f t="shared" ca="1" si="152"/>
        <v>17.699999999999985</v>
      </c>
      <c r="D361" s="306">
        <f t="shared" ca="1" si="153"/>
        <v>-0.24262333972021158</v>
      </c>
      <c r="E361" s="307">
        <f t="shared" ca="1" si="154"/>
        <v>-9.7277859127934541</v>
      </c>
      <c r="F361" s="304">
        <f t="shared" ca="1" si="155"/>
        <v>9.7308111095694247</v>
      </c>
      <c r="G361" s="306">
        <f t="shared" ca="1" si="156"/>
        <v>24.493323525339093</v>
      </c>
      <c r="H361" s="307">
        <f t="shared" ca="1" si="157"/>
        <v>-9.2806806433072673</v>
      </c>
      <c r="I361" s="304">
        <f t="shared" ca="1" si="158"/>
        <v>26.192631225594493</v>
      </c>
      <c r="J361" s="306">
        <f t="shared" ca="1" si="159"/>
        <v>522.71895670066215</v>
      </c>
      <c r="K361" s="307">
        <f t="shared" ca="1" si="160"/>
        <v>1563.6370776267743</v>
      </c>
      <c r="L361" s="304">
        <f t="shared" ca="1" si="145"/>
        <v>1648.6952472253408</v>
      </c>
      <c r="M361" s="306">
        <f t="shared" ca="1" si="161"/>
        <v>-0.36219118178029369</v>
      </c>
      <c r="N361" s="304">
        <f t="shared" ca="1" si="162"/>
        <v>-20.752026092866426</v>
      </c>
      <c r="P361" s="310">
        <f t="shared" ca="1" si="163"/>
        <v>23</v>
      </c>
      <c r="Q361" s="304">
        <f t="shared" ca="1" si="164"/>
        <v>0</v>
      </c>
      <c r="R361" s="306">
        <f t="shared" ca="1" si="165"/>
        <v>0</v>
      </c>
      <c r="S361" s="307">
        <f t="shared" ca="1" si="166"/>
        <v>7.150000000000003</v>
      </c>
      <c r="T361" s="304">
        <f t="shared" ca="1" si="146"/>
        <v>70.141500000000036</v>
      </c>
      <c r="U361" s="311">
        <f t="shared" ca="1" si="147"/>
        <v>0</v>
      </c>
      <c r="V361" s="306">
        <f t="shared" ca="1" si="148"/>
        <v>1.0473439382514771</v>
      </c>
      <c r="W361" s="304">
        <f t="shared" ca="1" si="149"/>
        <v>1.875327033044268</v>
      </c>
      <c r="Y361" s="314" t="str">
        <f t="shared" ca="1" si="167"/>
        <v/>
      </c>
      <c r="Z361" s="315" t="str">
        <f t="shared" ca="1" si="168"/>
        <v/>
      </c>
      <c r="AA361" s="316" t="str">
        <f t="shared" ca="1" si="169"/>
        <v/>
      </c>
      <c r="AC361" s="310" t="e">
        <f t="shared" ca="1" si="170"/>
        <v>#N/A</v>
      </c>
      <c r="AD361" s="323" t="e">
        <f t="shared" ca="1" si="171"/>
        <v>#N/A</v>
      </c>
      <c r="AE361" s="324" t="e">
        <f t="shared" ca="1" si="150"/>
        <v>#N/A</v>
      </c>
      <c r="AG361" s="306">
        <f t="shared" ca="1" si="172"/>
        <v>2.8921524471121489</v>
      </c>
      <c r="AH361" s="304">
        <f t="shared" ca="1" si="173"/>
        <v>-0.25617423975137499</v>
      </c>
    </row>
    <row r="362" spans="1:34" x14ac:dyDescent="0.2">
      <c r="A362" s="347">
        <f t="shared" ca="1" si="151"/>
        <v>0.1</v>
      </c>
      <c r="B362" s="304">
        <f t="shared" ca="1" si="152"/>
        <v>17.799999999999986</v>
      </c>
      <c r="D362" s="306">
        <f t="shared" ca="1" si="153"/>
        <v>-0.24526725066619293</v>
      </c>
      <c r="E362" s="307">
        <f t="shared" ca="1" si="154"/>
        <v>-9.7170666329401936</v>
      </c>
      <c r="F362" s="304">
        <f t="shared" ca="1" si="155"/>
        <v>9.7201615199156564</v>
      </c>
      <c r="G362" s="306">
        <f t="shared" ca="1" si="156"/>
        <v>24.468796800272475</v>
      </c>
      <c r="H362" s="307">
        <f t="shared" ca="1" si="157"/>
        <v>-10.252387306601287</v>
      </c>
      <c r="I362" s="304">
        <f t="shared" ca="1" si="158"/>
        <v>26.529859825064733</v>
      </c>
      <c r="J362" s="306">
        <f t="shared" ca="1" si="159"/>
        <v>525.16706271694272</v>
      </c>
      <c r="K362" s="307">
        <f t="shared" ca="1" si="160"/>
        <v>1562.6604242292788</v>
      </c>
      <c r="L362" s="304">
        <f t="shared" ca="1" si="145"/>
        <v>1648.547252951874</v>
      </c>
      <c r="M362" s="306">
        <f t="shared" ca="1" si="161"/>
        <v>-0.39677629684346544</v>
      </c>
      <c r="N362" s="304">
        <f t="shared" ca="1" si="162"/>
        <v>-22.733607219960497</v>
      </c>
      <c r="P362" s="310">
        <f t="shared" ca="1" si="163"/>
        <v>23</v>
      </c>
      <c r="Q362" s="304">
        <f t="shared" ca="1" si="164"/>
        <v>0</v>
      </c>
      <c r="R362" s="306">
        <f t="shared" ca="1" si="165"/>
        <v>0</v>
      </c>
      <c r="S362" s="307">
        <f t="shared" ca="1" si="166"/>
        <v>7.150000000000003</v>
      </c>
      <c r="T362" s="304">
        <f t="shared" ca="1" si="146"/>
        <v>70.141500000000036</v>
      </c>
      <c r="U362" s="311">
        <f t="shared" ca="1" si="147"/>
        <v>0</v>
      </c>
      <c r="V362" s="306">
        <f t="shared" ca="1" si="148"/>
        <v>1.0474468611925203</v>
      </c>
      <c r="W362" s="304">
        <f t="shared" ca="1" si="149"/>
        <v>1.9241164125189012</v>
      </c>
      <c r="Y362" s="314" t="str">
        <f t="shared" ca="1" si="167"/>
        <v/>
      </c>
      <c r="Z362" s="315" t="str">
        <f t="shared" ca="1" si="168"/>
        <v/>
      </c>
      <c r="AA362" s="316" t="str">
        <f t="shared" ca="1" si="169"/>
        <v/>
      </c>
      <c r="AC362" s="310" t="e">
        <f t="shared" ca="1" si="170"/>
        <v>#N/A</v>
      </c>
      <c r="AD362" s="323" t="e">
        <f t="shared" ca="1" si="171"/>
        <v>#N/A</v>
      </c>
      <c r="AE362" s="324" t="e">
        <f t="shared" ca="1" si="150"/>
        <v>#N/A</v>
      </c>
      <c r="AG362" s="306">
        <f t="shared" ca="1" si="172"/>
        <v>3.213635978926245</v>
      </c>
      <c r="AH362" s="304">
        <f t="shared" ca="1" si="173"/>
        <v>-0.26228350112507232</v>
      </c>
    </row>
    <row r="363" spans="1:34" x14ac:dyDescent="0.2">
      <c r="A363" s="347">
        <f t="shared" ca="1" si="151"/>
        <v>0.1</v>
      </c>
      <c r="B363" s="304">
        <f t="shared" ca="1" si="152"/>
        <v>17.899999999999988</v>
      </c>
      <c r="D363" s="306">
        <f t="shared" ca="1" si="153"/>
        <v>-0.24820067677608881</v>
      </c>
      <c r="E363" s="307">
        <f t="shared" ca="1" si="154"/>
        <v>-9.7060043074925257</v>
      </c>
      <c r="F363" s="304">
        <f t="shared" ca="1" si="155"/>
        <v>9.7091772665357983</v>
      </c>
      <c r="G363" s="306">
        <f t="shared" ca="1" si="156"/>
        <v>24.443976732594866</v>
      </c>
      <c r="H363" s="307">
        <f t="shared" ca="1" si="157"/>
        <v>-11.22298773735054</v>
      </c>
      <c r="I363" s="304">
        <f t="shared" ca="1" si="158"/>
        <v>26.897275926315658</v>
      </c>
      <c r="J363" s="306">
        <f t="shared" ca="1" si="159"/>
        <v>527.61270139358612</v>
      </c>
      <c r="K363" s="307">
        <f t="shared" ca="1" si="160"/>
        <v>1561.5866554770812</v>
      </c>
      <c r="L363" s="304">
        <f t="shared" ca="1" si="145"/>
        <v>1648.3106640545445</v>
      </c>
      <c r="M363" s="306">
        <f t="shared" ca="1" si="161"/>
        <v>-0.43042127937272567</v>
      </c>
      <c r="N363" s="304">
        <f t="shared" ca="1" si="162"/>
        <v>-24.661322720678498</v>
      </c>
      <c r="P363" s="310">
        <f t="shared" ca="1" si="163"/>
        <v>23</v>
      </c>
      <c r="Q363" s="304">
        <f t="shared" ca="1" si="164"/>
        <v>0</v>
      </c>
      <c r="R363" s="306">
        <f t="shared" ca="1" si="165"/>
        <v>0</v>
      </c>
      <c r="S363" s="307">
        <f t="shared" ca="1" si="166"/>
        <v>7.150000000000003</v>
      </c>
      <c r="T363" s="304">
        <f t="shared" ca="1" si="146"/>
        <v>70.141500000000036</v>
      </c>
      <c r="U363" s="311">
        <f t="shared" ca="1" si="147"/>
        <v>0</v>
      </c>
      <c r="V363" s="306">
        <f t="shared" ca="1" si="148"/>
        <v>1.0475600292292502</v>
      </c>
      <c r="W363" s="304">
        <f t="shared" ca="1" si="149"/>
        <v>1.977993906272224</v>
      </c>
      <c r="Y363" s="314" t="str">
        <f t="shared" ca="1" si="167"/>
        <v/>
      </c>
      <c r="Z363" s="315" t="str">
        <f t="shared" ca="1" si="168"/>
        <v/>
      </c>
      <c r="AA363" s="316" t="str">
        <f t="shared" ca="1" si="169"/>
        <v/>
      </c>
      <c r="AC363" s="310" t="e">
        <f t="shared" ca="1" si="170"/>
        <v>#N/A</v>
      </c>
      <c r="AD363" s="323" t="e">
        <f t="shared" ca="1" si="171"/>
        <v>#N/A</v>
      </c>
      <c r="AE363" s="324" t="e">
        <f t="shared" ca="1" si="150"/>
        <v>#N/A</v>
      </c>
      <c r="AG363" s="306">
        <f t="shared" ca="1" si="172"/>
        <v>3.5219388285630191</v>
      </c>
      <c r="AH363" s="304">
        <f t="shared" ca="1" si="173"/>
        <v>-0.26910719056208399</v>
      </c>
    </row>
    <row r="364" spans="1:34" x14ac:dyDescent="0.2">
      <c r="A364" s="347">
        <f t="shared" ca="1" si="151"/>
        <v>0.1</v>
      </c>
      <c r="B364" s="304">
        <f t="shared" ca="1" si="152"/>
        <v>17.999999999999989</v>
      </c>
      <c r="D364" s="306">
        <f t="shared" ca="1" si="153"/>
        <v>-0.25140995536809713</v>
      </c>
      <c r="E364" s="307">
        <f t="shared" ca="1" si="154"/>
        <v>-9.6945698931474773</v>
      </c>
      <c r="F364" s="304">
        <f t="shared" ca="1" si="155"/>
        <v>9.6978292611686907</v>
      </c>
      <c r="G364" s="306">
        <f t="shared" ca="1" si="156"/>
        <v>24.418835737058057</v>
      </c>
      <c r="H364" s="307">
        <f t="shared" ca="1" si="157"/>
        <v>-12.192444726665288</v>
      </c>
      <c r="I364" s="304">
        <f t="shared" ca="1" si="158"/>
        <v>27.293501921999894</v>
      </c>
      <c r="J364" s="306">
        <f t="shared" ca="1" si="159"/>
        <v>530.05584201706881</v>
      </c>
      <c r="K364" s="307">
        <f t="shared" ca="1" si="160"/>
        <v>1560.4158838538804</v>
      </c>
      <c r="L364" s="304">
        <f t="shared" ca="1" si="145"/>
        <v>1647.985717850707</v>
      </c>
      <c r="M364" s="306">
        <f t="shared" ca="1" si="161"/>
        <v>-0.46309138721490939</v>
      </c>
      <c r="N364" s="304">
        <f t="shared" ca="1" si="162"/>
        <v>-26.533182016272878</v>
      </c>
      <c r="P364" s="310">
        <f t="shared" ca="1" si="163"/>
        <v>23</v>
      </c>
      <c r="Q364" s="304">
        <f t="shared" ca="1" si="164"/>
        <v>0</v>
      </c>
      <c r="R364" s="306">
        <f t="shared" ca="1" si="165"/>
        <v>0</v>
      </c>
      <c r="S364" s="307">
        <f t="shared" ca="1" si="166"/>
        <v>7.150000000000003</v>
      </c>
      <c r="T364" s="304">
        <f t="shared" ca="1" si="146"/>
        <v>70.141500000000036</v>
      </c>
      <c r="U364" s="311">
        <f t="shared" ca="1" si="147"/>
        <v>0</v>
      </c>
      <c r="V364" s="306">
        <f t="shared" ca="1" si="148"/>
        <v>1.0476834335647034</v>
      </c>
      <c r="W364" s="304">
        <f t="shared" ca="1" si="149"/>
        <v>2.0369390505942149</v>
      </c>
      <c r="Y364" s="314" t="str">
        <f t="shared" ca="1" si="167"/>
        <v/>
      </c>
      <c r="Z364" s="315" t="str">
        <f t="shared" ca="1" si="168"/>
        <v/>
      </c>
      <c r="AA364" s="316" t="str">
        <f t="shared" ca="1" si="169"/>
        <v/>
      </c>
      <c r="AC364" s="310">
        <f t="shared" ca="1" si="170"/>
        <v>17.999999999999989</v>
      </c>
      <c r="AD364" s="323">
        <f t="shared" ca="1" si="171"/>
        <v>530.05584201706881</v>
      </c>
      <c r="AE364" s="324" t="e">
        <f t="shared" ca="1" si="150"/>
        <v>#N/A</v>
      </c>
      <c r="AG364" s="306">
        <f t="shared" ca="1" si="172"/>
        <v>3.8166162332403575</v>
      </c>
      <c r="AH364" s="304">
        <f t="shared" ca="1" si="173"/>
        <v>-0.2766425043737375</v>
      </c>
    </row>
    <row r="365" spans="1:34" x14ac:dyDescent="0.2">
      <c r="A365" s="347">
        <f t="shared" ca="1" si="151"/>
        <v>0.1</v>
      </c>
      <c r="B365" s="304">
        <f t="shared" ca="1" si="152"/>
        <v>18.099999999999991</v>
      </c>
      <c r="D365" s="306">
        <f t="shared" ca="1" si="153"/>
        <v>-0.25488113005315488</v>
      </c>
      <c r="E365" s="307">
        <f t="shared" ca="1" si="154"/>
        <v>-9.6827365987671996</v>
      </c>
      <c r="F365" s="304">
        <f t="shared" ca="1" si="155"/>
        <v>9.6860906681469263</v>
      </c>
      <c r="G365" s="306">
        <f t="shared" ca="1" si="156"/>
        <v>24.39334762405274</v>
      </c>
      <c r="H365" s="307">
        <f t="shared" ca="1" si="157"/>
        <v>-13.160718386542008</v>
      </c>
      <c r="I365" s="304">
        <f t="shared" ca="1" si="158"/>
        <v>27.717141208244122</v>
      </c>
      <c r="J365" s="306">
        <f t="shared" ca="1" si="159"/>
        <v>532.49645118512433</v>
      </c>
      <c r="K365" s="307">
        <f t="shared" ca="1" si="160"/>
        <v>1559.1482256982199</v>
      </c>
      <c r="L365" s="304">
        <f t="shared" ca="1" si="145"/>
        <v>1647.5726570390329</v>
      </c>
      <c r="M365" s="306">
        <f t="shared" ca="1" si="161"/>
        <v>-0.49476217522688476</v>
      </c>
      <c r="N365" s="304">
        <f t="shared" ca="1" si="162"/>
        <v>-28.347784503212591</v>
      </c>
      <c r="P365" s="310">
        <f t="shared" ca="1" si="163"/>
        <v>23</v>
      </c>
      <c r="Q365" s="304">
        <f t="shared" ca="1" si="164"/>
        <v>0</v>
      </c>
      <c r="R365" s="306">
        <f t="shared" ca="1" si="165"/>
        <v>0</v>
      </c>
      <c r="S365" s="307">
        <f t="shared" ca="1" si="166"/>
        <v>7.150000000000003</v>
      </c>
      <c r="T365" s="304">
        <f t="shared" ca="1" si="146"/>
        <v>70.141500000000036</v>
      </c>
      <c r="U365" s="311">
        <f t="shared" ca="1" si="147"/>
        <v>0</v>
      </c>
      <c r="V365" s="306">
        <f t="shared" ca="1" si="148"/>
        <v>1.0478170652675716</v>
      </c>
      <c r="W365" s="304">
        <f t="shared" ca="1" si="149"/>
        <v>2.1009309061016279</v>
      </c>
      <c r="Y365" s="314" t="str">
        <f t="shared" ca="1" si="167"/>
        <v/>
      </c>
      <c r="Z365" s="315" t="str">
        <f t="shared" ca="1" si="168"/>
        <v/>
      </c>
      <c r="AA365" s="316" t="str">
        <f t="shared" ca="1" si="169"/>
        <v/>
      </c>
      <c r="AC365" s="310" t="e">
        <f t="shared" ca="1" si="170"/>
        <v>#N/A</v>
      </c>
      <c r="AD365" s="323" t="e">
        <f t="shared" ca="1" si="171"/>
        <v>#N/A</v>
      </c>
      <c r="AE365" s="324" t="e">
        <f t="shared" ca="1" si="150"/>
        <v>#N/A</v>
      </c>
      <c r="AG365" s="306">
        <f t="shared" ca="1" si="172"/>
        <v>4.0973976390307802</v>
      </c>
      <c r="AH365" s="304">
        <f t="shared" ca="1" si="173"/>
        <v>-0.28488658050268728</v>
      </c>
    </row>
    <row r="366" spans="1:34" x14ac:dyDescent="0.2">
      <c r="A366" s="347">
        <f t="shared" ca="1" si="151"/>
        <v>0.1</v>
      </c>
      <c r="B366" s="304">
        <f t="shared" ca="1" si="152"/>
        <v>18.199999999999992</v>
      </c>
      <c r="D366" s="306">
        <f t="shared" ca="1" si="153"/>
        <v>-0.25860010598587369</v>
      </c>
      <c r="E366" s="307">
        <f t="shared" ca="1" si="154"/>
        <v>-9.6704798643440739</v>
      </c>
      <c r="F366" s="304">
        <f t="shared" ca="1" si="155"/>
        <v>9.673936883270434</v>
      </c>
      <c r="G366" s="306">
        <f t="shared" ca="1" si="156"/>
        <v>24.367487613454152</v>
      </c>
      <c r="H366" s="307">
        <f t="shared" ca="1" si="157"/>
        <v>-14.127766372976415</v>
      </c>
      <c r="I366" s="304">
        <f t="shared" ca="1" si="158"/>
        <v>28.166793130941347</v>
      </c>
      <c r="J366" s="306">
        <f t="shared" ca="1" si="159"/>
        <v>534.93449294699963</v>
      </c>
      <c r="K366" s="307">
        <f t="shared" ca="1" si="160"/>
        <v>1557.7838014602439</v>
      </c>
      <c r="L366" s="304">
        <f t="shared" ca="1" si="145"/>
        <v>1647.0717300216138</v>
      </c>
      <c r="M366" s="306">
        <f t="shared" ca="1" si="161"/>
        <v>-0.52541867746146309</v>
      </c>
      <c r="N366" s="304">
        <f t="shared" ca="1" si="162"/>
        <v>-30.104272695887307</v>
      </c>
      <c r="P366" s="310">
        <f t="shared" ca="1" si="163"/>
        <v>23</v>
      </c>
      <c r="Q366" s="304">
        <f t="shared" ca="1" si="164"/>
        <v>0</v>
      </c>
      <c r="R366" s="306">
        <f t="shared" ca="1" si="165"/>
        <v>0</v>
      </c>
      <c r="S366" s="307">
        <f t="shared" ca="1" si="166"/>
        <v>7.150000000000003</v>
      </c>
      <c r="T366" s="304">
        <f t="shared" ca="1" si="146"/>
        <v>70.141500000000036</v>
      </c>
      <c r="U366" s="311">
        <f t="shared" ca="1" si="147"/>
        <v>0</v>
      </c>
      <c r="V366" s="306">
        <f t="shared" ca="1" si="148"/>
        <v>1.0479609152440299</v>
      </c>
      <c r="W366" s="304">
        <f t="shared" ca="1" si="149"/>
        <v>2.1699480044914154</v>
      </c>
      <c r="Y366" s="314" t="str">
        <f t="shared" ca="1" si="167"/>
        <v/>
      </c>
      <c r="Z366" s="315" t="str">
        <f t="shared" ca="1" si="168"/>
        <v/>
      </c>
      <c r="AA366" s="316" t="str">
        <f t="shared" ca="1" si="169"/>
        <v/>
      </c>
      <c r="AC366" s="310" t="e">
        <f t="shared" ca="1" si="170"/>
        <v>#N/A</v>
      </c>
      <c r="AD366" s="323" t="e">
        <f t="shared" ca="1" si="171"/>
        <v>#N/A</v>
      </c>
      <c r="AE366" s="324" t="e">
        <f t="shared" ca="1" si="150"/>
        <v>#N/A</v>
      </c>
      <c r="AG366" s="306">
        <f t="shared" ca="1" si="172"/>
        <v>4.3641708561360675</v>
      </c>
      <c r="AH366" s="304">
        <f t="shared" ca="1" si="173"/>
        <v>-0.29383649036386394</v>
      </c>
    </row>
    <row r="367" spans="1:34" x14ac:dyDescent="0.2">
      <c r="A367" s="347">
        <f t="shared" ca="1" si="151"/>
        <v>0.1</v>
      </c>
      <c r="B367" s="304">
        <f t="shared" ca="1" si="152"/>
        <v>18.299999999999994</v>
      </c>
      <c r="D367" s="306">
        <f t="shared" ca="1" si="153"/>
        <v>-0.26255278875780658</v>
      </c>
      <c r="E367" s="307">
        <f t="shared" ca="1" si="154"/>
        <v>-9.6577773121716621</v>
      </c>
      <c r="F367" s="304">
        <f t="shared" ca="1" si="155"/>
        <v>9.6613454848888516</v>
      </c>
      <c r="G367" s="306">
        <f t="shared" ca="1" si="156"/>
        <v>24.341232334578372</v>
      </c>
      <c r="H367" s="307">
        <f t="shared" ca="1" si="157"/>
        <v>-15.093544104193581</v>
      </c>
      <c r="I367" s="304">
        <f t="shared" ca="1" si="158"/>
        <v>28.641066062406974</v>
      </c>
      <c r="J367" s="306">
        <f t="shared" ca="1" si="159"/>
        <v>537.36992894440129</v>
      </c>
      <c r="K367" s="307">
        <f t="shared" ca="1" si="160"/>
        <v>1556.3227359363855</v>
      </c>
      <c r="L367" s="304">
        <f t="shared" ca="1" si="145"/>
        <v>1646.4831912067086</v>
      </c>
      <c r="M367" s="306">
        <f t="shared" ca="1" si="161"/>
        <v>-0.55505448407491464</v>
      </c>
      <c r="N367" s="304">
        <f t="shared" ca="1" si="162"/>
        <v>-31.802279337303972</v>
      </c>
      <c r="P367" s="310">
        <f t="shared" ca="1" si="163"/>
        <v>23</v>
      </c>
      <c r="Q367" s="304">
        <f t="shared" ca="1" si="164"/>
        <v>0</v>
      </c>
      <c r="R367" s="306">
        <f t="shared" ca="1" si="165"/>
        <v>0</v>
      </c>
      <c r="S367" s="307">
        <f t="shared" ca="1" si="166"/>
        <v>7.150000000000003</v>
      </c>
      <c r="T367" s="304">
        <f t="shared" ca="1" si="146"/>
        <v>70.141500000000036</v>
      </c>
      <c r="U367" s="311">
        <f t="shared" ca="1" si="147"/>
        <v>0</v>
      </c>
      <c r="V367" s="306">
        <f t="shared" ca="1" si="148"/>
        <v>1.0481149742118339</v>
      </c>
      <c r="W367" s="304">
        <f t="shared" ca="1" si="149"/>
        <v>2.2439683002845641</v>
      </c>
      <c r="Y367" s="314" t="str">
        <f t="shared" ca="1" si="167"/>
        <v/>
      </c>
      <c r="Z367" s="315" t="str">
        <f t="shared" ca="1" si="168"/>
        <v/>
      </c>
      <c r="AA367" s="316" t="str">
        <f t="shared" ca="1" si="169"/>
        <v/>
      </c>
      <c r="AC367" s="310" t="e">
        <f t="shared" ca="1" si="170"/>
        <v>#N/A</v>
      </c>
      <c r="AD367" s="323" t="e">
        <f t="shared" ca="1" si="171"/>
        <v>#N/A</v>
      </c>
      <c r="AE367" s="324" t="e">
        <f t="shared" ca="1" si="150"/>
        <v>#N/A</v>
      </c>
      <c r="AG367" s="306">
        <f t="shared" ca="1" si="172"/>
        <v>4.6169639943073459</v>
      </c>
      <c r="AH367" s="304">
        <f t="shared" ca="1" si="173"/>
        <v>-0.30348923139740064</v>
      </c>
    </row>
    <row r="368" spans="1:34" x14ac:dyDescent="0.2">
      <c r="A368" s="347">
        <f t="shared" ca="1" si="151"/>
        <v>0.1</v>
      </c>
      <c r="B368" s="304">
        <f t="shared" ca="1" si="152"/>
        <v>18.399999999999995</v>
      </c>
      <c r="D368" s="306">
        <f t="shared" ca="1" si="153"/>
        <v>-0.26672520547718692</v>
      </c>
      <c r="E368" s="307">
        <f t="shared" ca="1" si="154"/>
        <v>-9.6446086756317992</v>
      </c>
      <c r="F368" s="304">
        <f t="shared" ca="1" si="155"/>
        <v>9.6482961626034776</v>
      </c>
      <c r="G368" s="306">
        <f t="shared" ca="1" si="156"/>
        <v>24.314559814030652</v>
      </c>
      <c r="H368" s="307">
        <f t="shared" ca="1" si="157"/>
        <v>-16.058004971756763</v>
      </c>
      <c r="I368" s="304">
        <f t="shared" ca="1" si="158"/>
        <v>29.138588548916353</v>
      </c>
      <c r="J368" s="306">
        <f t="shared" ca="1" si="159"/>
        <v>539.80271855183173</v>
      </c>
      <c r="K368" s="307">
        <f t="shared" ca="1" si="160"/>
        <v>1554.765158482588</v>
      </c>
      <c r="L368" s="304">
        <f t="shared" ca="1" si="145"/>
        <v>1645.8073012923887</v>
      </c>
      <c r="M368" s="306">
        <f t="shared" ca="1" si="161"/>
        <v>-0.58367076258370909</v>
      </c>
      <c r="N368" s="304">
        <f t="shared" ca="1" si="162"/>
        <v>-33.441871321228817</v>
      </c>
      <c r="P368" s="310">
        <f t="shared" ca="1" si="163"/>
        <v>23</v>
      </c>
      <c r="Q368" s="304">
        <f t="shared" ca="1" si="164"/>
        <v>0</v>
      </c>
      <c r="R368" s="306">
        <f t="shared" ca="1" si="165"/>
        <v>0</v>
      </c>
      <c r="S368" s="307">
        <f t="shared" ca="1" si="166"/>
        <v>7.150000000000003</v>
      </c>
      <c r="T368" s="304">
        <f t="shared" ca="1" si="146"/>
        <v>70.141500000000036</v>
      </c>
      <c r="U368" s="311">
        <f t="shared" ca="1" si="147"/>
        <v>0</v>
      </c>
      <c r="V368" s="306">
        <f t="shared" ca="1" si="148"/>
        <v>1.0482792326766184</v>
      </c>
      <c r="W368" s="304">
        <f t="shared" ca="1" si="149"/>
        <v>2.3229691274092792</v>
      </c>
      <c r="Y368" s="314" t="str">
        <f t="shared" ca="1" si="167"/>
        <v/>
      </c>
      <c r="Z368" s="315" t="str">
        <f t="shared" ca="1" si="168"/>
        <v/>
      </c>
      <c r="AA368" s="316" t="str">
        <f t="shared" ca="1" si="169"/>
        <v/>
      </c>
      <c r="AC368" s="310" t="e">
        <f t="shared" ca="1" si="170"/>
        <v>#N/A</v>
      </c>
      <c r="AD368" s="323" t="e">
        <f t="shared" ca="1" si="171"/>
        <v>#N/A</v>
      </c>
      <c r="AE368" s="324" t="e">
        <f t="shared" ca="1" si="150"/>
        <v>#N/A</v>
      </c>
      <c r="AG368" s="306">
        <f t="shared" ca="1" si="172"/>
        <v>4.8559263092471685</v>
      </c>
      <c r="AH368" s="304">
        <f t="shared" ca="1" si="173"/>
        <v>-0.31384172031951929</v>
      </c>
    </row>
    <row r="369" spans="1:34" x14ac:dyDescent="0.2">
      <c r="A369" s="347">
        <f t="shared" ca="1" si="151"/>
        <v>0.1</v>
      </c>
      <c r="B369" s="304">
        <f t="shared" ca="1" si="152"/>
        <v>18.499999999999996</v>
      </c>
      <c r="D369" s="306">
        <f t="shared" ca="1" si="153"/>
        <v>-0.27110360755804513</v>
      </c>
      <c r="E369" s="307">
        <f t="shared" ca="1" si="154"/>
        <v>-9.6309557108446526</v>
      </c>
      <c r="F369" s="304">
        <f t="shared" ca="1" si="155"/>
        <v>9.6347706288360708</v>
      </c>
      <c r="G369" s="306">
        <f t="shared" ca="1" si="156"/>
        <v>24.287449453274846</v>
      </c>
      <c r="H369" s="307">
        <f t="shared" ca="1" si="157"/>
        <v>-17.021100542841229</v>
      </c>
      <c r="I369" s="304">
        <f t="shared" ca="1" si="158"/>
        <v>29.658018555441132</v>
      </c>
      <c r="J369" s="306">
        <f t="shared" ca="1" si="159"/>
        <v>542.23281901519704</v>
      </c>
      <c r="K369" s="307">
        <f t="shared" ca="1" si="160"/>
        <v>1553.1112032068581</v>
      </c>
      <c r="L369" s="304">
        <f t="shared" ca="1" si="145"/>
        <v>1645.0443275315781</v>
      </c>
      <c r="M369" s="306">
        <f t="shared" ca="1" si="161"/>
        <v>-0.61127526560997214</v>
      </c>
      <c r="N369" s="304">
        <f t="shared" ca="1" si="162"/>
        <v>-35.023492840189796</v>
      </c>
      <c r="P369" s="310">
        <f t="shared" ca="1" si="163"/>
        <v>23</v>
      </c>
      <c r="Q369" s="304">
        <f t="shared" ca="1" si="164"/>
        <v>0</v>
      </c>
      <c r="R369" s="306">
        <f t="shared" ca="1" si="165"/>
        <v>0</v>
      </c>
      <c r="S369" s="307">
        <f t="shared" ca="1" si="166"/>
        <v>7.150000000000003</v>
      </c>
      <c r="T369" s="304">
        <f t="shared" ca="1" si="146"/>
        <v>70.141500000000036</v>
      </c>
      <c r="U369" s="311">
        <f t="shared" ca="1" si="147"/>
        <v>0</v>
      </c>
      <c r="V369" s="306">
        <f t="shared" ca="1" si="148"/>
        <v>1.0484536809103158</v>
      </c>
      <c r="W369" s="304">
        <f t="shared" ca="1" si="149"/>
        <v>2.4069271604329354</v>
      </c>
      <c r="Y369" s="314" t="str">
        <f t="shared" ca="1" si="167"/>
        <v/>
      </c>
      <c r="Z369" s="315" t="str">
        <f t="shared" ca="1" si="168"/>
        <v/>
      </c>
      <c r="AA369" s="316" t="str">
        <f t="shared" ca="1" si="169"/>
        <v/>
      </c>
      <c r="AC369" s="310" t="e">
        <f t="shared" ca="1" si="170"/>
        <v>#N/A</v>
      </c>
      <c r="AD369" s="323" t="e">
        <f t="shared" ca="1" si="171"/>
        <v>#N/A</v>
      </c>
      <c r="AE369" s="324" t="e">
        <f t="shared" ca="1" si="150"/>
        <v>#N/A</v>
      </c>
      <c r="AG369" s="306">
        <f t="shared" ca="1" si="172"/>
        <v>5.0813089164282603</v>
      </c>
      <c r="AH369" s="304">
        <f t="shared" ca="1" si="173"/>
        <v>-0.32489078705024871</v>
      </c>
    </row>
    <row r="370" spans="1:34" x14ac:dyDescent="0.2">
      <c r="A370" s="347">
        <f t="shared" ca="1" si="151"/>
        <v>0.1</v>
      </c>
      <c r="B370" s="304">
        <f t="shared" ca="1" si="152"/>
        <v>18.599999999999998</v>
      </c>
      <c r="D370" s="306">
        <f t="shared" ca="1" si="153"/>
        <v>-0.2756745555396739</v>
      </c>
      <c r="E370" s="307">
        <f t="shared" ca="1" si="154"/>
        <v>-9.616802096038489</v>
      </c>
      <c r="F370" s="304">
        <f t="shared" ca="1" si="155"/>
        <v>9.6207525181215576</v>
      </c>
      <c r="G370" s="306">
        <f t="shared" ca="1" si="156"/>
        <v>24.259881997720878</v>
      </c>
      <c r="H370" s="307">
        <f t="shared" ca="1" si="157"/>
        <v>-17.982780752445077</v>
      </c>
      <c r="I370" s="304">
        <f t="shared" ca="1" si="158"/>
        <v>30.198050899583745</v>
      </c>
      <c r="J370" s="306">
        <f t="shared" ca="1" si="159"/>
        <v>544.66018558774681</v>
      </c>
      <c r="K370" s="307">
        <f t="shared" ca="1" si="160"/>
        <v>1551.3610091420937</v>
      </c>
      <c r="L370" s="304">
        <f t="shared" ca="1" si="145"/>
        <v>1644.194543979165</v>
      </c>
      <c r="M370" s="306">
        <f t="shared" ca="1" si="161"/>
        <v>-0.63788135901205389</v>
      </c>
      <c r="N370" s="304">
        <f t="shared" ca="1" si="162"/>
        <v>-36.54790970145995</v>
      </c>
      <c r="P370" s="310">
        <f t="shared" ca="1" si="163"/>
        <v>23</v>
      </c>
      <c r="Q370" s="304">
        <f t="shared" ca="1" si="164"/>
        <v>0</v>
      </c>
      <c r="R370" s="306">
        <f t="shared" ca="1" si="165"/>
        <v>0</v>
      </c>
      <c r="S370" s="307">
        <f t="shared" ca="1" si="166"/>
        <v>7.150000000000003</v>
      </c>
      <c r="T370" s="304">
        <f t="shared" ca="1" si="146"/>
        <v>70.141500000000036</v>
      </c>
      <c r="U370" s="311">
        <f t="shared" ca="1" si="147"/>
        <v>0</v>
      </c>
      <c r="V370" s="306">
        <f t="shared" ca="1" si="148"/>
        <v>1.0486383089315887</v>
      </c>
      <c r="W370" s="304">
        <f t="shared" ca="1" si="149"/>
        <v>2.495818380223219</v>
      </c>
      <c r="Y370" s="314" t="str">
        <f t="shared" ca="1" si="167"/>
        <v/>
      </c>
      <c r="Z370" s="315" t="str">
        <f t="shared" ca="1" si="168"/>
        <v/>
      </c>
      <c r="AA370" s="316" t="str">
        <f t="shared" ca="1" si="169"/>
        <v/>
      </c>
      <c r="AC370" s="310" t="e">
        <f t="shared" ca="1" si="170"/>
        <v>#N/A</v>
      </c>
      <c r="AD370" s="323" t="e">
        <f t="shared" ca="1" si="171"/>
        <v>#N/A</v>
      </c>
      <c r="AE370" s="324" t="e">
        <f t="shared" ca="1" si="150"/>
        <v>#N/A</v>
      </c>
      <c r="AG370" s="306">
        <f t="shared" ca="1" si="172"/>
        <v>5.2934461299421907</v>
      </c>
      <c r="AH370" s="304">
        <f t="shared" ca="1" si="173"/>
        <v>-0.33663316929131948</v>
      </c>
    </row>
    <row r="371" spans="1:34" x14ac:dyDescent="0.2">
      <c r="A371" s="347">
        <f t="shared" ca="1" si="151"/>
        <v>0.1</v>
      </c>
      <c r="B371" s="304">
        <f t="shared" ca="1" si="152"/>
        <v>18.7</v>
      </c>
      <c r="D371" s="306">
        <f t="shared" ca="1" si="153"/>
        <v>-0.28042498686443434</v>
      </c>
      <c r="E371" s="307">
        <f t="shared" ca="1" si="154"/>
        <v>-9.6021333229582826</v>
      </c>
      <c r="F371" s="304">
        <f t="shared" ca="1" si="155"/>
        <v>9.6062272784441127</v>
      </c>
      <c r="G371" s="306">
        <f t="shared" ca="1" si="156"/>
        <v>24.231839499034436</v>
      </c>
      <c r="H371" s="307">
        <f t="shared" ca="1" si="157"/>
        <v>-18.942994084740906</v>
      </c>
      <c r="I371" s="304">
        <f t="shared" ca="1" si="158"/>
        <v>30.757423013014183</v>
      </c>
      <c r="J371" s="306">
        <f t="shared" ca="1" si="159"/>
        <v>547.08477166258456</v>
      </c>
      <c r="K371" s="307">
        <f t="shared" ca="1" si="160"/>
        <v>1549.5147204002344</v>
      </c>
      <c r="L371" s="304">
        <f t="shared" ca="1" si="145"/>
        <v>1643.2582317220015</v>
      </c>
      <c r="M371" s="306">
        <f t="shared" ca="1" si="161"/>
        <v>-0.66350709609688474</v>
      </c>
      <c r="N371" s="304">
        <f t="shared" ca="1" si="162"/>
        <v>-38.016156283332634</v>
      </c>
      <c r="P371" s="310">
        <f t="shared" ca="1" si="163"/>
        <v>23</v>
      </c>
      <c r="Q371" s="304">
        <f t="shared" ca="1" si="164"/>
        <v>0</v>
      </c>
      <c r="R371" s="306">
        <f t="shared" ca="1" si="165"/>
        <v>0</v>
      </c>
      <c r="S371" s="307">
        <f t="shared" ca="1" si="166"/>
        <v>7.150000000000003</v>
      </c>
      <c r="T371" s="304">
        <f t="shared" ca="1" si="146"/>
        <v>70.141500000000036</v>
      </c>
      <c r="U371" s="311">
        <f t="shared" ca="1" si="147"/>
        <v>0</v>
      </c>
      <c r="V371" s="306">
        <f t="shared" ca="1" si="148"/>
        <v>1.04883310648816</v>
      </c>
      <c r="W371" s="304">
        <f t="shared" ca="1" si="149"/>
        <v>2.5896180437994913</v>
      </c>
      <c r="Y371" s="314" t="str">
        <f t="shared" ca="1" si="167"/>
        <v/>
      </c>
      <c r="Z371" s="315" t="str">
        <f t="shared" ca="1" si="168"/>
        <v/>
      </c>
      <c r="AA371" s="316" t="str">
        <f t="shared" ca="1" si="169"/>
        <v/>
      </c>
      <c r="AC371" s="310" t="e">
        <f t="shared" ca="1" si="170"/>
        <v>#N/A</v>
      </c>
      <c r="AD371" s="323" t="e">
        <f t="shared" ca="1" si="171"/>
        <v>#N/A</v>
      </c>
      <c r="AE371" s="324" t="e">
        <f t="shared" ca="1" si="150"/>
        <v>#N/A</v>
      </c>
      <c r="AG371" s="306">
        <f t="shared" ca="1" si="172"/>
        <v>5.4927379837699553</v>
      </c>
      <c r="AH371" s="304">
        <f t="shared" ca="1" si="173"/>
        <v>-0.34906550772352701</v>
      </c>
    </row>
    <row r="372" spans="1:34" x14ac:dyDescent="0.2">
      <c r="A372" s="347">
        <f t="shared" ca="1" si="151"/>
        <v>0.1</v>
      </c>
      <c r="B372" s="304">
        <f t="shared" ca="1" si="152"/>
        <v>18.8</v>
      </c>
      <c r="D372" s="306">
        <f t="shared" ca="1" si="153"/>
        <v>-0.28534226796596618</v>
      </c>
      <c r="E372" s="307">
        <f t="shared" ca="1" si="154"/>
        <v>-9.5869365840170229</v>
      </c>
      <c r="F372" s="304">
        <f t="shared" ca="1" si="155"/>
        <v>9.5911820583206513</v>
      </c>
      <c r="G372" s="306">
        <f t="shared" ca="1" si="156"/>
        <v>24.203305272237838</v>
      </c>
      <c r="H372" s="307">
        <f t="shared" ca="1" si="157"/>
        <v>-19.90168774314261</v>
      </c>
      <c r="I372" s="304">
        <f t="shared" ca="1" si="158"/>
        <v>31.334919197704796</v>
      </c>
      <c r="J372" s="306">
        <f t="shared" ca="1" si="159"/>
        <v>549.50652890114816</v>
      </c>
      <c r="K372" s="307">
        <f t="shared" ca="1" si="160"/>
        <v>1547.5724863088403</v>
      </c>
      <c r="L372" s="304">
        <f t="shared" ca="1" si="145"/>
        <v>1642.2356790927161</v>
      </c>
      <c r="M372" s="306">
        <f t="shared" ca="1" si="161"/>
        <v>-0.68817435601956201</v>
      </c>
      <c r="N372" s="304">
        <f t="shared" ca="1" si="162"/>
        <v>-39.429486169054243</v>
      </c>
      <c r="P372" s="310">
        <f t="shared" ca="1" si="163"/>
        <v>23</v>
      </c>
      <c r="Q372" s="304">
        <f t="shared" ca="1" si="164"/>
        <v>0</v>
      </c>
      <c r="R372" s="306">
        <f t="shared" ca="1" si="165"/>
        <v>0</v>
      </c>
      <c r="S372" s="307">
        <f t="shared" ca="1" si="166"/>
        <v>7.150000000000003</v>
      </c>
      <c r="T372" s="304">
        <f t="shared" ca="1" si="146"/>
        <v>70.141500000000036</v>
      </c>
      <c r="U372" s="311">
        <f t="shared" ca="1" si="147"/>
        <v>0</v>
      </c>
      <c r="V372" s="306">
        <f t="shared" ca="1" si="148"/>
        <v>1.0490380630409399</v>
      </c>
      <c r="W372" s="304">
        <f t="shared" ca="1" si="149"/>
        <v>2.6883006581243936</v>
      </c>
      <c r="Y372" s="314" t="str">
        <f t="shared" ca="1" si="167"/>
        <v/>
      </c>
      <c r="Z372" s="315" t="str">
        <f t="shared" ca="1" si="168"/>
        <v/>
      </c>
      <c r="AA372" s="316" t="str">
        <f t="shared" ca="1" si="169"/>
        <v/>
      </c>
      <c r="AC372" s="310" t="e">
        <f t="shared" ca="1" si="170"/>
        <v>#N/A</v>
      </c>
      <c r="AD372" s="323" t="e">
        <f t="shared" ca="1" si="171"/>
        <v>#N/A</v>
      </c>
      <c r="AE372" s="324" t="e">
        <f t="shared" ca="1" si="150"/>
        <v>#N/A</v>
      </c>
      <c r="AG372" s="306">
        <f t="shared" ca="1" si="172"/>
        <v>5.6796343077332283</v>
      </c>
      <c r="AH372" s="304">
        <f t="shared" ca="1" si="173"/>
        <v>-0.36218434179013848</v>
      </c>
    </row>
    <row r="373" spans="1:34" x14ac:dyDescent="0.2">
      <c r="A373" s="347">
        <f t="shared" ca="1" si="151"/>
        <v>0.1</v>
      </c>
      <c r="B373" s="304">
        <f t="shared" ca="1" si="152"/>
        <v>18.900000000000002</v>
      </c>
      <c r="D373" s="306">
        <f t="shared" ca="1" si="153"/>
        <v>-0.29041423228128571</v>
      </c>
      <c r="E373" s="307">
        <f t="shared" ca="1" si="154"/>
        <v>-9.5712006582565312</v>
      </c>
      <c r="F373" s="304">
        <f t="shared" ca="1" si="155"/>
        <v>9.5756055926986559</v>
      </c>
      <c r="G373" s="306">
        <f t="shared" ca="1" si="156"/>
        <v>24.174263849009709</v>
      </c>
      <c r="H373" s="307">
        <f t="shared" ca="1" si="157"/>
        <v>-20.858807808968262</v>
      </c>
      <c r="I373" s="304">
        <f t="shared" ca="1" si="158"/>
        <v>31.929373558731356</v>
      </c>
      <c r="J373" s="306">
        <f t="shared" ca="1" si="159"/>
        <v>551.92540735721059</v>
      </c>
      <c r="K373" s="307">
        <f t="shared" ca="1" si="160"/>
        <v>1545.5344615312347</v>
      </c>
      <c r="L373" s="304">
        <f t="shared" ca="1" si="145"/>
        <v>1641.1271818683238</v>
      </c>
      <c r="M373" s="306">
        <f t="shared" ca="1" si="161"/>
        <v>-0.71190805783959143</v>
      </c>
      <c r="N373" s="304">
        <f t="shared" ca="1" si="162"/>
        <v>-40.789327115563886</v>
      </c>
      <c r="P373" s="310">
        <f t="shared" ca="1" si="163"/>
        <v>23</v>
      </c>
      <c r="Q373" s="304">
        <f t="shared" ca="1" si="164"/>
        <v>0</v>
      </c>
      <c r="R373" s="306">
        <f t="shared" ca="1" si="165"/>
        <v>0</v>
      </c>
      <c r="S373" s="307">
        <f t="shared" ca="1" si="166"/>
        <v>7.150000000000003</v>
      </c>
      <c r="T373" s="304">
        <f t="shared" ca="1" si="146"/>
        <v>70.141500000000036</v>
      </c>
      <c r="U373" s="311">
        <f t="shared" ca="1" si="147"/>
        <v>0</v>
      </c>
      <c r="V373" s="306">
        <f t="shared" ca="1" si="148"/>
        <v>1.0492531677498051</v>
      </c>
      <c r="W373" s="304">
        <f t="shared" ca="1" si="149"/>
        <v>2.7918399575814679</v>
      </c>
      <c r="Y373" s="314" t="str">
        <f t="shared" ca="1" si="167"/>
        <v/>
      </c>
      <c r="Z373" s="315" t="str">
        <f t="shared" ca="1" si="168"/>
        <v/>
      </c>
      <c r="AA373" s="316" t="str">
        <f t="shared" ca="1" si="169"/>
        <v/>
      </c>
      <c r="AC373" s="310" t="e">
        <f t="shared" ca="1" si="170"/>
        <v>#N/A</v>
      </c>
      <c r="AD373" s="323" t="e">
        <f t="shared" ca="1" si="171"/>
        <v>#N/A</v>
      </c>
      <c r="AE373" s="324" t="e">
        <f t="shared" ca="1" si="150"/>
        <v>#N/A</v>
      </c>
      <c r="AG373" s="306">
        <f t="shared" ca="1" si="172"/>
        <v>5.8546205704501535</v>
      </c>
      <c r="AH373" s="304">
        <f t="shared" ca="1" si="173"/>
        <v>-0.37598610603138355</v>
      </c>
    </row>
    <row r="374" spans="1:34" x14ac:dyDescent="0.2">
      <c r="A374" s="347">
        <f t="shared" ca="1" si="151"/>
        <v>0.1</v>
      </c>
      <c r="B374" s="304">
        <f t="shared" ca="1" si="152"/>
        <v>19.000000000000004</v>
      </c>
      <c r="D374" s="306">
        <f t="shared" ca="1" si="153"/>
        <v>-0.29562920592588393</v>
      </c>
      <c r="E374" s="307">
        <f t="shared" ca="1" si="154"/>
        <v>-9.5549157985682154</v>
      </c>
      <c r="F374" s="304">
        <f t="shared" ca="1" si="155"/>
        <v>9.5594880901188866</v>
      </c>
      <c r="G374" s="306">
        <f t="shared" ca="1" si="156"/>
        <v>24.144700928417119</v>
      </c>
      <c r="H374" s="307">
        <f t="shared" ca="1" si="157"/>
        <v>-21.814299388825084</v>
      </c>
      <c r="I374" s="304">
        <f t="shared" ca="1" si="158"/>
        <v>32.539671798406339</v>
      </c>
      <c r="J374" s="306">
        <f t="shared" ca="1" si="159"/>
        <v>554.34135559608194</v>
      </c>
      <c r="K374" s="307">
        <f t="shared" ca="1" si="160"/>
        <v>1543.400806171345</v>
      </c>
      <c r="L374" s="304">
        <f t="shared" ca="1" si="145"/>
        <v>1639.9330434546587</v>
      </c>
      <c r="M374" s="306">
        <f t="shared" ca="1" si="161"/>
        <v>-0.73473545618675051</v>
      </c>
      <c r="N374" s="304">
        <f t="shared" ca="1" si="162"/>
        <v>-42.097240698120018</v>
      </c>
      <c r="P374" s="310">
        <f t="shared" ca="1" si="163"/>
        <v>23</v>
      </c>
      <c r="Q374" s="304">
        <f t="shared" ca="1" si="164"/>
        <v>0</v>
      </c>
      <c r="R374" s="306">
        <f t="shared" ca="1" si="165"/>
        <v>0</v>
      </c>
      <c r="S374" s="307">
        <f t="shared" ca="1" si="166"/>
        <v>7.150000000000003</v>
      </c>
      <c r="T374" s="304">
        <f t="shared" ca="1" si="146"/>
        <v>70.141500000000036</v>
      </c>
      <c r="U374" s="311">
        <f t="shared" ca="1" si="147"/>
        <v>0</v>
      </c>
      <c r="V374" s="306">
        <f t="shared" ca="1" si="148"/>
        <v>1.0494784094609337</v>
      </c>
      <c r="W374" s="304">
        <f t="shared" ca="1" si="149"/>
        <v>2.9002088848861725</v>
      </c>
      <c r="Y374" s="314" t="str">
        <f t="shared" ca="1" si="167"/>
        <v/>
      </c>
      <c r="Z374" s="315" t="str">
        <f t="shared" ca="1" si="168"/>
        <v/>
      </c>
      <c r="AA374" s="316" t="str">
        <f t="shared" ca="1" si="169"/>
        <v/>
      </c>
      <c r="AC374" s="310">
        <f t="shared" ca="1" si="170"/>
        <v>19.000000000000004</v>
      </c>
      <c r="AD374" s="323">
        <f t="shared" ca="1" si="171"/>
        <v>554.34135559608194</v>
      </c>
      <c r="AE374" s="324" t="e">
        <f t="shared" ca="1" si="150"/>
        <v>#N/A</v>
      </c>
      <c r="AG374" s="306">
        <f t="shared" ca="1" si="172"/>
        <v>6.018205571563314</v>
      </c>
      <c r="AH374" s="304">
        <f t="shared" ca="1" si="173"/>
        <v>-0.39046712693447089</v>
      </c>
    </row>
    <row r="375" spans="1:34" x14ac:dyDescent="0.2">
      <c r="A375" s="347">
        <f t="shared" ca="1" si="151"/>
        <v>0.1</v>
      </c>
      <c r="B375" s="304">
        <f t="shared" ca="1" si="152"/>
        <v>19.100000000000005</v>
      </c>
      <c r="D375" s="306">
        <f t="shared" ca="1" si="153"/>
        <v>-0.30097602278984703</v>
      </c>
      <c r="E375" s="307">
        <f t="shared" ca="1" si="154"/>
        <v>-9.538073622056416</v>
      </c>
      <c r="F375" s="304">
        <f t="shared" ca="1" si="155"/>
        <v>9.5428211230255577</v>
      </c>
      <c r="G375" s="306">
        <f t="shared" ca="1" si="156"/>
        <v>24.114603326138134</v>
      </c>
      <c r="H375" s="307">
        <f t="shared" ca="1" si="157"/>
        <v>-22.768106751030725</v>
      </c>
      <c r="I375" s="304">
        <f t="shared" ca="1" si="158"/>
        <v>33.164752050985143</v>
      </c>
      <c r="J375" s="306">
        <f t="shared" ca="1" si="159"/>
        <v>556.75432080880967</v>
      </c>
      <c r="K375" s="307">
        <f t="shared" ca="1" si="160"/>
        <v>1541.1716858643522</v>
      </c>
      <c r="L375" s="304">
        <f t="shared" ca="1" si="145"/>
        <v>1638.6535750576595</v>
      </c>
      <c r="M375" s="306">
        <f t="shared" ca="1" si="161"/>
        <v>-0.75668552011882706</v>
      </c>
      <c r="N375" s="304">
        <f t="shared" ca="1" si="162"/>
        <v>-43.354886721470336</v>
      </c>
      <c r="P375" s="310">
        <f t="shared" ca="1" si="163"/>
        <v>23</v>
      </c>
      <c r="Q375" s="304">
        <f t="shared" ca="1" si="164"/>
        <v>0</v>
      </c>
      <c r="R375" s="306">
        <f t="shared" ca="1" si="165"/>
        <v>0</v>
      </c>
      <c r="S375" s="307">
        <f t="shared" ca="1" si="166"/>
        <v>7.150000000000003</v>
      </c>
      <c r="T375" s="304">
        <f t="shared" ca="1" si="146"/>
        <v>70.141500000000036</v>
      </c>
      <c r="U375" s="311">
        <f t="shared" ca="1" si="147"/>
        <v>0</v>
      </c>
      <c r="V375" s="306">
        <f t="shared" ca="1" si="148"/>
        <v>1.0497137766955618</v>
      </c>
      <c r="W375" s="304">
        <f t="shared" ca="1" si="149"/>
        <v>3.0133795751835044</v>
      </c>
      <c r="Y375" s="314" t="str">
        <f t="shared" ca="1" si="167"/>
        <v/>
      </c>
      <c r="Z375" s="315" t="str">
        <f t="shared" ca="1" si="168"/>
        <v/>
      </c>
      <c r="AA375" s="316" t="str">
        <f t="shared" ca="1" si="169"/>
        <v/>
      </c>
      <c r="AC375" s="310" t="e">
        <f t="shared" ca="1" si="170"/>
        <v>#N/A</v>
      </c>
      <c r="AD375" s="323" t="e">
        <f t="shared" ca="1" si="171"/>
        <v>#N/A</v>
      </c>
      <c r="AE375" s="324" t="e">
        <f t="shared" ca="1" si="150"/>
        <v>#N/A</v>
      </c>
      <c r="AG375" s="306">
        <f t="shared" ca="1" si="172"/>
        <v>6.1709109658918848</v>
      </c>
      <c r="AH375" s="304">
        <f t="shared" ca="1" si="173"/>
        <v>-0.40562362026380017</v>
      </c>
    </row>
    <row r="376" spans="1:34" x14ac:dyDescent="0.2">
      <c r="A376" s="347">
        <f t="shared" ca="1" si="151"/>
        <v>0.1</v>
      </c>
      <c r="B376" s="304">
        <f t="shared" ca="1" si="152"/>
        <v>19.200000000000006</v>
      </c>
      <c r="D376" s="306">
        <f t="shared" ca="1" si="153"/>
        <v>-0.30644403075312099</v>
      </c>
      <c r="E376" s="307">
        <f t="shared" ca="1" si="154"/>
        <v>-9.5206670049247482</v>
      </c>
      <c r="F376" s="304">
        <f t="shared" ca="1" si="155"/>
        <v>9.5255975226043965</v>
      </c>
      <c r="G376" s="306">
        <f t="shared" ca="1" si="156"/>
        <v>24.083958923062823</v>
      </c>
      <c r="H376" s="307">
        <f t="shared" ca="1" si="157"/>
        <v>-23.720173451523198</v>
      </c>
      <c r="I376" s="304">
        <f t="shared" ca="1" si="158"/>
        <v>33.8036049257786</v>
      </c>
      <c r="J376" s="306">
        <f t="shared" ca="1" si="159"/>
        <v>559.16424892126975</v>
      </c>
      <c r="K376" s="307">
        <f t="shared" ca="1" si="160"/>
        <v>1538.8472718542246</v>
      </c>
      <c r="L376" s="304">
        <f t="shared" ca="1" si="145"/>
        <v>1637.2890958425387</v>
      </c>
      <c r="M376" s="306">
        <f t="shared" ca="1" si="161"/>
        <v>-0.77778839346041162</v>
      </c>
      <c r="N376" s="304">
        <f t="shared" ca="1" si="162"/>
        <v>-44.563992299542264</v>
      </c>
      <c r="P376" s="310">
        <f t="shared" ca="1" si="163"/>
        <v>23</v>
      </c>
      <c r="Q376" s="304">
        <f t="shared" ca="1" si="164"/>
        <v>0</v>
      </c>
      <c r="R376" s="306">
        <f t="shared" ca="1" si="165"/>
        <v>0</v>
      </c>
      <c r="S376" s="307">
        <f t="shared" ca="1" si="166"/>
        <v>7.150000000000003</v>
      </c>
      <c r="T376" s="304">
        <f t="shared" ca="1" si="146"/>
        <v>70.141500000000036</v>
      </c>
      <c r="U376" s="311">
        <f t="shared" ca="1" si="147"/>
        <v>0</v>
      </c>
      <c r="V376" s="306">
        <f t="shared" ca="1" si="148"/>
        <v>1.0499592576400545</v>
      </c>
      <c r="W376" s="304">
        <f t="shared" ca="1" si="149"/>
        <v>3.1313233430945306</v>
      </c>
      <c r="Y376" s="314" t="str">
        <f t="shared" ca="1" si="167"/>
        <v/>
      </c>
      <c r="Z376" s="315" t="str">
        <f t="shared" ca="1" si="168"/>
        <v/>
      </c>
      <c r="AA376" s="316" t="str">
        <f t="shared" ca="1" si="169"/>
        <v/>
      </c>
      <c r="AC376" s="310" t="e">
        <f t="shared" ca="1" si="170"/>
        <v>#N/A</v>
      </c>
      <c r="AD376" s="323" t="e">
        <f t="shared" ca="1" si="171"/>
        <v>#N/A</v>
      </c>
      <c r="AE376" s="324" t="e">
        <f t="shared" ca="1" si="150"/>
        <v>#N/A</v>
      </c>
      <c r="AG376" s="306">
        <f t="shared" ca="1" si="172"/>
        <v>6.313262530773204</v>
      </c>
      <c r="AH376" s="304">
        <f t="shared" ca="1" si="173"/>
        <v>-0.42145168883685358</v>
      </c>
    </row>
    <row r="377" spans="1:34" x14ac:dyDescent="0.2">
      <c r="A377" s="347">
        <f t="shared" ca="1" si="151"/>
        <v>0.1</v>
      </c>
      <c r="B377" s="304">
        <f t="shared" ca="1" si="152"/>
        <v>19.300000000000008</v>
      </c>
      <c r="D377" s="306">
        <f t="shared" ca="1" si="153"/>
        <v>-0.31202309060422934</v>
      </c>
      <c r="E377" s="307">
        <f t="shared" ca="1" si="154"/>
        <v>-9.5026899828364506</v>
      </c>
      <c r="F377" s="304">
        <f t="shared" ca="1" si="155"/>
        <v>9.5078112790994354</v>
      </c>
      <c r="G377" s="306">
        <f t="shared" ca="1" si="156"/>
        <v>24.052756614002401</v>
      </c>
      <c r="H377" s="307">
        <f t="shared" ca="1" si="157"/>
        <v>-24.670442449806842</v>
      </c>
      <c r="I377" s="304">
        <f t="shared" ca="1" si="158"/>
        <v>34.455272911437916</v>
      </c>
      <c r="J377" s="306">
        <f t="shared" ca="1" si="159"/>
        <v>561.57108469812306</v>
      </c>
      <c r="K377" s="307">
        <f t="shared" ca="1" si="160"/>
        <v>1536.4277410591581</v>
      </c>
      <c r="L377" s="304">
        <f t="shared" ca="1" si="145"/>
        <v>1635.8399330818324</v>
      </c>
      <c r="M377" s="306">
        <f t="shared" ca="1" si="161"/>
        <v>-0.7980749325720593</v>
      </c>
      <c r="N377" s="304">
        <f t="shared" ca="1" si="162"/>
        <v>-45.726325371566752</v>
      </c>
      <c r="P377" s="310">
        <f t="shared" ca="1" si="163"/>
        <v>23</v>
      </c>
      <c r="Q377" s="304">
        <f t="shared" ca="1" si="164"/>
        <v>0</v>
      </c>
      <c r="R377" s="306">
        <f t="shared" ca="1" si="165"/>
        <v>0</v>
      </c>
      <c r="S377" s="307">
        <f t="shared" ca="1" si="166"/>
        <v>7.150000000000003</v>
      </c>
      <c r="T377" s="304">
        <f t="shared" ca="1" si="146"/>
        <v>70.141500000000036</v>
      </c>
      <c r="U377" s="311">
        <f t="shared" ca="1" si="147"/>
        <v>0</v>
      </c>
      <c r="V377" s="306">
        <f t="shared" ca="1" si="148"/>
        <v>1.0502148401371876</v>
      </c>
      <c r="W377" s="304">
        <f t="shared" ca="1" si="149"/>
        <v>3.2540106724856712</v>
      </c>
      <c r="Y377" s="314" t="str">
        <f t="shared" ca="1" si="167"/>
        <v/>
      </c>
      <c r="Z377" s="315" t="str">
        <f t="shared" ca="1" si="168"/>
        <v/>
      </c>
      <c r="AA377" s="316" t="str">
        <f t="shared" ca="1" si="169"/>
        <v/>
      </c>
      <c r="AC377" s="310" t="e">
        <f t="shared" ca="1" si="170"/>
        <v>#N/A</v>
      </c>
      <c r="AD377" s="323" t="e">
        <f t="shared" ca="1" si="171"/>
        <v>#N/A</v>
      </c>
      <c r="AE377" s="324" t="e">
        <f t="shared" ca="1" si="150"/>
        <v>#N/A</v>
      </c>
      <c r="AG377" s="306">
        <f t="shared" ca="1" si="172"/>
        <v>6.4457830408972141</v>
      </c>
      <c r="AH377" s="304">
        <f t="shared" ca="1" si="173"/>
        <v>-0.43794732071252157</v>
      </c>
    </row>
    <row r="378" spans="1:34" x14ac:dyDescent="0.2">
      <c r="A378" s="347">
        <f t="shared" ca="1" si="151"/>
        <v>0.1</v>
      </c>
      <c r="B378" s="304">
        <f t="shared" ca="1" si="152"/>
        <v>19.400000000000009</v>
      </c>
      <c r="D378" s="306">
        <f t="shared" ca="1" si="153"/>
        <v>-0.31770356909989328</v>
      </c>
      <c r="E378" s="307">
        <f t="shared" ca="1" si="154"/>
        <v>-9.4841376573438456</v>
      </c>
      <c r="F378" s="304">
        <f t="shared" ca="1" si="155"/>
        <v>9.4894574482035807</v>
      </c>
      <c r="G378" s="306">
        <f t="shared" ca="1" si="156"/>
        <v>24.020986257092414</v>
      </c>
      <c r="H378" s="307">
        <f t="shared" ca="1" si="157"/>
        <v>-25.618856215541225</v>
      </c>
      <c r="I378" s="304">
        <f t="shared" ca="1" si="158"/>
        <v>35.118849277218608</v>
      </c>
      <c r="J378" s="306">
        <f t="shared" ca="1" si="159"/>
        <v>563.97477184167781</v>
      </c>
      <c r="K378" s="307">
        <f t="shared" ca="1" si="160"/>
        <v>1533.9132761258907</v>
      </c>
      <c r="L378" s="304">
        <f t="shared" ca="1" si="145"/>
        <v>1634.3064222933028</v>
      </c>
      <c r="M378" s="306">
        <f t="shared" ca="1" si="161"/>
        <v>-0.81757631596163738</v>
      </c>
      <c r="N378" s="304">
        <f t="shared" ca="1" si="162"/>
        <v>-46.843672334456102</v>
      </c>
      <c r="P378" s="310">
        <f t="shared" ca="1" si="163"/>
        <v>23</v>
      </c>
      <c r="Q378" s="304">
        <f t="shared" ca="1" si="164"/>
        <v>0</v>
      </c>
      <c r="R378" s="306">
        <f t="shared" ca="1" si="165"/>
        <v>0</v>
      </c>
      <c r="S378" s="307">
        <f t="shared" ca="1" si="166"/>
        <v>7.150000000000003</v>
      </c>
      <c r="T378" s="304">
        <f t="shared" ca="1" si="146"/>
        <v>70.141500000000036</v>
      </c>
      <c r="U378" s="311">
        <f t="shared" ca="1" si="147"/>
        <v>0</v>
      </c>
      <c r="V378" s="306">
        <f t="shared" ca="1" si="148"/>
        <v>1.0504805116785285</v>
      </c>
      <c r="W378" s="304">
        <f t="shared" ca="1" si="149"/>
        <v>3.3814112087473425</v>
      </c>
      <c r="Y378" s="314" t="str">
        <f t="shared" ca="1" si="167"/>
        <v/>
      </c>
      <c r="Z378" s="315" t="str">
        <f t="shared" ca="1" si="168"/>
        <v/>
      </c>
      <c r="AA378" s="316" t="str">
        <f t="shared" ca="1" si="169"/>
        <v/>
      </c>
      <c r="AC378" s="310" t="e">
        <f t="shared" ca="1" si="170"/>
        <v>#N/A</v>
      </c>
      <c r="AD378" s="323" t="e">
        <f t="shared" ca="1" si="171"/>
        <v>#N/A</v>
      </c>
      <c r="AE378" s="324" t="e">
        <f t="shared" ca="1" si="150"/>
        <v>#N/A</v>
      </c>
      <c r="AG378" s="306">
        <f t="shared" ca="1" si="172"/>
        <v>6.5689865879266351</v>
      </c>
      <c r="AH378" s="304">
        <f t="shared" ca="1" si="173"/>
        <v>-0.45510638776023354</v>
      </c>
    </row>
    <row r="379" spans="1:34" x14ac:dyDescent="0.2">
      <c r="A379" s="347">
        <f t="shared" ca="1" si="151"/>
        <v>0.1</v>
      </c>
      <c r="B379" s="304">
        <f t="shared" ca="1" si="152"/>
        <v>19.500000000000011</v>
      </c>
      <c r="D379" s="306">
        <f t="shared" ca="1" si="153"/>
        <v>-0.3234763274395463</v>
      </c>
      <c r="E379" s="307">
        <f t="shared" ca="1" si="154"/>
        <v>-9.4650061086955493</v>
      </c>
      <c r="F379" s="304">
        <f t="shared" ca="1" si="155"/>
        <v>9.4705320638313584</v>
      </c>
      <c r="G379" s="306">
        <f t="shared" ca="1" si="156"/>
        <v>23.988638624348461</v>
      </c>
      <c r="H379" s="307">
        <f t="shared" ca="1" si="157"/>
        <v>-26.565356826410781</v>
      </c>
      <c r="I379" s="304">
        <f t="shared" ca="1" si="158"/>
        <v>35.793476589514363</v>
      </c>
      <c r="J379" s="306">
        <f t="shared" ca="1" si="159"/>
        <v>566.37525308574982</v>
      </c>
      <c r="K379" s="307">
        <f t="shared" ca="1" si="160"/>
        <v>1531.3040654737931</v>
      </c>
      <c r="L379" s="304">
        <f t="shared" ca="1" si="145"/>
        <v>1632.6889073686125</v>
      </c>
      <c r="M379" s="306">
        <f t="shared" ca="1" si="161"/>
        <v>-0.83632371925871751</v>
      </c>
      <c r="N379" s="304">
        <f t="shared" ca="1" si="162"/>
        <v>-47.917819420208438</v>
      </c>
      <c r="P379" s="310">
        <f t="shared" ca="1" si="163"/>
        <v>23</v>
      </c>
      <c r="Q379" s="304">
        <f t="shared" ca="1" si="164"/>
        <v>0</v>
      </c>
      <c r="R379" s="306">
        <f t="shared" ca="1" si="165"/>
        <v>0</v>
      </c>
      <c r="S379" s="307">
        <f t="shared" ca="1" si="166"/>
        <v>7.150000000000003</v>
      </c>
      <c r="T379" s="304">
        <f t="shared" ca="1" si="146"/>
        <v>70.141500000000036</v>
      </c>
      <c r="U379" s="311">
        <f t="shared" ca="1" si="147"/>
        <v>0</v>
      </c>
      <c r="V379" s="306">
        <f t="shared" ca="1" si="148"/>
        <v>1.0507562593978335</v>
      </c>
      <c r="W379" s="304">
        <f t="shared" ca="1" si="149"/>
        <v>3.513493753382396</v>
      </c>
      <c r="Y379" s="314" t="str">
        <f t="shared" ca="1" si="167"/>
        <v/>
      </c>
      <c r="Z379" s="315" t="str">
        <f t="shared" ca="1" si="168"/>
        <v/>
      </c>
      <c r="AA379" s="316" t="str">
        <f t="shared" ca="1" si="169"/>
        <v/>
      </c>
      <c r="AC379" s="310" t="e">
        <f t="shared" ca="1" si="170"/>
        <v>#N/A</v>
      </c>
      <c r="AD379" s="323" t="e">
        <f t="shared" ca="1" si="171"/>
        <v>#N/A</v>
      </c>
      <c r="AE379" s="324" t="e">
        <f t="shared" ca="1" si="150"/>
        <v>#N/A</v>
      </c>
      <c r="AG379" s="306">
        <f t="shared" ca="1" si="172"/>
        <v>6.6833741706402421</v>
      </c>
      <c r="AH379" s="304">
        <f t="shared" ca="1" si="173"/>
        <v>-0.47292464458004768</v>
      </c>
    </row>
    <row r="380" spans="1:34" x14ac:dyDescent="0.2">
      <c r="A380" s="347">
        <f t="shared" ca="1" si="151"/>
        <v>0.1</v>
      </c>
      <c r="B380" s="304">
        <f t="shared" ca="1" si="152"/>
        <v>19.600000000000012</v>
      </c>
      <c r="D380" s="306">
        <f t="shared" ca="1" si="153"/>
        <v>-0.3293327062611453</v>
      </c>
      <c r="E380" s="307">
        <f t="shared" ca="1" si="154"/>
        <v>-9.4452923151064194</v>
      </c>
      <c r="F380" s="304">
        <f t="shared" ca="1" si="155"/>
        <v>9.4510320573586917</v>
      </c>
      <c r="G380" s="306">
        <f t="shared" ca="1" si="156"/>
        <v>23.955705353722347</v>
      </c>
      <c r="H380" s="307">
        <f t="shared" ca="1" si="157"/>
        <v>-27.509886057921424</v>
      </c>
      <c r="I380" s="304">
        <f t="shared" ca="1" si="158"/>
        <v>36.478344944832422</v>
      </c>
      <c r="J380" s="306">
        <f t="shared" ca="1" si="159"/>
        <v>568.77247028465331</v>
      </c>
      <c r="K380" s="307">
        <f t="shared" ca="1" si="160"/>
        <v>1528.6003033295765</v>
      </c>
      <c r="L380" s="304">
        <f t="shared" ca="1" si="145"/>
        <v>1630.9877406936509</v>
      </c>
      <c r="M380" s="306">
        <f t="shared" ca="1" si="161"/>
        <v>-0.85434804868160008</v>
      </c>
      <c r="N380" s="304">
        <f t="shared" ca="1" si="162"/>
        <v>-48.950537424693081</v>
      </c>
      <c r="P380" s="310">
        <f t="shared" ca="1" si="163"/>
        <v>23</v>
      </c>
      <c r="Q380" s="304">
        <f t="shared" ca="1" si="164"/>
        <v>0</v>
      </c>
      <c r="R380" s="306">
        <f t="shared" ca="1" si="165"/>
        <v>0</v>
      </c>
      <c r="S380" s="307">
        <f t="shared" ca="1" si="166"/>
        <v>7.150000000000003</v>
      </c>
      <c r="T380" s="304">
        <f t="shared" ca="1" si="146"/>
        <v>70.141500000000036</v>
      </c>
      <c r="U380" s="311">
        <f t="shared" ca="1" si="147"/>
        <v>0</v>
      </c>
      <c r="V380" s="306">
        <f t="shared" ca="1" si="148"/>
        <v>1.0510420700653604</v>
      </c>
      <c r="W380" s="304">
        <f t="shared" ca="1" si="149"/>
        <v>3.6502262607187466</v>
      </c>
      <c r="Y380" s="314" t="str">
        <f t="shared" ca="1" si="167"/>
        <v/>
      </c>
      <c r="Z380" s="315" t="str">
        <f t="shared" ca="1" si="168"/>
        <v/>
      </c>
      <c r="AA380" s="316" t="str">
        <f t="shared" ca="1" si="169"/>
        <v/>
      </c>
      <c r="AC380" s="310" t="e">
        <f t="shared" ca="1" si="170"/>
        <v>#N/A</v>
      </c>
      <c r="AD380" s="323" t="e">
        <f t="shared" ca="1" si="171"/>
        <v>#N/A</v>
      </c>
      <c r="AE380" s="324" t="e">
        <f t="shared" ca="1" si="150"/>
        <v>#N/A</v>
      </c>
      <c r="AG380" s="306">
        <f t="shared" ca="1" si="172"/>
        <v>6.7894303811234655</v>
      </c>
      <c r="AH380" s="304">
        <f t="shared" ca="1" si="173"/>
        <v>-0.49139772774578944</v>
      </c>
    </row>
    <row r="381" spans="1:34" x14ac:dyDescent="0.2">
      <c r="A381" s="347">
        <f t="shared" ca="1" si="151"/>
        <v>0.1</v>
      </c>
      <c r="B381" s="304">
        <f t="shared" ca="1" si="152"/>
        <v>19.700000000000014</v>
      </c>
      <c r="D381" s="306">
        <f t="shared" ca="1" si="153"/>
        <v>-0.33526450810170116</v>
      </c>
      <c r="E381" s="307">
        <f t="shared" ca="1" si="154"/>
        <v>-9.4249940784060549</v>
      </c>
      <c r="F381" s="304">
        <f t="shared" ca="1" si="155"/>
        <v>9.4309551832453256</v>
      </c>
      <c r="G381" s="306">
        <f t="shared" ca="1" si="156"/>
        <v>23.922178902912176</v>
      </c>
      <c r="H381" s="307">
        <f t="shared" ca="1" si="157"/>
        <v>-28.452385465762028</v>
      </c>
      <c r="I381" s="304">
        <f t="shared" ca="1" si="158"/>
        <v>37.172690004292704</v>
      </c>
      <c r="J381" s="306">
        <f t="shared" ca="1" si="159"/>
        <v>571.16636449748501</v>
      </c>
      <c r="K381" s="307">
        <f t="shared" ca="1" si="160"/>
        <v>1525.8021897533922</v>
      </c>
      <c r="L381" s="304">
        <f t="shared" ca="1" si="145"/>
        <v>1629.203283261337</v>
      </c>
      <c r="M381" s="306">
        <f t="shared" ca="1" si="161"/>
        <v>-0.87167972610502631</v>
      </c>
      <c r="N381" s="304">
        <f t="shared" ca="1" si="162"/>
        <v>-49.943569392937576</v>
      </c>
      <c r="P381" s="310">
        <f t="shared" ca="1" si="163"/>
        <v>23</v>
      </c>
      <c r="Q381" s="304">
        <f t="shared" ca="1" si="164"/>
        <v>0</v>
      </c>
      <c r="R381" s="306">
        <f t="shared" ca="1" si="165"/>
        <v>0</v>
      </c>
      <c r="S381" s="307">
        <f t="shared" ca="1" si="166"/>
        <v>7.150000000000003</v>
      </c>
      <c r="T381" s="304">
        <f t="shared" ca="1" si="146"/>
        <v>70.141500000000036</v>
      </c>
      <c r="U381" s="311">
        <f t="shared" ca="1" si="147"/>
        <v>0</v>
      </c>
      <c r="V381" s="306">
        <f t="shared" ca="1" si="148"/>
        <v>1.0513379300830306</v>
      </c>
      <c r="W381" s="304">
        <f t="shared" ca="1" si="149"/>
        <v>3.7915758365745633</v>
      </c>
      <c r="Y381" s="314" t="str">
        <f t="shared" ca="1" si="167"/>
        <v/>
      </c>
      <c r="Z381" s="315" t="str">
        <f t="shared" ca="1" si="168"/>
        <v/>
      </c>
      <c r="AA381" s="316" t="str">
        <f t="shared" ca="1" si="169"/>
        <v/>
      </c>
      <c r="AC381" s="310" t="e">
        <f t="shared" ca="1" si="170"/>
        <v>#N/A</v>
      </c>
      <c r="AD381" s="323" t="e">
        <f t="shared" ca="1" si="171"/>
        <v>#N/A</v>
      </c>
      <c r="AE381" s="324" t="e">
        <f t="shared" ca="1" si="150"/>
        <v>#N/A</v>
      </c>
      <c r="AG381" s="306">
        <f t="shared" ca="1" si="172"/>
        <v>6.8876210201384707</v>
      </c>
      <c r="AH381" s="304">
        <f t="shared" ca="1" si="173"/>
        <v>-0.51052115534527898</v>
      </c>
    </row>
    <row r="382" spans="1:34" x14ac:dyDescent="0.2">
      <c r="A382" s="347">
        <f t="shared" ca="1" si="151"/>
        <v>0.1</v>
      </c>
      <c r="B382" s="304">
        <f t="shared" ca="1" si="152"/>
        <v>19.800000000000015</v>
      </c>
      <c r="D382" s="306">
        <f t="shared" ca="1" si="153"/>
        <v>-0.34126397811340509</v>
      </c>
      <c r="E382" s="307">
        <f t="shared" ca="1" si="154"/>
        <v>-9.4041099558585799</v>
      </c>
      <c r="F382" s="304">
        <f t="shared" ca="1" si="155"/>
        <v>9.4102999508323979</v>
      </c>
      <c r="G382" s="306">
        <f t="shared" ca="1" si="156"/>
        <v>23.888052505100834</v>
      </c>
      <c r="H382" s="307">
        <f t="shared" ca="1" si="157"/>
        <v>-29.392796461347885</v>
      </c>
      <c r="I382" s="304">
        <f t="shared" ca="1" si="158"/>
        <v>37.875790900054866</v>
      </c>
      <c r="J382" s="306">
        <f t="shared" ca="1" si="159"/>
        <v>573.5568760678857</v>
      </c>
      <c r="K382" s="307">
        <f t="shared" ca="1" si="160"/>
        <v>1522.9099306570367</v>
      </c>
      <c r="L382" s="304">
        <f t="shared" ca="1" si="145"/>
        <v>1627.3359047776744</v>
      </c>
      <c r="M382" s="306">
        <f t="shared" ca="1" si="161"/>
        <v>-0.88834851907529333</v>
      </c>
      <c r="N382" s="304">
        <f t="shared" ca="1" si="162"/>
        <v>-50.89862087971121</v>
      </c>
      <c r="P382" s="310">
        <f t="shared" ca="1" si="163"/>
        <v>23</v>
      </c>
      <c r="Q382" s="304">
        <f t="shared" ca="1" si="164"/>
        <v>0</v>
      </c>
      <c r="R382" s="306">
        <f t="shared" ca="1" si="165"/>
        <v>0</v>
      </c>
      <c r="S382" s="307">
        <f t="shared" ca="1" si="166"/>
        <v>7.150000000000003</v>
      </c>
      <c r="T382" s="304">
        <f t="shared" ca="1" si="146"/>
        <v>70.141500000000036</v>
      </c>
      <c r="U382" s="311">
        <f t="shared" ca="1" si="147"/>
        <v>0</v>
      </c>
      <c r="V382" s="306">
        <f t="shared" ca="1" si="148"/>
        <v>1.051643825480348</v>
      </c>
      <c r="W382" s="304">
        <f t="shared" ca="1" si="149"/>
        <v>3.9375087387178511</v>
      </c>
      <c r="Y382" s="314" t="str">
        <f t="shared" ca="1" si="167"/>
        <v/>
      </c>
      <c r="Z382" s="315" t="str">
        <f t="shared" ca="1" si="168"/>
        <v/>
      </c>
      <c r="AA382" s="316" t="str">
        <f t="shared" ca="1" si="169"/>
        <v/>
      </c>
      <c r="AC382" s="310" t="e">
        <f t="shared" ca="1" si="170"/>
        <v>#N/A</v>
      </c>
      <c r="AD382" s="323" t="e">
        <f t="shared" ca="1" si="171"/>
        <v>#N/A</v>
      </c>
      <c r="AE382" s="324" t="e">
        <f t="shared" ca="1" si="150"/>
        <v>#N/A</v>
      </c>
      <c r="AG382" s="306">
        <f t="shared" ca="1" si="172"/>
        <v>6.9783914873794206</v>
      </c>
      <c r="AH382" s="304">
        <f t="shared" ca="1" si="173"/>
        <v>-0.53029032679364496</v>
      </c>
    </row>
    <row r="383" spans="1:34" x14ac:dyDescent="0.2">
      <c r="A383" s="347">
        <f t="shared" ca="1" si="151"/>
        <v>0.1</v>
      </c>
      <c r="B383" s="304">
        <f t="shared" ca="1" si="152"/>
        <v>19.900000000000016</v>
      </c>
      <c r="D383" s="306">
        <f t="shared" ca="1" si="153"/>
        <v>-0.3473237836875197</v>
      </c>
      <c r="E383" s="307">
        <f t="shared" ca="1" si="154"/>
        <v>-9.3826391978612502</v>
      </c>
      <c r="F383" s="304">
        <f t="shared" ca="1" si="155"/>
        <v>9.3890655620225285</v>
      </c>
      <c r="G383" s="306">
        <f t="shared" ca="1" si="156"/>
        <v>23.853320126732083</v>
      </c>
      <c r="H383" s="307">
        <f t="shared" ca="1" si="157"/>
        <v>-30.331060381134009</v>
      </c>
      <c r="I383" s="304">
        <f t="shared" ca="1" si="158"/>
        <v>38.586968070999816</v>
      </c>
      <c r="J383" s="306">
        <f t="shared" ca="1" si="159"/>
        <v>575.94394469947736</v>
      </c>
      <c r="K383" s="307">
        <f t="shared" ca="1" si="160"/>
        <v>1519.9237378149126</v>
      </c>
      <c r="L383" s="304">
        <f t="shared" ca="1" si="145"/>
        <v>1625.3859837617799</v>
      </c>
      <c r="M383" s="306">
        <f t="shared" ca="1" si="161"/>
        <v>-0.90438340952963614</v>
      </c>
      <c r="N383" s="304">
        <f t="shared" ca="1" si="162"/>
        <v>-51.817352427699667</v>
      </c>
      <c r="P383" s="310">
        <f t="shared" ca="1" si="163"/>
        <v>23</v>
      </c>
      <c r="Q383" s="304">
        <f t="shared" ca="1" si="164"/>
        <v>0</v>
      </c>
      <c r="R383" s="306">
        <f t="shared" ca="1" si="165"/>
        <v>0</v>
      </c>
      <c r="S383" s="307">
        <f t="shared" ca="1" si="166"/>
        <v>7.150000000000003</v>
      </c>
      <c r="T383" s="304">
        <f t="shared" ca="1" si="146"/>
        <v>70.141500000000036</v>
      </c>
      <c r="U383" s="311">
        <f t="shared" ca="1" si="147"/>
        <v>0</v>
      </c>
      <c r="V383" s="306">
        <f t="shared" ca="1" si="148"/>
        <v>1.0519597419110258</v>
      </c>
      <c r="W383" s="304">
        <f t="shared" ca="1" si="149"/>
        <v>4.087990378975304</v>
      </c>
      <c r="Y383" s="314" t="str">
        <f t="shared" ca="1" si="167"/>
        <v/>
      </c>
      <c r="Z383" s="315" t="str">
        <f t="shared" ca="1" si="168"/>
        <v/>
      </c>
      <c r="AA383" s="316" t="str">
        <f t="shared" ca="1" si="169"/>
        <v/>
      </c>
      <c r="AC383" s="310" t="e">
        <f t="shared" ca="1" si="170"/>
        <v>#N/A</v>
      </c>
      <c r="AD383" s="323" t="e">
        <f t="shared" ca="1" si="171"/>
        <v>#N/A</v>
      </c>
      <c r="AE383" s="324" t="e">
        <f t="shared" ca="1" si="150"/>
        <v>#N/A</v>
      </c>
      <c r="AG383" s="306">
        <f t="shared" ca="1" si="172"/>
        <v>7.0621658076482534</v>
      </c>
      <c r="AH383" s="304">
        <f t="shared" ca="1" si="173"/>
        <v>-0.5507005228976013</v>
      </c>
    </row>
    <row r="384" spans="1:34" x14ac:dyDescent="0.2">
      <c r="A384" s="347">
        <f t="shared" ca="1" si="151"/>
        <v>0.1</v>
      </c>
      <c r="B384" s="304">
        <f t="shared" ca="1" si="152"/>
        <v>20.000000000000018</v>
      </c>
      <c r="D384" s="306">
        <f t="shared" ca="1" si="153"/>
        <v>-0.35343699351501223</v>
      </c>
      <c r="E384" s="307">
        <f t="shared" ca="1" si="154"/>
        <v>-9.3605816911744544</v>
      </c>
      <c r="F384" s="304">
        <f t="shared" ca="1" si="155"/>
        <v>9.3672518544947501</v>
      </c>
      <c r="G384" s="306">
        <f t="shared" ca="1" si="156"/>
        <v>23.817976427380582</v>
      </c>
      <c r="H384" s="307">
        <f t="shared" ca="1" si="157"/>
        <v>-31.267118550251453</v>
      </c>
      <c r="I384" s="304">
        <f t="shared" ca="1" si="158"/>
        <v>39.305581073566842</v>
      </c>
      <c r="J384" s="306">
        <f t="shared" ca="1" si="159"/>
        <v>578.327509527183</v>
      </c>
      <c r="K384" s="307">
        <f t="shared" ca="1" si="160"/>
        <v>1516.8438288683433</v>
      </c>
      <c r="L384" s="304">
        <f t="shared" ca="1" si="145"/>
        <v>1623.3539076405643</v>
      </c>
      <c r="M384" s="306">
        <f t="shared" ca="1" si="161"/>
        <v>-0.91981249548916977</v>
      </c>
      <c r="N384" s="304">
        <f t="shared" ca="1" si="162"/>
        <v>-52.701373934925499</v>
      </c>
      <c r="P384" s="310">
        <f t="shared" ca="1" si="163"/>
        <v>23</v>
      </c>
      <c r="Q384" s="304">
        <f t="shared" ca="1" si="164"/>
        <v>0</v>
      </c>
      <c r="R384" s="306">
        <f t="shared" ca="1" si="165"/>
        <v>0</v>
      </c>
      <c r="S384" s="307">
        <f t="shared" ca="1" si="166"/>
        <v>7.150000000000003</v>
      </c>
      <c r="T384" s="304">
        <f t="shared" ca="1" si="146"/>
        <v>70.141500000000036</v>
      </c>
      <c r="U384" s="311">
        <f t="shared" ca="1" si="147"/>
        <v>0</v>
      </c>
      <c r="V384" s="306">
        <f t="shared" ca="1" si="148"/>
        <v>1.0522856646502468</v>
      </c>
      <c r="W384" s="304">
        <f t="shared" ca="1" si="149"/>
        <v>4.242985326857398</v>
      </c>
      <c r="Y384" s="314" t="str">
        <f t="shared" ca="1" si="167"/>
        <v/>
      </c>
      <c r="Z384" s="315" t="str">
        <f t="shared" ca="1" si="168"/>
        <v/>
      </c>
      <c r="AA384" s="316" t="str">
        <f t="shared" ca="1" si="169"/>
        <v/>
      </c>
      <c r="AC384" s="310">
        <f t="shared" ca="1" si="170"/>
        <v>20.000000000000018</v>
      </c>
      <c r="AD384" s="323">
        <f t="shared" ca="1" si="171"/>
        <v>578.327509527183</v>
      </c>
      <c r="AE384" s="324" t="e">
        <f t="shared" ca="1" si="150"/>
        <v>#N/A</v>
      </c>
      <c r="AG384" s="306">
        <f t="shared" ca="1" si="172"/>
        <v>7.1393461704406089</v>
      </c>
      <c r="AH384" s="304">
        <f t="shared" ca="1" si="173"/>
        <v>-0.57174690615039192</v>
      </c>
    </row>
    <row r="385" spans="1:34" x14ac:dyDescent="0.2">
      <c r="A385" s="347">
        <f t="shared" ca="1" si="151"/>
        <v>0.1</v>
      </c>
      <c r="B385" s="304">
        <f t="shared" ca="1" si="152"/>
        <v>20.100000000000019</v>
      </c>
      <c r="D385" s="306">
        <f t="shared" ca="1" si="153"/>
        <v>-0.35959705650555951</v>
      </c>
      <c r="E385" s="307">
        <f t="shared" ca="1" si="154"/>
        <v>-9.337937907304525</v>
      </c>
      <c r="F385" s="304">
        <f t="shared" ca="1" si="155"/>
        <v>9.344859250075535</v>
      </c>
      <c r="G385" s="306">
        <f t="shared" ca="1" si="156"/>
        <v>23.782016721730027</v>
      </c>
      <c r="H385" s="307">
        <f t="shared" ca="1" si="157"/>
        <v>-32.200912340981908</v>
      </c>
      <c r="I385" s="304">
        <f t="shared" ca="1" si="158"/>
        <v>40.031026403831412</v>
      </c>
      <c r="J385" s="306">
        <f t="shared" ca="1" si="159"/>
        <v>580.70750918463852</v>
      </c>
      <c r="K385" s="307">
        <f t="shared" ca="1" si="160"/>
        <v>1513.6704273237817</v>
      </c>
      <c r="L385" s="304">
        <f t="shared" ca="1" si="145"/>
        <v>1621.2400728386858</v>
      </c>
      <c r="M385" s="306">
        <f t="shared" ca="1" si="161"/>
        <v>-0.93466292055727551</v>
      </c>
      <c r="N385" s="304">
        <f t="shared" ca="1" si="162"/>
        <v>-53.552240615303234</v>
      </c>
      <c r="P385" s="310">
        <f t="shared" ca="1" si="163"/>
        <v>23</v>
      </c>
      <c r="Q385" s="304">
        <f t="shared" ca="1" si="164"/>
        <v>0</v>
      </c>
      <c r="R385" s="306">
        <f t="shared" ca="1" si="165"/>
        <v>0</v>
      </c>
      <c r="S385" s="307">
        <f t="shared" ca="1" si="166"/>
        <v>7.150000000000003</v>
      </c>
      <c r="T385" s="304">
        <f t="shared" ca="1" si="146"/>
        <v>70.141500000000036</v>
      </c>
      <c r="U385" s="311">
        <f t="shared" ca="1" si="147"/>
        <v>0</v>
      </c>
      <c r="V385" s="306">
        <f t="shared" ca="1" si="148"/>
        <v>1.0526215785925013</v>
      </c>
      <c r="W385" s="304">
        <f t="shared" ca="1" si="149"/>
        <v>4.4024573145781813</v>
      </c>
      <c r="Y385" s="314" t="str">
        <f t="shared" ca="1" si="167"/>
        <v/>
      </c>
      <c r="Z385" s="315" t="str">
        <f t="shared" ca="1" si="168"/>
        <v/>
      </c>
      <c r="AA385" s="316" t="str">
        <f t="shared" ca="1" si="169"/>
        <v/>
      </c>
      <c r="AC385" s="310" t="e">
        <f t="shared" ca="1" si="170"/>
        <v>#N/A</v>
      </c>
      <c r="AD385" s="323" t="e">
        <f t="shared" ca="1" si="171"/>
        <v>#N/A</v>
      </c>
      <c r="AE385" s="324" t="e">
        <f t="shared" ca="1" si="150"/>
        <v>#N/A</v>
      </c>
      <c r="AG385" s="306">
        <f t="shared" ca="1" si="172"/>
        <v>7.2103128768642994</v>
      </c>
      <c r="AH385" s="304">
        <f t="shared" ca="1" si="173"/>
        <v>-0.59342452123879663</v>
      </c>
    </row>
    <row r="386" spans="1:34" x14ac:dyDescent="0.2">
      <c r="A386" s="347">
        <f t="shared" ca="1" si="151"/>
        <v>0.1</v>
      </c>
      <c r="B386" s="304">
        <f t="shared" ca="1" si="152"/>
        <v>20.200000000000021</v>
      </c>
      <c r="D386" s="306">
        <f t="shared" ca="1" si="153"/>
        <v>-0.36579778089460019</v>
      </c>
      <c r="E386" s="307">
        <f t="shared" ca="1" si="154"/>
        <v>-9.3147088556476358</v>
      </c>
      <c r="F386" s="304">
        <f t="shared" ca="1" si="155"/>
        <v>9.3218887078739527</v>
      </c>
      <c r="G386" s="306">
        <f t="shared" ca="1" si="156"/>
        <v>23.745436943640566</v>
      </c>
      <c r="H386" s="307">
        <f t="shared" ca="1" si="157"/>
        <v>-33.132383226546672</v>
      </c>
      <c r="I386" s="304">
        <f t="shared" ca="1" si="158"/>
        <v>40.76273535859881</v>
      </c>
      <c r="J386" s="306">
        <f t="shared" ca="1" si="159"/>
        <v>583.08388186790705</v>
      </c>
      <c r="K386" s="307">
        <f t="shared" ca="1" si="160"/>
        <v>1510.4037625454052</v>
      </c>
      <c r="L386" s="304">
        <f t="shared" ca="1" si="145"/>
        <v>1619.0448848643648</v>
      </c>
      <c r="M386" s="306">
        <f t="shared" ca="1" si="161"/>
        <v>-0.94896082663030712</v>
      </c>
      <c r="N386" s="304">
        <f t="shared" ca="1" si="162"/>
        <v>-54.371450289162418</v>
      </c>
      <c r="P386" s="310">
        <f t="shared" ca="1" si="163"/>
        <v>23</v>
      </c>
      <c r="Q386" s="304">
        <f t="shared" ca="1" si="164"/>
        <v>0</v>
      </c>
      <c r="R386" s="306">
        <f t="shared" ca="1" si="165"/>
        <v>0</v>
      </c>
      <c r="S386" s="307">
        <f t="shared" ca="1" si="166"/>
        <v>7.150000000000003</v>
      </c>
      <c r="T386" s="304">
        <f t="shared" ca="1" si="146"/>
        <v>70.141500000000036</v>
      </c>
      <c r="U386" s="311">
        <f t="shared" ca="1" si="147"/>
        <v>0</v>
      </c>
      <c r="V386" s="306">
        <f t="shared" ca="1" si="148"/>
        <v>1.0529674682499615</v>
      </c>
      <c r="W386" s="304">
        <f t="shared" ca="1" si="149"/>
        <v>4.5663692433587357</v>
      </c>
      <c r="Y386" s="314" t="str">
        <f t="shared" ca="1" si="167"/>
        <v/>
      </c>
      <c r="Z386" s="315" t="str">
        <f t="shared" ca="1" si="168"/>
        <v/>
      </c>
      <c r="AA386" s="316" t="str">
        <f t="shared" ca="1" si="169"/>
        <v/>
      </c>
      <c r="AC386" s="310" t="e">
        <f t="shared" ca="1" si="170"/>
        <v>#N/A</v>
      </c>
      <c r="AD386" s="323" t="e">
        <f t="shared" ca="1" si="171"/>
        <v>#N/A</v>
      </c>
      <c r="AE386" s="324" t="e">
        <f t="shared" ca="1" si="150"/>
        <v>#N/A</v>
      </c>
      <c r="AG386" s="306">
        <f t="shared" ca="1" si="172"/>
        <v>7.2754246034669556</v>
      </c>
      <c r="AH386" s="304">
        <f t="shared" ca="1" si="173"/>
        <v>-0.61572829574519994</v>
      </c>
    </row>
    <row r="387" spans="1:34" x14ac:dyDescent="0.2">
      <c r="A387" s="347">
        <f t="shared" ca="1" si="151"/>
        <v>0.1</v>
      </c>
      <c r="B387" s="304">
        <f t="shared" ca="1" si="152"/>
        <v>20.300000000000022</v>
      </c>
      <c r="D387" s="306">
        <f t="shared" ca="1" si="153"/>
        <v>-0.3720333137904584</v>
      </c>
      <c r="E387" s="307">
        <f t="shared" ca="1" si="154"/>
        <v>-9.2908960410034158</v>
      </c>
      <c r="F387" s="304">
        <f t="shared" ca="1" si="155"/>
        <v>9.2983416817894398</v>
      </c>
      <c r="G387" s="306">
        <f t="shared" ca="1" si="156"/>
        <v>23.70823361226152</v>
      </c>
      <c r="H387" s="307">
        <f t="shared" ca="1" si="157"/>
        <v>-34.061472830647013</v>
      </c>
      <c r="I387" s="304">
        <f t="shared" ca="1" si="158"/>
        <v>41.500171956348225</v>
      </c>
      <c r="J387" s="306">
        <f t="shared" ca="1" si="159"/>
        <v>585.45656539570211</v>
      </c>
      <c r="K387" s="307">
        <f t="shared" ca="1" si="160"/>
        <v>1507.0440697425456</v>
      </c>
      <c r="L387" s="304">
        <f t="shared" ca="1" si="145"/>
        <v>1616.7687583915972</v>
      </c>
      <c r="M387" s="306">
        <f t="shared" ca="1" si="161"/>
        <v>-0.96273132578870646</v>
      </c>
      <c r="N387" s="304">
        <f t="shared" ca="1" si="162"/>
        <v>-55.160441772727154</v>
      </c>
      <c r="P387" s="310">
        <f t="shared" ca="1" si="163"/>
        <v>23</v>
      </c>
      <c r="Q387" s="304">
        <f t="shared" ca="1" si="164"/>
        <v>0</v>
      </c>
      <c r="R387" s="306">
        <f t="shared" ca="1" si="165"/>
        <v>0</v>
      </c>
      <c r="S387" s="307">
        <f t="shared" ca="1" si="166"/>
        <v>7.150000000000003</v>
      </c>
      <c r="T387" s="304">
        <f t="shared" ca="1" si="146"/>
        <v>70.141500000000036</v>
      </c>
      <c r="U387" s="311">
        <f t="shared" ca="1" si="147"/>
        <v>0</v>
      </c>
      <c r="V387" s="306">
        <f t="shared" ca="1" si="148"/>
        <v>1.0533233177513348</v>
      </c>
      <c r="W387" s="304">
        <f t="shared" ca="1" si="149"/>
        <v>4.7346831909129534</v>
      </c>
      <c r="Y387" s="314" t="str">
        <f t="shared" ca="1" si="167"/>
        <v/>
      </c>
      <c r="Z387" s="315" t="str">
        <f t="shared" ca="1" si="168"/>
        <v/>
      </c>
      <c r="AA387" s="316" t="str">
        <f t="shared" ca="1" si="169"/>
        <v/>
      </c>
      <c r="AC387" s="310" t="e">
        <f t="shared" ca="1" si="170"/>
        <v>#N/A</v>
      </c>
      <c r="AD387" s="323" t="e">
        <f t="shared" ca="1" si="171"/>
        <v>#N/A</v>
      </c>
      <c r="AE387" s="324" t="e">
        <f t="shared" ca="1" si="150"/>
        <v>#N/A</v>
      </c>
      <c r="AG387" s="306">
        <f t="shared" ca="1" si="172"/>
        <v>7.3350189069662886</v>
      </c>
      <c r="AH387" s="304">
        <f t="shared" ca="1" si="173"/>
        <v>-0.63865304102919351</v>
      </c>
    </row>
    <row r="388" spans="1:34" x14ac:dyDescent="0.2">
      <c r="A388" s="347">
        <f t="shared" ca="1" si="151"/>
        <v>0.1</v>
      </c>
      <c r="B388" s="304">
        <f t="shared" ca="1" si="152"/>
        <v>20.400000000000023</v>
      </c>
      <c r="D388" s="306">
        <f t="shared" ca="1" si="153"/>
        <v>-0.37829812134890262</v>
      </c>
      <c r="E388" s="307">
        <f t="shared" ca="1" si="154"/>
        <v>-9.2665014250768003</v>
      </c>
      <c r="F388" s="304">
        <f t="shared" ca="1" si="155"/>
        <v>9.2742200820104799</v>
      </c>
      <c r="G388" s="306">
        <f t="shared" ca="1" si="156"/>
        <v>23.670403800126628</v>
      </c>
      <c r="H388" s="307">
        <f t="shared" ca="1" si="157"/>
        <v>-34.988122973154695</v>
      </c>
      <c r="I388" s="304">
        <f t="shared" ca="1" si="158"/>
        <v>42.242830933137569</v>
      </c>
      <c r="J388" s="306">
        <f t="shared" ca="1" si="159"/>
        <v>587.82549726632158</v>
      </c>
      <c r="K388" s="307">
        <f t="shared" ca="1" si="160"/>
        <v>1503.5915899523554</v>
      </c>
      <c r="L388" s="304">
        <f t="shared" ref="L388:L451" ca="1" si="174">SQRT(pos_x^2+pos_z^2)</f>
        <v>1614.4121173392655</v>
      </c>
      <c r="M388" s="306">
        <f t="shared" ca="1" si="161"/>
        <v>-0.97599848786695476</v>
      </c>
      <c r="N388" s="304">
        <f t="shared" ca="1" si="162"/>
        <v>-55.920594165926794</v>
      </c>
      <c r="P388" s="310">
        <f t="shared" ca="1" si="163"/>
        <v>23</v>
      </c>
      <c r="Q388" s="304">
        <f t="shared" ca="1" si="164"/>
        <v>0</v>
      </c>
      <c r="R388" s="306">
        <f t="shared" ca="1" si="165"/>
        <v>0</v>
      </c>
      <c r="S388" s="307">
        <f t="shared" ca="1" si="166"/>
        <v>7.150000000000003</v>
      </c>
      <c r="T388" s="304">
        <f t="shared" ref="T388:T451" ca="1" si="175">m*g</f>
        <v>70.141500000000036</v>
      </c>
      <c r="U388" s="311">
        <f t="shared" ref="U388:U451" ca="1" si="176">IF(pos_xz&lt;L_rampe,Poids*COS(Beta),0)</f>
        <v>0</v>
      </c>
      <c r="V388" s="306">
        <f t="shared" ref="V388:V451" ca="1" si="177">Rho_moyen*(20000-Alt_rampe-pos_z)/(20000+Alt_rampe+pos_z)</f>
        <v>1.053689110841161</v>
      </c>
      <c r="W388" s="304">
        <f t="shared" ref="W388:W451" ca="1" si="178">1/2*Rho*Sref*Cx*vit_xz^2</f>
        <v>4.9073604200231875</v>
      </c>
      <c r="Y388" s="314" t="str">
        <f t="shared" ca="1" si="167"/>
        <v/>
      </c>
      <c r="Z388" s="315" t="str">
        <f t="shared" ca="1" si="168"/>
        <v/>
      </c>
      <c r="AA388" s="316" t="str">
        <f t="shared" ca="1" si="169"/>
        <v/>
      </c>
      <c r="AC388" s="310" t="e">
        <f t="shared" ca="1" si="170"/>
        <v>#N/A</v>
      </c>
      <c r="AD388" s="323" t="e">
        <f t="shared" ca="1" si="171"/>
        <v>#N/A</v>
      </c>
      <c r="AE388" s="324" t="e">
        <f t="shared" ref="AE388:AE451" ca="1" si="179">IF(t&lt;T_para, pos_z, NA())</f>
        <v>#N/A</v>
      </c>
      <c r="AG388" s="306">
        <f t="shared" ca="1" si="172"/>
        <v>7.3894129068175145</v>
      </c>
      <c r="AH388" s="304">
        <f t="shared" ca="1" si="173"/>
        <v>-0.66219345327453871</v>
      </c>
    </row>
    <row r="389" spans="1:34" x14ac:dyDescent="0.2">
      <c r="A389" s="347">
        <f t="shared" ref="A389:A452" ca="1" si="180">IF(B388+0.01&lt;=T_ini+ROUNDUP(Temps_fin_propu,0), 0.01, IF(K388&gt;0, 0.1, 0.0001))</f>
        <v>0.1</v>
      </c>
      <c r="B389" s="304">
        <f t="shared" ref="B389:B452" ca="1" si="181">B388+pas</f>
        <v>20.500000000000025</v>
      </c>
      <c r="D389" s="306">
        <f t="shared" ref="D389:D452" ca="1" si="182">IF(AND(L388&lt;L_rampe,Poussee&lt;Poids*SIN(M388)),0,(-W388+Poussee)/m*COS(M388)-U388/m*SIN(M388))</f>
        <v>-0.38458696970932166</v>
      </c>
      <c r="E389" s="307">
        <f t="shared" ref="E389:E452" ca="1" si="183">IF(AND(L388&lt;L_rampe,Poussee&lt;Poids*SIN(M388)),0,(-W388+Poussee)/m*SIN(M388)+U388/m*COS(M388)-Poids/m)</f>
        <v>-9.2415273916032366</v>
      </c>
      <c r="F389" s="304">
        <f t="shared" ref="F389:F452" ca="1" si="184">SQRT(acc_x^2+acc_z^2)</f>
        <v>9.2495262401391738</v>
      </c>
      <c r="G389" s="306">
        <f t="shared" ref="G389:G452" ca="1" si="185">G388+acc_x*pas</f>
        <v>23.631945103155697</v>
      </c>
      <c r="H389" s="307">
        <f t="shared" ref="H389:H452" ca="1" si="186">H388+acc_z*pas</f>
        <v>-35.912275712315022</v>
      </c>
      <c r="I389" s="304">
        <f t="shared" ref="I389:I452" ca="1" si="187">SQRT(vit_x^2+vit_z^2)</f>
        <v>42.990235823915832</v>
      </c>
      <c r="J389" s="306">
        <f t="shared" ref="J389:J452" ca="1" si="188">J388+0.5*(vit_x+G388)*pas*(K388&gt;=0)</f>
        <v>590.19061471148564</v>
      </c>
      <c r="K389" s="307">
        <f t="shared" ref="K389:K452" ca="1" si="189">K388+0.5*(vit_z+H388)*pas</f>
        <v>1500.0465700180819</v>
      </c>
      <c r="L389" s="304">
        <f t="shared" ca="1" si="174"/>
        <v>1611.9753949476192</v>
      </c>
      <c r="M389" s="306">
        <f t="shared" ref="M389:M452" ca="1" si="190">IF(AND(L388&gt;L_rampe,G389&gt;0),ATAN2(G389,H389),$M$4)</f>
        <v>-0.98878534069000601</v>
      </c>
      <c r="N389" s="304">
        <f t="shared" ref="N389:N452" ca="1" si="191">DEGREES(Beta)</f>
        <v>-56.653226865942571</v>
      </c>
      <c r="P389" s="310">
        <f t="shared" ref="P389:P452" ca="1" si="192">MATCH(t-pas/2-T_ini,CdP_t)</f>
        <v>23</v>
      </c>
      <c r="Q389" s="304">
        <f t="shared" ref="Q389:Q452" ca="1" si="193">(INDEX(CdP,2,i_P+1)-INDEX(CdP,2,i_P+0))/(INDEX(CdP,1,i_P+1)-INDEX(CdP,1,i_P+0))*(t-pas/2-T_ini-INDEX(CdP,1,i_P+0))+INDEX(CdP,2,i_P+0)</f>
        <v>0</v>
      </c>
      <c r="R389" s="306">
        <f t="shared" ref="R389:R452" ca="1" si="194">Poussee/(g*ISP)</f>
        <v>0</v>
      </c>
      <c r="S389" s="307">
        <f t="shared" ref="S389:S452" ca="1" si="195">S388-Débit*pas</f>
        <v>7.150000000000003</v>
      </c>
      <c r="T389" s="304">
        <f t="shared" ca="1" si="175"/>
        <v>70.141500000000036</v>
      </c>
      <c r="U389" s="311">
        <f t="shared" ca="1" si="176"/>
        <v>0</v>
      </c>
      <c r="V389" s="306">
        <f t="shared" ca="1" si="177"/>
        <v>1.0540648308795171</v>
      </c>
      <c r="W389" s="304">
        <f t="shared" ca="1" si="178"/>
        <v>5.0843613881213381</v>
      </c>
      <c r="Y389" s="314" t="str">
        <f t="shared" ref="Y389:Y452" ca="1" si="196">IF(AND(pos_z&lt;=0,K388&gt;0),"Impact balistique","") &amp; IF(AND(H390&lt;0,vit_z&gt;=0),"Apogée","") &amp; IF(AND(Poussee=0,Q388&gt;0),"Fin de propulsion","") &amp; IF(AND(L390&gt;L_rampe,pos_xz&lt;=L_rampe),"Sortie de rampe","")</f>
        <v/>
      </c>
      <c r="Z389" s="315" t="str">
        <f t="shared" ref="Z389:Z452" ca="1" si="197">IF(ABS(t-T_para)&lt;pas/2,"Para","")</f>
        <v/>
      </c>
      <c r="AA389" s="316" t="str">
        <f t="shared" ref="AA389:AA452" ca="1" si="198">IF(ABS(t-T_satellite)&lt;pas/2,"Satellite","")</f>
        <v/>
      </c>
      <c r="AC389" s="310" t="e">
        <f t="shared" ref="AC389:AC452" ca="1" si="199">IF(ABS(t-ROUND(t,0))&lt;0.001,t,NA())</f>
        <v>#N/A</v>
      </c>
      <c r="AD389" s="323" t="e">
        <f t="shared" ref="AD389:AD452" ca="1" si="200">IF(ABS(t-ROUND(t,0))&lt;0.001,pos_x,NA())</f>
        <v>#N/A</v>
      </c>
      <c r="AE389" s="324" t="e">
        <f t="shared" ca="1" si="179"/>
        <v>#N/A</v>
      </c>
      <c r="AG389" s="306">
        <f t="shared" ref="AG389:AG452" ca="1" si="201">IF(AND(L388&lt;L_rampe,Poussee&lt;Poids*SIN(M388)),0,(-W388+Poussee)/m-Poids*SIN(M388)/m)</f>
        <v>7.4389040939346138</v>
      </c>
      <c r="AH389" s="304">
        <f t="shared" ref="AH389:AH452" ca="1" si="202">IF(AND(L388&lt;L_rampe,Poussee&lt;Poids*SIN(M388)), g*SIN(M388), (-W388+Poussee)/m)</f>
        <v>-0.68634411468855738</v>
      </c>
    </row>
    <row r="390" spans="1:34" x14ac:dyDescent="0.2">
      <c r="A390" s="347">
        <f t="shared" ca="1" si="180"/>
        <v>0.1</v>
      </c>
      <c r="B390" s="304">
        <f t="shared" ca="1" si="181"/>
        <v>20.600000000000026</v>
      </c>
      <c r="D390" s="306">
        <f t="shared" ca="1" si="182"/>
        <v>-0.39089490678352445</v>
      </c>
      <c r="E390" s="307">
        <f t="shared" ca="1" si="183"/>
        <v>-9.2159767147531575</v>
      </c>
      <c r="F390" s="304">
        <f t="shared" ca="1" si="184"/>
        <v>9.2242628775974129</v>
      </c>
      <c r="G390" s="306">
        <f t="shared" ca="1" si="185"/>
        <v>23.592855612477344</v>
      </c>
      <c r="H390" s="307">
        <f t="shared" ca="1" si="186"/>
        <v>-36.83387338379034</v>
      </c>
      <c r="I390" s="304">
        <f t="shared" ca="1" si="187"/>
        <v>43.741937135937427</v>
      </c>
      <c r="J390" s="306">
        <f t="shared" ca="1" si="188"/>
        <v>592.55185474726727</v>
      </c>
      <c r="K390" s="307">
        <f t="shared" ca="1" si="189"/>
        <v>1496.4092625632766</v>
      </c>
      <c r="L390" s="304">
        <f t="shared" ca="1" si="174"/>
        <v>1609.4590338525538</v>
      </c>
      <c r="M390" s="306">
        <f t="shared" ca="1" si="190"/>
        <v>-1.0011138804067865</v>
      </c>
      <c r="N390" s="304">
        <f t="shared" ca="1" si="191"/>
        <v>-57.359600159273505</v>
      </c>
      <c r="P390" s="310">
        <f t="shared" ca="1" si="192"/>
        <v>23</v>
      </c>
      <c r="Q390" s="304">
        <f t="shared" ca="1" si="193"/>
        <v>0</v>
      </c>
      <c r="R390" s="306">
        <f t="shared" ca="1" si="194"/>
        <v>0</v>
      </c>
      <c r="S390" s="307">
        <f t="shared" ca="1" si="195"/>
        <v>7.150000000000003</v>
      </c>
      <c r="T390" s="304">
        <f t="shared" ca="1" si="175"/>
        <v>70.141500000000036</v>
      </c>
      <c r="U390" s="311">
        <f t="shared" ca="1" si="176"/>
        <v>0</v>
      </c>
      <c r="V390" s="306">
        <f t="shared" ca="1" si="177"/>
        <v>1.0544504608420886</v>
      </c>
      <c r="W390" s="304">
        <f t="shared" ca="1" si="178"/>
        <v>5.2656457577982367</v>
      </c>
      <c r="Y390" s="314" t="str">
        <f t="shared" ca="1" si="196"/>
        <v/>
      </c>
      <c r="Z390" s="315" t="str">
        <f t="shared" ca="1" si="197"/>
        <v/>
      </c>
      <c r="AA390" s="316" t="str">
        <f t="shared" ca="1" si="198"/>
        <v/>
      </c>
      <c r="AC390" s="310" t="e">
        <f t="shared" ca="1" si="199"/>
        <v>#N/A</v>
      </c>
      <c r="AD390" s="323" t="e">
        <f t="shared" ca="1" si="200"/>
        <v>#N/A</v>
      </c>
      <c r="AE390" s="324" t="e">
        <f t="shared" ca="1" si="179"/>
        <v>#N/A</v>
      </c>
      <c r="AG390" s="306">
        <f t="shared" ca="1" si="201"/>
        <v>7.4837712237274712</v>
      </c>
      <c r="AH390" s="304">
        <f t="shared" ca="1" si="202"/>
        <v>-0.71109949484214485</v>
      </c>
    </row>
    <row r="391" spans="1:34" x14ac:dyDescent="0.2">
      <c r="A391" s="347">
        <f t="shared" ca="1" si="180"/>
        <v>0.1</v>
      </c>
      <c r="B391" s="304">
        <f t="shared" ca="1" si="181"/>
        <v>20.700000000000028</v>
      </c>
      <c r="D391" s="306">
        <f t="shared" ca="1" si="182"/>
        <v>-0.39721724495354421</v>
      </c>
      <c r="E391" s="307">
        <f t="shared" ca="1" si="183"/>
        <v>-9.1898525304949068</v>
      </c>
      <c r="F391" s="304">
        <f t="shared" ca="1" si="184"/>
        <v>9.1984330769937195</v>
      </c>
      <c r="G391" s="306">
        <f t="shared" ca="1" si="185"/>
        <v>23.553133887981989</v>
      </c>
      <c r="H391" s="307">
        <f t="shared" ca="1" si="186"/>
        <v>-37.752858636839832</v>
      </c>
      <c r="I391" s="304">
        <f t="shared" ca="1" si="187"/>
        <v>44.4975106179932</v>
      </c>
      <c r="J391" s="306">
        <f t="shared" ca="1" si="188"/>
        <v>594.90915422229023</v>
      </c>
      <c r="K391" s="307">
        <f t="shared" ca="1" si="189"/>
        <v>1492.6799259622451</v>
      </c>
      <c r="L391" s="304">
        <f t="shared" ca="1" si="174"/>
        <v>1606.8634861580913</v>
      </c>
      <c r="M391" s="306">
        <f t="shared" ca="1" si="190"/>
        <v>-1.0130050897463994</v>
      </c>
      <c r="N391" s="304">
        <f t="shared" ca="1" si="191"/>
        <v>-58.040916267739867</v>
      </c>
      <c r="P391" s="310">
        <f t="shared" ca="1" si="192"/>
        <v>23</v>
      </c>
      <c r="Q391" s="304">
        <f t="shared" ca="1" si="193"/>
        <v>0</v>
      </c>
      <c r="R391" s="306">
        <f t="shared" ca="1" si="194"/>
        <v>0</v>
      </c>
      <c r="S391" s="307">
        <f t="shared" ca="1" si="195"/>
        <v>7.150000000000003</v>
      </c>
      <c r="T391" s="304">
        <f t="shared" ca="1" si="175"/>
        <v>70.141500000000036</v>
      </c>
      <c r="U391" s="311">
        <f t="shared" ca="1" si="176"/>
        <v>0</v>
      </c>
      <c r="V391" s="306">
        <f t="shared" ca="1" si="177"/>
        <v>1.0548459833205852</v>
      </c>
      <c r="W391" s="304">
        <f t="shared" ca="1" si="178"/>
        <v>5.4511724081708186</v>
      </c>
      <c r="Y391" s="314" t="str">
        <f t="shared" ca="1" si="196"/>
        <v/>
      </c>
      <c r="Z391" s="315" t="str">
        <f t="shared" ca="1" si="197"/>
        <v/>
      </c>
      <c r="AA391" s="316" t="str">
        <f t="shared" ca="1" si="198"/>
        <v/>
      </c>
      <c r="AC391" s="310" t="e">
        <f t="shared" ca="1" si="199"/>
        <v>#N/A</v>
      </c>
      <c r="AD391" s="323" t="e">
        <f t="shared" ca="1" si="200"/>
        <v>#N/A</v>
      </c>
      <c r="AE391" s="324" t="e">
        <f t="shared" ca="1" si="179"/>
        <v>#N/A</v>
      </c>
      <c r="AG391" s="306">
        <f t="shared" ca="1" si="201"/>
        <v>7.5242752600130389</v>
      </c>
      <c r="AH391" s="304">
        <f t="shared" ca="1" si="202"/>
        <v>-0.73645395213961318</v>
      </c>
    </row>
    <row r="392" spans="1:34" x14ac:dyDescent="0.2">
      <c r="A392" s="347">
        <f t="shared" ca="1" si="180"/>
        <v>0.1</v>
      </c>
      <c r="B392" s="304">
        <f t="shared" ca="1" si="181"/>
        <v>20.800000000000029</v>
      </c>
      <c r="D392" s="306">
        <f t="shared" ca="1" si="182"/>
        <v>-0.4035495447074563</v>
      </c>
      <c r="E392" s="307">
        <f t="shared" ca="1" si="183"/>
        <v>-9.1631583106197425</v>
      </c>
      <c r="F392" s="304">
        <f t="shared" ca="1" si="184"/>
        <v>9.1720402561542027</v>
      </c>
      <c r="G392" s="306">
        <f t="shared" ca="1" si="185"/>
        <v>23.512778933511242</v>
      </c>
      <c r="H392" s="307">
        <f t="shared" ca="1" si="186"/>
        <v>-38.669174467901804</v>
      </c>
      <c r="I392" s="304">
        <f t="shared" ca="1" si="187"/>
        <v>45.256555626839287</v>
      </c>
      <c r="J392" s="306">
        <f t="shared" ca="1" si="188"/>
        <v>597.26244986336485</v>
      </c>
      <c r="K392" s="307">
        <f t="shared" ca="1" si="189"/>
        <v>1488.858824307008</v>
      </c>
      <c r="L392" s="304">
        <f t="shared" ca="1" si="174"/>
        <v>1604.1892135074449</v>
      </c>
      <c r="M392" s="306">
        <f t="shared" ca="1" si="190"/>
        <v>-1.0244789623707165</v>
      </c>
      <c r="N392" s="304">
        <f t="shared" ca="1" si="191"/>
        <v>-58.698320743783931</v>
      </c>
      <c r="P392" s="310">
        <f t="shared" ca="1" si="192"/>
        <v>23</v>
      </c>
      <c r="Q392" s="304">
        <f t="shared" ca="1" si="193"/>
        <v>0</v>
      </c>
      <c r="R392" s="306">
        <f t="shared" ca="1" si="194"/>
        <v>0</v>
      </c>
      <c r="S392" s="307">
        <f t="shared" ca="1" si="195"/>
        <v>7.150000000000003</v>
      </c>
      <c r="T392" s="304">
        <f t="shared" ca="1" si="175"/>
        <v>70.141500000000036</v>
      </c>
      <c r="U392" s="311">
        <f t="shared" ca="1" si="176"/>
        <v>0</v>
      </c>
      <c r="V392" s="306">
        <f t="shared" ca="1" si="177"/>
        <v>1.0552513805234698</v>
      </c>
      <c r="W392" s="304">
        <f t="shared" ca="1" si="178"/>
        <v>5.6408994470424281</v>
      </c>
      <c r="Y392" s="314" t="str">
        <f t="shared" ca="1" si="196"/>
        <v/>
      </c>
      <c r="Z392" s="315" t="str">
        <f t="shared" ca="1" si="197"/>
        <v/>
      </c>
      <c r="AA392" s="316" t="str">
        <f t="shared" ca="1" si="198"/>
        <v/>
      </c>
      <c r="AC392" s="310" t="e">
        <f t="shared" ca="1" si="199"/>
        <v>#N/A</v>
      </c>
      <c r="AD392" s="323" t="e">
        <f t="shared" ca="1" si="200"/>
        <v>#N/A</v>
      </c>
      <c r="AE392" s="324" t="e">
        <f t="shared" ca="1" si="179"/>
        <v>#N/A</v>
      </c>
      <c r="AG392" s="306">
        <f t="shared" ca="1" si="201"/>
        <v>7.5606603434314792</v>
      </c>
      <c r="AH392" s="304">
        <f t="shared" ca="1" si="202"/>
        <v>-0.76240173540850575</v>
      </c>
    </row>
    <row r="393" spans="1:34" x14ac:dyDescent="0.2">
      <c r="A393" s="347">
        <f t="shared" ca="1" si="180"/>
        <v>0.1</v>
      </c>
      <c r="B393" s="304">
        <f t="shared" ca="1" si="181"/>
        <v>20.900000000000031</v>
      </c>
      <c r="D393" s="306">
        <f t="shared" ca="1" si="182"/>
        <v>-0.40988759922088336</v>
      </c>
      <c r="E393" s="307">
        <f t="shared" ca="1" si="183"/>
        <v>-9.1358978391570833</v>
      </c>
      <c r="F393" s="304">
        <f t="shared" ca="1" si="184"/>
        <v>9.1450881445456904</v>
      </c>
      <c r="G393" s="306">
        <f t="shared" ca="1" si="185"/>
        <v>23.471790173589156</v>
      </c>
      <c r="H393" s="307">
        <f t="shared" ca="1" si="186"/>
        <v>-39.582764251817515</v>
      </c>
      <c r="I393" s="304">
        <f t="shared" ca="1" si="187"/>
        <v>46.018693590409093</v>
      </c>
      <c r="J393" s="306">
        <f t="shared" ca="1" si="188"/>
        <v>599.6116783187199</v>
      </c>
      <c r="K393" s="307">
        <f t="shared" ca="1" si="189"/>
        <v>1484.9462273710221</v>
      </c>
      <c r="L393" s="304">
        <f t="shared" ca="1" si="174"/>
        <v>1601.4366871530149</v>
      </c>
      <c r="M393" s="306">
        <f t="shared" ca="1" si="190"/>
        <v>-1.0355545318004968</v>
      </c>
      <c r="N393" s="304">
        <f t="shared" ca="1" si="191"/>
        <v>-59.332904127814466</v>
      </c>
      <c r="P393" s="310">
        <f t="shared" ca="1" si="192"/>
        <v>23</v>
      </c>
      <c r="Q393" s="304">
        <f t="shared" ca="1" si="193"/>
        <v>0</v>
      </c>
      <c r="R393" s="306">
        <f t="shared" ca="1" si="194"/>
        <v>0</v>
      </c>
      <c r="S393" s="307">
        <f t="shared" ca="1" si="195"/>
        <v>7.150000000000003</v>
      </c>
      <c r="T393" s="304">
        <f t="shared" ca="1" si="175"/>
        <v>70.141500000000036</v>
      </c>
      <c r="U393" s="311">
        <f t="shared" ca="1" si="176"/>
        <v>0</v>
      </c>
      <c r="V393" s="306">
        <f t="shared" ca="1" si="177"/>
        <v>1.055666634276972</v>
      </c>
      <c r="W393" s="304">
        <f t="shared" ca="1" si="178"/>
        <v>5.834784223796988</v>
      </c>
      <c r="Y393" s="314" t="str">
        <f t="shared" ca="1" si="196"/>
        <v/>
      </c>
      <c r="Z393" s="315" t="str">
        <f t="shared" ca="1" si="197"/>
        <v/>
      </c>
      <c r="AA393" s="316" t="str">
        <f t="shared" ca="1" si="198"/>
        <v/>
      </c>
      <c r="AC393" s="310" t="e">
        <f t="shared" ca="1" si="199"/>
        <v>#N/A</v>
      </c>
      <c r="AD393" s="323" t="e">
        <f t="shared" ca="1" si="200"/>
        <v>#N/A</v>
      </c>
      <c r="AE393" s="324" t="e">
        <f t="shared" ca="1" si="179"/>
        <v>#N/A</v>
      </c>
      <c r="AG393" s="306">
        <f t="shared" ca="1" si="201"/>
        <v>7.5931547638908086</v>
      </c>
      <c r="AH393" s="304">
        <f t="shared" ca="1" si="202"/>
        <v>-0.7889369856003392</v>
      </c>
    </row>
    <row r="394" spans="1:34" x14ac:dyDescent="0.2">
      <c r="A394" s="347">
        <f t="shared" ca="1" si="180"/>
        <v>0.1</v>
      </c>
      <c r="B394" s="304">
        <f t="shared" ca="1" si="181"/>
        <v>21.000000000000032</v>
      </c>
      <c r="D394" s="306">
        <f t="shared" ca="1" si="182"/>
        <v>-0.41622741987554318</v>
      </c>
      <c r="E394" s="307">
        <f t="shared" ca="1" si="183"/>
        <v>-9.1080751909322064</v>
      </c>
      <c r="F394" s="304">
        <f t="shared" ca="1" si="184"/>
        <v>9.1175807618430778</v>
      </c>
      <c r="G394" s="306">
        <f t="shared" ca="1" si="185"/>
        <v>23.430167431601603</v>
      </c>
      <c r="H394" s="307">
        <f t="shared" ca="1" si="186"/>
        <v>-40.493571770910734</v>
      </c>
      <c r="I394" s="304">
        <f t="shared" ca="1" si="187"/>
        <v>46.783566566036662</v>
      </c>
      <c r="J394" s="306">
        <f t="shared" ca="1" si="188"/>
        <v>601.95677619897947</v>
      </c>
      <c r="K394" s="307">
        <f t="shared" ca="1" si="189"/>
        <v>1480.9424105698856</v>
      </c>
      <c r="L394" s="304">
        <f t="shared" ca="1" si="174"/>
        <v>1598.606388025649</v>
      </c>
      <c r="M394" s="306">
        <f t="shared" ca="1" si="190"/>
        <v>-1.0462499036544319</v>
      </c>
      <c r="N394" s="304">
        <f t="shared" ca="1" si="191"/>
        <v>-59.945703795367955</v>
      </c>
      <c r="P394" s="310">
        <f t="shared" ca="1" si="192"/>
        <v>23</v>
      </c>
      <c r="Q394" s="304">
        <f t="shared" ca="1" si="193"/>
        <v>0</v>
      </c>
      <c r="R394" s="306">
        <f t="shared" ca="1" si="194"/>
        <v>0</v>
      </c>
      <c r="S394" s="307">
        <f t="shared" ca="1" si="195"/>
        <v>7.150000000000003</v>
      </c>
      <c r="T394" s="304">
        <f t="shared" ca="1" si="175"/>
        <v>70.141500000000036</v>
      </c>
      <c r="U394" s="311">
        <f t="shared" ca="1" si="176"/>
        <v>0</v>
      </c>
      <c r="V394" s="306">
        <f t="shared" ca="1" si="177"/>
        <v>1.0560917260263742</v>
      </c>
      <c r="W394" s="304">
        <f t="shared" ca="1" si="178"/>
        <v>6.0327833429725031</v>
      </c>
      <c r="Y394" s="314" t="str">
        <f t="shared" ca="1" si="196"/>
        <v/>
      </c>
      <c r="Z394" s="315" t="str">
        <f t="shared" ca="1" si="197"/>
        <v/>
      </c>
      <c r="AA394" s="316" t="str">
        <f t="shared" ca="1" si="198"/>
        <v/>
      </c>
      <c r="AC394" s="310">
        <f t="shared" ca="1" si="199"/>
        <v>21.000000000000032</v>
      </c>
      <c r="AD394" s="323">
        <f t="shared" ca="1" si="200"/>
        <v>601.95677619897947</v>
      </c>
      <c r="AE394" s="324" t="e">
        <f t="shared" ca="1" si="179"/>
        <v>#N/A</v>
      </c>
      <c r="AG394" s="306">
        <f t="shared" ca="1" si="201"/>
        <v>7.6219719214233805</v>
      </c>
      <c r="AH394" s="304">
        <f t="shared" ca="1" si="202"/>
        <v>-0.81605373759398403</v>
      </c>
    </row>
    <row r="395" spans="1:34" x14ac:dyDescent="0.2">
      <c r="A395" s="347">
        <f t="shared" ca="1" si="180"/>
        <v>0.1</v>
      </c>
      <c r="B395" s="304">
        <f t="shared" ca="1" si="181"/>
        <v>21.100000000000033</v>
      </c>
      <c r="D395" s="306">
        <f t="shared" ca="1" si="182"/>
        <v>-0.42256522269395647</v>
      </c>
      <c r="E395" s="307">
        <f t="shared" ca="1" si="183"/>
        <v>-9.0796947120416327</v>
      </c>
      <c r="F395" s="304">
        <f t="shared" ca="1" si="184"/>
        <v>9.0895223984160562</v>
      </c>
      <c r="G395" s="306">
        <f t="shared" ca="1" si="185"/>
        <v>23.387910909332209</v>
      </c>
      <c r="H395" s="307">
        <f t="shared" ca="1" si="186"/>
        <v>-41.401541242114895</v>
      </c>
      <c r="I395" s="304">
        <f t="shared" ca="1" si="187"/>
        <v>47.550835890922052</v>
      </c>
      <c r="J395" s="306">
        <f t="shared" ca="1" si="188"/>
        <v>604.29768011602619</v>
      </c>
      <c r="K395" s="307">
        <f t="shared" ca="1" si="189"/>
        <v>1476.8476549192344</v>
      </c>
      <c r="L395" s="304">
        <f t="shared" ca="1" si="174"/>
        <v>1595.6988068034809</v>
      </c>
      <c r="M395" s="306">
        <f t="shared" ca="1" si="190"/>
        <v>-1.0565822901654141</v>
      </c>
      <c r="N395" s="304">
        <f t="shared" ca="1" si="191"/>
        <v>-60.537705934745134</v>
      </c>
      <c r="P395" s="310">
        <f t="shared" ca="1" si="192"/>
        <v>23</v>
      </c>
      <c r="Q395" s="304">
        <f t="shared" ca="1" si="193"/>
        <v>0</v>
      </c>
      <c r="R395" s="306">
        <f t="shared" ca="1" si="194"/>
        <v>0</v>
      </c>
      <c r="S395" s="307">
        <f t="shared" ca="1" si="195"/>
        <v>7.150000000000003</v>
      </c>
      <c r="T395" s="304">
        <f t="shared" ca="1" si="175"/>
        <v>70.141500000000036</v>
      </c>
      <c r="U395" s="311">
        <f t="shared" ca="1" si="176"/>
        <v>0</v>
      </c>
      <c r="V395" s="306">
        <f t="shared" ca="1" si="177"/>
        <v>1.0565266368375359</v>
      </c>
      <c r="W395" s="304">
        <f t="shared" ca="1" si="178"/>
        <v>6.2348526784636391</v>
      </c>
      <c r="Y395" s="314" t="str">
        <f t="shared" ca="1" si="196"/>
        <v/>
      </c>
      <c r="Z395" s="315" t="str">
        <f t="shared" ca="1" si="197"/>
        <v/>
      </c>
      <c r="AA395" s="316" t="str">
        <f t="shared" ca="1" si="198"/>
        <v/>
      </c>
      <c r="AC395" s="310" t="e">
        <f t="shared" ca="1" si="199"/>
        <v>#N/A</v>
      </c>
      <c r="AD395" s="323" t="e">
        <f t="shared" ca="1" si="200"/>
        <v>#N/A</v>
      </c>
      <c r="AE395" s="324" t="e">
        <f t="shared" ca="1" si="179"/>
        <v>#N/A</v>
      </c>
      <c r="AG395" s="306">
        <f t="shared" ca="1" si="201"/>
        <v>7.6473112638071772</v>
      </c>
      <c r="AH395" s="304">
        <f t="shared" ca="1" si="202"/>
        <v>-0.84374592209405597</v>
      </c>
    </row>
    <row r="396" spans="1:34" x14ac:dyDescent="0.2">
      <c r="A396" s="347">
        <f t="shared" ca="1" si="180"/>
        <v>0.1</v>
      </c>
      <c r="B396" s="304">
        <f t="shared" ca="1" si="181"/>
        <v>21.200000000000035</v>
      </c>
      <c r="D396" s="306">
        <f t="shared" ca="1" si="182"/>
        <v>-0.42889741566053152</v>
      </c>
      <c r="E396" s="307">
        <f t="shared" ca="1" si="183"/>
        <v>-9.0507610020431279</v>
      </c>
      <c r="F396" s="304">
        <f t="shared" ca="1" si="184"/>
        <v>9.0609175975319971</v>
      </c>
      <c r="G396" s="306">
        <f t="shared" ca="1" si="185"/>
        <v>23.345021167766156</v>
      </c>
      <c r="H396" s="307">
        <f t="shared" ca="1" si="186"/>
        <v>-42.306617342319207</v>
      </c>
      <c r="I396" s="304">
        <f t="shared" ca="1" si="187"/>
        <v>48.320180921359075</v>
      </c>
      <c r="J396" s="306">
        <f t="shared" ca="1" si="188"/>
        <v>606.63432671988107</v>
      </c>
      <c r="K396" s="307">
        <f t="shared" ca="1" si="189"/>
        <v>1472.6622469900126</v>
      </c>
      <c r="L396" s="304">
        <f t="shared" ca="1" si="174"/>
        <v>1592.7144439806391</v>
      </c>
      <c r="M396" s="306">
        <f t="shared" ca="1" si="190"/>
        <v>-1.0665680461298557</v>
      </c>
      <c r="N396" s="304">
        <f t="shared" ca="1" si="191"/>
        <v>-61.109847606755224</v>
      </c>
      <c r="P396" s="310">
        <f t="shared" ca="1" si="192"/>
        <v>23</v>
      </c>
      <c r="Q396" s="304">
        <f t="shared" ca="1" si="193"/>
        <v>0</v>
      </c>
      <c r="R396" s="306">
        <f t="shared" ca="1" si="194"/>
        <v>0</v>
      </c>
      <c r="S396" s="307">
        <f t="shared" ca="1" si="195"/>
        <v>7.150000000000003</v>
      </c>
      <c r="T396" s="304">
        <f t="shared" ca="1" si="175"/>
        <v>70.141500000000036</v>
      </c>
      <c r="U396" s="311">
        <f t="shared" ca="1" si="176"/>
        <v>0</v>
      </c>
      <c r="V396" s="306">
        <f t="shared" ca="1" si="177"/>
        <v>1.0569713473986535</v>
      </c>
      <c r="W396" s="304">
        <f t="shared" ca="1" si="178"/>
        <v>6.4409473883069976</v>
      </c>
      <c r="Y396" s="314" t="str">
        <f t="shared" ca="1" si="196"/>
        <v/>
      </c>
      <c r="Z396" s="315" t="str">
        <f t="shared" ca="1" si="197"/>
        <v/>
      </c>
      <c r="AA396" s="316" t="str">
        <f t="shared" ca="1" si="198"/>
        <v/>
      </c>
      <c r="AC396" s="310" t="e">
        <f t="shared" ca="1" si="199"/>
        <v>#N/A</v>
      </c>
      <c r="AD396" s="323" t="e">
        <f t="shared" ca="1" si="200"/>
        <v>#N/A</v>
      </c>
      <c r="AE396" s="324" t="e">
        <f t="shared" ca="1" si="179"/>
        <v>#N/A</v>
      </c>
      <c r="AG396" s="306">
        <f t="shared" ca="1" si="201"/>
        <v>7.6693591925168318</v>
      </c>
      <c r="AH396" s="304">
        <f t="shared" ca="1" si="202"/>
        <v>-0.87200736761729181</v>
      </c>
    </row>
    <row r="397" spans="1:34" x14ac:dyDescent="0.2">
      <c r="A397" s="347">
        <f t="shared" ca="1" si="180"/>
        <v>0.1</v>
      </c>
      <c r="B397" s="304">
        <f t="shared" ca="1" si="181"/>
        <v>21.300000000000036</v>
      </c>
      <c r="D397" s="306">
        <f t="shared" ca="1" si="182"/>
        <v>-0.43522058689300175</v>
      </c>
      <c r="E397" s="307">
        <f t="shared" ca="1" si="183"/>
        <v>-9.0212788976775347</v>
      </c>
      <c r="F397" s="304">
        <f t="shared" ca="1" si="184"/>
        <v>9.0317711390921271</v>
      </c>
      <c r="G397" s="306">
        <f t="shared" ca="1" si="185"/>
        <v>23.301499109076854</v>
      </c>
      <c r="H397" s="307">
        <f t="shared" ca="1" si="186"/>
        <v>-43.208745232086962</v>
      </c>
      <c r="I397" s="304">
        <f t="shared" ca="1" si="187"/>
        <v>49.091297856765891</v>
      </c>
      <c r="J397" s="306">
        <f t="shared" ca="1" si="188"/>
        <v>608.96665273372321</v>
      </c>
      <c r="K397" s="307">
        <f t="shared" ca="1" si="189"/>
        <v>1468.3864788612923</v>
      </c>
      <c r="L397" s="304">
        <f t="shared" ca="1" si="174"/>
        <v>1589.6538099361064</v>
      </c>
      <c r="M397" s="306">
        <f t="shared" ca="1" si="190"/>
        <v>-1.0762227056080127</v>
      </c>
      <c r="N397" s="304">
        <f t="shared" ca="1" si="191"/>
        <v>-61.663018847489603</v>
      </c>
      <c r="P397" s="310">
        <f t="shared" ca="1" si="192"/>
        <v>23</v>
      </c>
      <c r="Q397" s="304">
        <f t="shared" ca="1" si="193"/>
        <v>0</v>
      </c>
      <c r="R397" s="306">
        <f t="shared" ca="1" si="194"/>
        <v>0</v>
      </c>
      <c r="S397" s="307">
        <f t="shared" ca="1" si="195"/>
        <v>7.150000000000003</v>
      </c>
      <c r="T397" s="304">
        <f t="shared" ca="1" si="175"/>
        <v>70.141500000000036</v>
      </c>
      <c r="U397" s="311">
        <f t="shared" ca="1" si="176"/>
        <v>0</v>
      </c>
      <c r="V397" s="306">
        <f t="shared" ca="1" si="177"/>
        <v>1.0574258380222257</v>
      </c>
      <c r="W397" s="304">
        <f t="shared" ca="1" si="178"/>
        <v>6.6510219300060367</v>
      </c>
      <c r="Y397" s="314" t="str">
        <f t="shared" ca="1" si="196"/>
        <v/>
      </c>
      <c r="Z397" s="315" t="str">
        <f t="shared" ca="1" si="197"/>
        <v/>
      </c>
      <c r="AA397" s="316" t="str">
        <f t="shared" ca="1" si="198"/>
        <v/>
      </c>
      <c r="AC397" s="310" t="e">
        <f t="shared" ca="1" si="199"/>
        <v>#N/A</v>
      </c>
      <c r="AD397" s="323" t="e">
        <f t="shared" ca="1" si="200"/>
        <v>#N/A</v>
      </c>
      <c r="AE397" s="324" t="e">
        <f t="shared" ca="1" si="179"/>
        <v>#N/A</v>
      </c>
      <c r="AG397" s="306">
        <f t="shared" ca="1" si="201"/>
        <v>7.6882899311435144</v>
      </c>
      <c r="AH397" s="304">
        <f t="shared" ca="1" si="202"/>
        <v>-0.90083180256041884</v>
      </c>
    </row>
    <row r="398" spans="1:34" x14ac:dyDescent="0.2">
      <c r="A398" s="347">
        <f t="shared" ca="1" si="180"/>
        <v>0.1</v>
      </c>
      <c r="B398" s="304">
        <f t="shared" ca="1" si="181"/>
        <v>21.400000000000038</v>
      </c>
      <c r="D398" s="306">
        <f t="shared" ca="1" si="182"/>
        <v>-0.4415314936240593</v>
      </c>
      <c r="E398" s="307">
        <f t="shared" ca="1" si="183"/>
        <v>-8.9912534579582832</v>
      </c>
      <c r="F398" s="304">
        <f t="shared" ca="1" si="184"/>
        <v>9.002088024736743</v>
      </c>
      <c r="G398" s="306">
        <f t="shared" ca="1" si="185"/>
        <v>23.257345959714449</v>
      </c>
      <c r="H398" s="307">
        <f t="shared" ca="1" si="186"/>
        <v>-44.107870577882792</v>
      </c>
      <c r="I398" s="304">
        <f t="shared" ca="1" si="187"/>
        <v>49.863898644260708</v>
      </c>
      <c r="J398" s="306">
        <f t="shared" ca="1" si="188"/>
        <v>611.29459498716278</v>
      </c>
      <c r="K398" s="307">
        <f t="shared" ca="1" si="189"/>
        <v>1464.0206480707939</v>
      </c>
      <c r="L398" s="304">
        <f t="shared" ca="1" si="174"/>
        <v>1586.5174250029991</v>
      </c>
      <c r="M398" s="306">
        <f t="shared" ca="1" si="190"/>
        <v>-1.0855610188296554</v>
      </c>
      <c r="N398" s="304">
        <f t="shared" ca="1" si="191"/>
        <v>-62.198064782860946</v>
      </c>
      <c r="P398" s="310">
        <f t="shared" ca="1" si="192"/>
        <v>23</v>
      </c>
      <c r="Q398" s="304">
        <f t="shared" ca="1" si="193"/>
        <v>0</v>
      </c>
      <c r="R398" s="306">
        <f t="shared" ca="1" si="194"/>
        <v>0</v>
      </c>
      <c r="S398" s="307">
        <f t="shared" ca="1" si="195"/>
        <v>7.150000000000003</v>
      </c>
      <c r="T398" s="304">
        <f t="shared" ca="1" si="175"/>
        <v>70.141500000000036</v>
      </c>
      <c r="U398" s="311">
        <f t="shared" ca="1" si="176"/>
        <v>0</v>
      </c>
      <c r="V398" s="306">
        <f t="shared" ca="1" si="177"/>
        <v>1.0578900886472156</v>
      </c>
      <c r="W398" s="304">
        <f t="shared" ca="1" si="178"/>
        <v>6.8650300763557031</v>
      </c>
      <c r="Y398" s="314" t="str">
        <f t="shared" ca="1" si="196"/>
        <v/>
      </c>
      <c r="Z398" s="315" t="str">
        <f t="shared" ca="1" si="197"/>
        <v/>
      </c>
      <c r="AA398" s="316" t="str">
        <f t="shared" ca="1" si="198"/>
        <v/>
      </c>
      <c r="AC398" s="310" t="e">
        <f t="shared" ca="1" si="199"/>
        <v>#N/A</v>
      </c>
      <c r="AD398" s="323" t="e">
        <f t="shared" ca="1" si="200"/>
        <v>#N/A</v>
      </c>
      <c r="AE398" s="324" t="e">
        <f t="shared" ca="1" si="179"/>
        <v>#N/A</v>
      </c>
      <c r="AG398" s="306">
        <f t="shared" ca="1" si="201"/>
        <v>7.7042663524652317</v>
      </c>
      <c r="AH398" s="304">
        <f t="shared" ca="1" si="202"/>
        <v>-0.93021285734350123</v>
      </c>
    </row>
    <row r="399" spans="1:34" x14ac:dyDescent="0.2">
      <c r="A399" s="347">
        <f t="shared" ca="1" si="180"/>
        <v>0.1</v>
      </c>
      <c r="B399" s="304">
        <f t="shared" ca="1" si="181"/>
        <v>21.500000000000039</v>
      </c>
      <c r="D399" s="306">
        <f t="shared" ca="1" si="182"/>
        <v>-0.44782705195059003</v>
      </c>
      <c r="E399" s="307">
        <f t="shared" ca="1" si="183"/>
        <v>-8.9606899504816102</v>
      </c>
      <c r="F399" s="304">
        <f t="shared" ca="1" si="184"/>
        <v>8.9718734641724005</v>
      </c>
      <c r="G399" s="306">
        <f t="shared" ca="1" si="185"/>
        <v>23.212563254519392</v>
      </c>
      <c r="H399" s="307">
        <f t="shared" ca="1" si="186"/>
        <v>-45.003939572930953</v>
      </c>
      <c r="I399" s="304">
        <f t="shared" ca="1" si="187"/>
        <v>50.637709959368074</v>
      </c>
      <c r="J399" s="306">
        <f t="shared" ca="1" si="188"/>
        <v>613.61809044787447</v>
      </c>
      <c r="K399" s="307">
        <f t="shared" ca="1" si="189"/>
        <v>1459.5650575632533</v>
      </c>
      <c r="L399" s="304">
        <f t="shared" ca="1" si="174"/>
        <v>1583.305819538512</v>
      </c>
      <c r="M399" s="306">
        <f t="shared" ca="1" si="190"/>
        <v>-1.0945969888736127</v>
      </c>
      <c r="N399" s="304">
        <f t="shared" ca="1" si="191"/>
        <v>-62.715787730186335</v>
      </c>
      <c r="P399" s="310">
        <f t="shared" ca="1" si="192"/>
        <v>23</v>
      </c>
      <c r="Q399" s="304">
        <f t="shared" ca="1" si="193"/>
        <v>0</v>
      </c>
      <c r="R399" s="306">
        <f t="shared" ca="1" si="194"/>
        <v>0</v>
      </c>
      <c r="S399" s="307">
        <f t="shared" ca="1" si="195"/>
        <v>7.150000000000003</v>
      </c>
      <c r="T399" s="304">
        <f t="shared" ca="1" si="175"/>
        <v>70.141500000000036</v>
      </c>
      <c r="U399" s="311">
        <f t="shared" ca="1" si="176"/>
        <v>0</v>
      </c>
      <c r="V399" s="306">
        <f t="shared" ca="1" si="177"/>
        <v>1.0583640788413995</v>
      </c>
      <c r="W399" s="304">
        <f t="shared" ca="1" si="178"/>
        <v>7.0829249317296465</v>
      </c>
      <c r="Y399" s="314" t="str">
        <f t="shared" ca="1" si="196"/>
        <v/>
      </c>
      <c r="Z399" s="315" t="str">
        <f t="shared" ca="1" si="197"/>
        <v/>
      </c>
      <c r="AA399" s="316" t="str">
        <f t="shared" ca="1" si="198"/>
        <v/>
      </c>
      <c r="AC399" s="310" t="e">
        <f t="shared" ca="1" si="199"/>
        <v>#N/A</v>
      </c>
      <c r="AD399" s="323" t="e">
        <f t="shared" ca="1" si="200"/>
        <v>#N/A</v>
      </c>
      <c r="AE399" s="324" t="e">
        <f t="shared" ca="1" si="179"/>
        <v>#N/A</v>
      </c>
      <c r="AG399" s="306">
        <f t="shared" ca="1" si="201"/>
        <v>7.7174407619516652</v>
      </c>
      <c r="AH399" s="304">
        <f t="shared" ca="1" si="202"/>
        <v>-0.96014406662317486</v>
      </c>
    </row>
    <row r="400" spans="1:34" x14ac:dyDescent="0.2">
      <c r="A400" s="347">
        <f t="shared" ca="1" si="180"/>
        <v>0.1</v>
      </c>
      <c r="B400" s="304">
        <f t="shared" ca="1" si="181"/>
        <v>21.600000000000041</v>
      </c>
      <c r="D400" s="306">
        <f t="shared" ca="1" si="182"/>
        <v>-0.45410432730674105</v>
      </c>
      <c r="E400" s="307">
        <f t="shared" ca="1" si="183"/>
        <v>-8.9295938388260456</v>
      </c>
      <c r="F400" s="304">
        <f t="shared" ca="1" si="184"/>
        <v>8.9411328625895496</v>
      </c>
      <c r="G400" s="306">
        <f t="shared" ca="1" si="185"/>
        <v>23.167152821788719</v>
      </c>
      <c r="H400" s="307">
        <f t="shared" ca="1" si="186"/>
        <v>-45.896898956813558</v>
      </c>
      <c r="I400" s="304">
        <f t="shared" ca="1" si="187"/>
        <v>51.41247225839335</v>
      </c>
      <c r="J400" s="306">
        <f t="shared" ca="1" si="188"/>
        <v>615.93707625168986</v>
      </c>
      <c r="K400" s="307">
        <f t="shared" ca="1" si="189"/>
        <v>1455.0200156367659</v>
      </c>
      <c r="L400" s="304">
        <f t="shared" ca="1" si="174"/>
        <v>1580.0195339947841</v>
      </c>
      <c r="M400" s="306">
        <f t="shared" ca="1" si="190"/>
        <v>-1.1033439077847247</v>
      </c>
      <c r="N400" s="304">
        <f t="shared" ca="1" si="191"/>
        <v>-63.216949267536222</v>
      </c>
      <c r="P400" s="310">
        <f t="shared" ca="1" si="192"/>
        <v>23</v>
      </c>
      <c r="Q400" s="304">
        <f t="shared" ca="1" si="193"/>
        <v>0</v>
      </c>
      <c r="R400" s="306">
        <f t="shared" ca="1" si="194"/>
        <v>0</v>
      </c>
      <c r="S400" s="307">
        <f t="shared" ca="1" si="195"/>
        <v>7.150000000000003</v>
      </c>
      <c r="T400" s="304">
        <f t="shared" ca="1" si="175"/>
        <v>70.141500000000036</v>
      </c>
      <c r="U400" s="311">
        <f t="shared" ca="1" si="176"/>
        <v>0</v>
      </c>
      <c r="V400" s="306">
        <f t="shared" ca="1" si="177"/>
        <v>1.0588477878038804</v>
      </c>
      <c r="W400" s="304">
        <f t="shared" ca="1" si="178"/>
        <v>7.3046589487951348</v>
      </c>
      <c r="Y400" s="314" t="str">
        <f t="shared" ca="1" si="196"/>
        <v/>
      </c>
      <c r="Z400" s="315" t="str">
        <f t="shared" ca="1" si="197"/>
        <v/>
      </c>
      <c r="AA400" s="316" t="str">
        <f t="shared" ca="1" si="198"/>
        <v/>
      </c>
      <c r="AC400" s="310" t="e">
        <f t="shared" ca="1" si="199"/>
        <v>#N/A</v>
      </c>
      <c r="AD400" s="323" t="e">
        <f t="shared" ca="1" si="200"/>
        <v>#N/A</v>
      </c>
      <c r="AE400" s="324" t="e">
        <f t="shared" ca="1" si="179"/>
        <v>#N/A</v>
      </c>
      <c r="AG400" s="306">
        <f t="shared" ca="1" si="201"/>
        <v>7.7279556367297575</v>
      </c>
      <c r="AH400" s="304">
        <f t="shared" ca="1" si="202"/>
        <v>-0.99061887157057948</v>
      </c>
    </row>
    <row r="401" spans="1:34" x14ac:dyDescent="0.2">
      <c r="A401" s="347">
        <f t="shared" ca="1" si="180"/>
        <v>0.1</v>
      </c>
      <c r="B401" s="304">
        <f t="shared" ca="1" si="181"/>
        <v>21.700000000000042</v>
      </c>
      <c r="D401" s="306">
        <f t="shared" ca="1" si="182"/>
        <v>-0.4603605256168859</v>
      </c>
      <c r="E401" s="307">
        <f t="shared" ca="1" si="183"/>
        <v>-8.8979707709239158</v>
      </c>
      <c r="F401" s="304">
        <f t="shared" ca="1" si="184"/>
        <v>8.9098718090532927</v>
      </c>
      <c r="G401" s="306">
        <f t="shared" ca="1" si="185"/>
        <v>23.121116769227029</v>
      </c>
      <c r="H401" s="307">
        <f t="shared" ca="1" si="186"/>
        <v>-46.786696033905947</v>
      </c>
      <c r="I401" s="304">
        <f t="shared" ca="1" si="187"/>
        <v>52.187938898037942</v>
      </c>
      <c r="J401" s="306">
        <f t="shared" ca="1" si="188"/>
        <v>618.25148973124067</v>
      </c>
      <c r="K401" s="307">
        <f t="shared" ca="1" si="189"/>
        <v>1450.3858358872299</v>
      </c>
      <c r="L401" s="304">
        <f t="shared" ca="1" si="174"/>
        <v>1576.6591189909113</v>
      </c>
      <c r="M401" s="306">
        <f t="shared" ca="1" si="190"/>
        <v>-1.1118143918704364</v>
      </c>
      <c r="N401" s="304">
        <f t="shared" ca="1" si="191"/>
        <v>-63.702272256080235</v>
      </c>
      <c r="P401" s="310">
        <f t="shared" ca="1" si="192"/>
        <v>23</v>
      </c>
      <c r="Q401" s="304">
        <f t="shared" ca="1" si="193"/>
        <v>0</v>
      </c>
      <c r="R401" s="306">
        <f t="shared" ca="1" si="194"/>
        <v>0</v>
      </c>
      <c r="S401" s="307">
        <f t="shared" ca="1" si="195"/>
        <v>7.150000000000003</v>
      </c>
      <c r="T401" s="304">
        <f t="shared" ca="1" si="175"/>
        <v>70.141500000000036</v>
      </c>
      <c r="U401" s="311">
        <f t="shared" ca="1" si="176"/>
        <v>0</v>
      </c>
      <c r="V401" s="306">
        <f t="shared" ca="1" si="177"/>
        <v>1.059341194367764</v>
      </c>
      <c r="W401" s="304">
        <f t="shared" ca="1" si="178"/>
        <v>7.5301839456231825</v>
      </c>
      <c r="Y401" s="314" t="str">
        <f t="shared" ca="1" si="196"/>
        <v/>
      </c>
      <c r="Z401" s="315" t="str">
        <f t="shared" ca="1" si="197"/>
        <v/>
      </c>
      <c r="AA401" s="316" t="str">
        <f t="shared" ca="1" si="198"/>
        <v/>
      </c>
      <c r="AC401" s="310" t="e">
        <f t="shared" ca="1" si="199"/>
        <v>#N/A</v>
      </c>
      <c r="AD401" s="323" t="e">
        <f t="shared" ca="1" si="200"/>
        <v>#N/A</v>
      </c>
      <c r="AE401" s="324" t="e">
        <f t="shared" ca="1" si="179"/>
        <v>#N/A</v>
      </c>
      <c r="AG401" s="306">
        <f t="shared" ca="1" si="201"/>
        <v>7.7359443199847213</v>
      </c>
      <c r="AH401" s="304">
        <f t="shared" ca="1" si="202"/>
        <v>-1.0216306222091094</v>
      </c>
    </row>
    <row r="402" spans="1:34" x14ac:dyDescent="0.2">
      <c r="A402" s="347">
        <f t="shared" ca="1" si="180"/>
        <v>0.1</v>
      </c>
      <c r="B402" s="304">
        <f t="shared" ca="1" si="181"/>
        <v>21.800000000000043</v>
      </c>
      <c r="D402" s="306">
        <f t="shared" ca="1" si="182"/>
        <v>-0.46659298508512898</v>
      </c>
      <c r="E402" s="307">
        <f t="shared" ca="1" si="183"/>
        <v>-8.8658265683002924</v>
      </c>
      <c r="F402" s="304">
        <f t="shared" ca="1" si="184"/>
        <v>8.8780960657626355</v>
      </c>
      <c r="G402" s="306">
        <f t="shared" ca="1" si="185"/>
        <v>23.074457470718517</v>
      </c>
      <c r="H402" s="307">
        <f t="shared" ca="1" si="186"/>
        <v>-47.673278690735977</v>
      </c>
      <c r="I402" s="304">
        <f t="shared" ca="1" si="187"/>
        <v>52.963875317923801</v>
      </c>
      <c r="J402" s="306">
        <f t="shared" ca="1" si="188"/>
        <v>620.56126844323796</v>
      </c>
      <c r="K402" s="307">
        <f t="shared" ca="1" si="189"/>
        <v>1445.6628371509978</v>
      </c>
      <c r="L402" s="304">
        <f t="shared" ca="1" si="174"/>
        <v>1573.2251353863353</v>
      </c>
      <c r="M402" s="306">
        <f t="shared" ca="1" si="190"/>
        <v>-1.1200204159840681</v>
      </c>
      <c r="N402" s="304">
        <f t="shared" ca="1" si="191"/>
        <v>-64.172442804373915</v>
      </c>
      <c r="P402" s="310">
        <f t="shared" ca="1" si="192"/>
        <v>23</v>
      </c>
      <c r="Q402" s="304">
        <f t="shared" ca="1" si="193"/>
        <v>0</v>
      </c>
      <c r="R402" s="306">
        <f t="shared" ca="1" si="194"/>
        <v>0</v>
      </c>
      <c r="S402" s="307">
        <f t="shared" ca="1" si="195"/>
        <v>7.150000000000003</v>
      </c>
      <c r="T402" s="304">
        <f t="shared" ca="1" si="175"/>
        <v>70.141500000000036</v>
      </c>
      <c r="U402" s="311">
        <f t="shared" ca="1" si="176"/>
        <v>0</v>
      </c>
      <c r="V402" s="306">
        <f t="shared" ca="1" si="177"/>
        <v>1.0598442770029823</v>
      </c>
      <c r="W402" s="304">
        <f t="shared" ca="1" si="178"/>
        <v>7.7594511231632479</v>
      </c>
      <c r="Y402" s="314" t="str">
        <f t="shared" ca="1" si="196"/>
        <v/>
      </c>
      <c r="Z402" s="315" t="str">
        <f t="shared" ca="1" si="197"/>
        <v/>
      </c>
      <c r="AA402" s="316" t="str">
        <f t="shared" ca="1" si="198"/>
        <v/>
      </c>
      <c r="AC402" s="310" t="e">
        <f t="shared" ca="1" si="199"/>
        <v>#N/A</v>
      </c>
      <c r="AD402" s="323" t="e">
        <f t="shared" ca="1" si="200"/>
        <v>#N/A</v>
      </c>
      <c r="AE402" s="324" t="e">
        <f t="shared" ca="1" si="179"/>
        <v>#N/A</v>
      </c>
      <c r="AG402" s="306">
        <f t="shared" ca="1" si="201"/>
        <v>7.7415316714821856</v>
      </c>
      <c r="AH402" s="304">
        <f t="shared" ca="1" si="202"/>
        <v>-1.0531725798074376</v>
      </c>
    </row>
    <row r="403" spans="1:34" x14ac:dyDescent="0.2">
      <c r="A403" s="347">
        <f t="shared" ca="1" si="180"/>
        <v>0.1</v>
      </c>
      <c r="B403" s="304">
        <f t="shared" ca="1" si="181"/>
        <v>21.900000000000045</v>
      </c>
      <c r="D403" s="306">
        <f t="shared" ca="1" si="182"/>
        <v>-0.47279916857910709</v>
      </c>
      <c r="E403" s="307">
        <f t="shared" ca="1" si="183"/>
        <v>-8.8331672160863093</v>
      </c>
      <c r="F403" s="304">
        <f t="shared" ca="1" si="184"/>
        <v>8.8458115580850496</v>
      </c>
      <c r="G403" s="306">
        <f t="shared" ca="1" si="185"/>
        <v>23.027177553860607</v>
      </c>
      <c r="H403" s="307">
        <f t="shared" ca="1" si="186"/>
        <v>-48.556595412344606</v>
      </c>
      <c r="I403" s="304">
        <f t="shared" ca="1" si="187"/>
        <v>53.740058281836163</v>
      </c>
      <c r="J403" s="306">
        <f t="shared" ca="1" si="188"/>
        <v>622.86635019446692</v>
      </c>
      <c r="K403" s="307">
        <f t="shared" ca="1" si="189"/>
        <v>1440.8513434458437</v>
      </c>
      <c r="L403" s="304">
        <f t="shared" ca="1" si="174"/>
        <v>1569.7181543558286</v>
      </c>
      <c r="M403" s="306">
        <f t="shared" ca="1" si="190"/>
        <v>-1.1279733466548549</v>
      </c>
      <c r="N403" s="304">
        <f t="shared" ca="1" si="191"/>
        <v>-64.628112166570148</v>
      </c>
      <c r="P403" s="310">
        <f t="shared" ca="1" si="192"/>
        <v>23</v>
      </c>
      <c r="Q403" s="304">
        <f t="shared" ca="1" si="193"/>
        <v>0</v>
      </c>
      <c r="R403" s="306">
        <f t="shared" ca="1" si="194"/>
        <v>0</v>
      </c>
      <c r="S403" s="307">
        <f t="shared" ca="1" si="195"/>
        <v>7.150000000000003</v>
      </c>
      <c r="T403" s="304">
        <f t="shared" ca="1" si="175"/>
        <v>70.141500000000036</v>
      </c>
      <c r="U403" s="311">
        <f t="shared" ca="1" si="176"/>
        <v>0</v>
      </c>
      <c r="V403" s="306">
        <f t="shared" ca="1" si="177"/>
        <v>1.0603570138192573</v>
      </c>
      <c r="W403" s="304">
        <f t="shared" ca="1" si="178"/>
        <v>7.9924110830536623</v>
      </c>
      <c r="Y403" s="314" t="str">
        <f t="shared" ca="1" si="196"/>
        <v/>
      </c>
      <c r="Z403" s="315" t="str">
        <f t="shared" ca="1" si="197"/>
        <v/>
      </c>
      <c r="AA403" s="316" t="str">
        <f t="shared" ca="1" si="198"/>
        <v/>
      </c>
      <c r="AC403" s="310" t="e">
        <f t="shared" ca="1" si="199"/>
        <v>#N/A</v>
      </c>
      <c r="AD403" s="323" t="e">
        <f t="shared" ca="1" si="200"/>
        <v>#N/A</v>
      </c>
      <c r="AE403" s="324" t="e">
        <f t="shared" ca="1" si="179"/>
        <v>#N/A</v>
      </c>
      <c r="AG403" s="306">
        <f t="shared" ca="1" si="201"/>
        <v>7.7448346754182555</v>
      </c>
      <c r="AH403" s="304">
        <f t="shared" ca="1" si="202"/>
        <v>-1.0852379193235306</v>
      </c>
    </row>
    <row r="404" spans="1:34" x14ac:dyDescent="0.2">
      <c r="A404" s="347">
        <f t="shared" ca="1" si="180"/>
        <v>0.1</v>
      </c>
      <c r="B404" s="304">
        <f t="shared" ca="1" si="181"/>
        <v>22.000000000000046</v>
      </c>
      <c r="D404" s="306">
        <f t="shared" ca="1" si="182"/>
        <v>-0.47897665656736527</v>
      </c>
      <c r="E404" s="307">
        <f t="shared" ca="1" si="183"/>
        <v>-8.7999988537240483</v>
      </c>
      <c r="F404" s="304">
        <f t="shared" ca="1" si="184"/>
        <v>8.8130243652835212</v>
      </c>
      <c r="G404" s="306">
        <f t="shared" ca="1" si="185"/>
        <v>22.97927988820387</v>
      </c>
      <c r="H404" s="307">
        <f t="shared" ca="1" si="186"/>
        <v>-49.436595297717012</v>
      </c>
      <c r="I404" s="304">
        <f t="shared" ca="1" si="187"/>
        <v>54.51627517366412</v>
      </c>
      <c r="J404" s="306">
        <f t="shared" ca="1" si="188"/>
        <v>625.16667306657018</v>
      </c>
      <c r="K404" s="307">
        <f t="shared" ca="1" si="189"/>
        <v>1435.9516839103405</v>
      </c>
      <c r="L404" s="304">
        <f t="shared" ca="1" si="174"/>
        <v>1566.1387574662936</v>
      </c>
      <c r="M404" s="306">
        <f t="shared" ca="1" si="190"/>
        <v>-1.1356839739680455</v>
      </c>
      <c r="N404" s="304">
        <f t="shared" ca="1" si="191"/>
        <v>-65.069898569014256</v>
      </c>
      <c r="P404" s="310">
        <f t="shared" ca="1" si="192"/>
        <v>23</v>
      </c>
      <c r="Q404" s="304">
        <f t="shared" ca="1" si="193"/>
        <v>0</v>
      </c>
      <c r="R404" s="306">
        <f t="shared" ca="1" si="194"/>
        <v>0</v>
      </c>
      <c r="S404" s="307">
        <f t="shared" ca="1" si="195"/>
        <v>7.150000000000003</v>
      </c>
      <c r="T404" s="304">
        <f t="shared" ca="1" si="175"/>
        <v>70.141500000000036</v>
      </c>
      <c r="U404" s="311">
        <f t="shared" ca="1" si="176"/>
        <v>0</v>
      </c>
      <c r="V404" s="306">
        <f t="shared" ca="1" si="177"/>
        <v>1.0608793825691918</v>
      </c>
      <c r="W404" s="304">
        <f t="shared" ca="1" si="178"/>
        <v>8.2290138457404538</v>
      </c>
      <c r="Y404" s="314" t="str">
        <f t="shared" ca="1" si="196"/>
        <v/>
      </c>
      <c r="Z404" s="315" t="str">
        <f t="shared" ca="1" si="197"/>
        <v/>
      </c>
      <c r="AA404" s="316" t="str">
        <f t="shared" ca="1" si="198"/>
        <v/>
      </c>
      <c r="AC404" s="310">
        <f t="shared" ca="1" si="199"/>
        <v>22.000000000000046</v>
      </c>
      <c r="AD404" s="323">
        <f t="shared" ca="1" si="200"/>
        <v>625.16667306657018</v>
      </c>
      <c r="AE404" s="324" t="e">
        <f t="shared" ca="1" si="179"/>
        <v>#N/A</v>
      </c>
      <c r="AG404" s="306">
        <f t="shared" ca="1" si="201"/>
        <v>7.7459630071733692</v>
      </c>
      <c r="AH404" s="304">
        <f t="shared" ca="1" si="202"/>
        <v>-1.1178197318956167</v>
      </c>
    </row>
    <row r="405" spans="1:34" x14ac:dyDescent="0.2">
      <c r="A405" s="347">
        <f t="shared" ca="1" si="180"/>
        <v>0.1</v>
      </c>
      <c r="B405" s="304">
        <f t="shared" ca="1" si="181"/>
        <v>22.100000000000048</v>
      </c>
      <c r="D405" s="306">
        <f t="shared" ca="1" si="182"/>
        <v>-0.48512314057135186</v>
      </c>
      <c r="E405" s="307">
        <f t="shared" ca="1" si="183"/>
        <v>-8.7663277662893737</v>
      </c>
      <c r="F405" s="304">
        <f t="shared" ca="1" si="184"/>
        <v>8.779740711862388</v>
      </c>
      <c r="G405" s="306">
        <f t="shared" ca="1" si="185"/>
        <v>22.930767574146735</v>
      </c>
      <c r="H405" s="307">
        <f t="shared" ca="1" si="186"/>
        <v>-50.31322807434595</v>
      </c>
      <c r="I405" s="304">
        <f t="shared" ca="1" si="187"/>
        <v>55.292323344210203</v>
      </c>
      <c r="J405" s="306">
        <f t="shared" ca="1" si="188"/>
        <v>627.46217543968771</v>
      </c>
      <c r="K405" s="307">
        <f t="shared" ca="1" si="189"/>
        <v>1430.9641927417374</v>
      </c>
      <c r="L405" s="304">
        <f t="shared" ca="1" si="174"/>
        <v>1562.4875367555792</v>
      </c>
      <c r="M405" s="306">
        <f t="shared" ca="1" si="190"/>
        <v>-1.1431625421332556</v>
      </c>
      <c r="N405" s="304">
        <f t="shared" ca="1" si="191"/>
        <v>-65.498388961681698</v>
      </c>
      <c r="P405" s="310">
        <f t="shared" ca="1" si="192"/>
        <v>23</v>
      </c>
      <c r="Q405" s="304">
        <f t="shared" ca="1" si="193"/>
        <v>0</v>
      </c>
      <c r="R405" s="306">
        <f t="shared" ca="1" si="194"/>
        <v>0</v>
      </c>
      <c r="S405" s="307">
        <f t="shared" ca="1" si="195"/>
        <v>7.150000000000003</v>
      </c>
      <c r="T405" s="304">
        <f t="shared" ca="1" si="175"/>
        <v>70.141500000000036</v>
      </c>
      <c r="U405" s="311">
        <f t="shared" ca="1" si="176"/>
        <v>0</v>
      </c>
      <c r="V405" s="306">
        <f t="shared" ca="1" si="177"/>
        <v>1.0614113606514903</v>
      </c>
      <c r="W405" s="304">
        <f t="shared" ca="1" si="178"/>
        <v>8.4692088688788392</v>
      </c>
      <c r="Y405" s="314" t="str">
        <f t="shared" ca="1" si="196"/>
        <v/>
      </c>
      <c r="Z405" s="315" t="str">
        <f t="shared" ca="1" si="197"/>
        <v/>
      </c>
      <c r="AA405" s="316" t="str">
        <f t="shared" ca="1" si="198"/>
        <v/>
      </c>
      <c r="AC405" s="310" t="e">
        <f t="shared" ca="1" si="199"/>
        <v>#N/A</v>
      </c>
      <c r="AD405" s="323" t="e">
        <f t="shared" ca="1" si="200"/>
        <v>#N/A</v>
      </c>
      <c r="AE405" s="324" t="e">
        <f t="shared" ca="1" si="179"/>
        <v>#N/A</v>
      </c>
      <c r="AG405" s="306">
        <f t="shared" ca="1" si="201"/>
        <v>7.745019560795777</v>
      </c>
      <c r="AH405" s="304">
        <f t="shared" ca="1" si="202"/>
        <v>-1.1509110273762868</v>
      </c>
    </row>
    <row r="406" spans="1:34" x14ac:dyDescent="0.2">
      <c r="A406" s="347">
        <f t="shared" ca="1" si="180"/>
        <v>0.1</v>
      </c>
      <c r="B406" s="304">
        <f t="shared" ca="1" si="181"/>
        <v>22.200000000000049</v>
      </c>
      <c r="D406" s="306">
        <f t="shared" ca="1" si="182"/>
        <v>-0.49123641709504101</v>
      </c>
      <c r="E406" s="307">
        <f t="shared" ca="1" si="183"/>
        <v>-8.7321603763672968</v>
      </c>
      <c r="F406" s="304">
        <f t="shared" ca="1" si="184"/>
        <v>8.7459669594664842</v>
      </c>
      <c r="G406" s="306">
        <f t="shared" ca="1" si="185"/>
        <v>22.881643932437232</v>
      </c>
      <c r="H406" s="307">
        <f t="shared" ca="1" si="186"/>
        <v>-51.186444111982681</v>
      </c>
      <c r="I406" s="304">
        <f t="shared" ca="1" si="187"/>
        <v>56.068009505242543</v>
      </c>
      <c r="J406" s="306">
        <f t="shared" ca="1" si="188"/>
        <v>629.75279601501688</v>
      </c>
      <c r="K406" s="307">
        <f t="shared" ca="1" si="189"/>
        <v>1425.889209132421</v>
      </c>
      <c r="L406" s="304">
        <f t="shared" ca="1" si="174"/>
        <v>1558.7650948135233</v>
      </c>
      <c r="M406" s="306">
        <f t="shared" ca="1" si="190"/>
        <v>-1.1504187787072806</v>
      </c>
      <c r="N406" s="304">
        <f t="shared" ca="1" si="191"/>
        <v>-65.914140692521798</v>
      </c>
      <c r="P406" s="310">
        <f t="shared" ca="1" si="192"/>
        <v>23</v>
      </c>
      <c r="Q406" s="304">
        <f t="shared" ca="1" si="193"/>
        <v>0</v>
      </c>
      <c r="R406" s="306">
        <f t="shared" ca="1" si="194"/>
        <v>0</v>
      </c>
      <c r="S406" s="307">
        <f t="shared" ca="1" si="195"/>
        <v>7.150000000000003</v>
      </c>
      <c r="T406" s="304">
        <f t="shared" ca="1" si="175"/>
        <v>70.141500000000036</v>
      </c>
      <c r="U406" s="311">
        <f t="shared" ca="1" si="176"/>
        <v>0</v>
      </c>
      <c r="V406" s="306">
        <f t="shared" ca="1" si="177"/>
        <v>1.0619529251142861</v>
      </c>
      <c r="W406" s="304">
        <f t="shared" ca="1" si="178"/>
        <v>8.7129450659926029</v>
      </c>
      <c r="Y406" s="314" t="str">
        <f t="shared" ca="1" si="196"/>
        <v/>
      </c>
      <c r="Z406" s="315" t="str">
        <f t="shared" ca="1" si="197"/>
        <v/>
      </c>
      <c r="AA406" s="316" t="str">
        <f t="shared" ca="1" si="198"/>
        <v/>
      </c>
      <c r="AC406" s="310" t="e">
        <f t="shared" ca="1" si="199"/>
        <v>#N/A</v>
      </c>
      <c r="AD406" s="323" t="e">
        <f t="shared" ca="1" si="200"/>
        <v>#N/A</v>
      </c>
      <c r="AE406" s="324" t="e">
        <f t="shared" ca="1" si="179"/>
        <v>#N/A</v>
      </c>
      <c r="AG406" s="306">
        <f t="shared" ca="1" si="201"/>
        <v>7.7421009391965896</v>
      </c>
      <c r="AH406" s="304">
        <f t="shared" ca="1" si="202"/>
        <v>-1.1845047369061308</v>
      </c>
    </row>
    <row r="407" spans="1:34" x14ac:dyDescent="0.2">
      <c r="A407" s="347">
        <f t="shared" ca="1" si="180"/>
        <v>0.1</v>
      </c>
      <c r="B407" s="304">
        <f t="shared" ca="1" si="181"/>
        <v>22.30000000000005</v>
      </c>
      <c r="D407" s="306">
        <f t="shared" ca="1" si="182"/>
        <v>-0.49731438199720435</v>
      </c>
      <c r="E407" s="307">
        <f t="shared" ca="1" si="183"/>
        <v>-8.6975032364218041</v>
      </c>
      <c r="F407" s="304">
        <f t="shared" ca="1" si="184"/>
        <v>8.7117095992755065</v>
      </c>
      <c r="G407" s="306">
        <f t="shared" ca="1" si="185"/>
        <v>22.83191249423751</v>
      </c>
      <c r="H407" s="307">
        <f t="shared" ca="1" si="186"/>
        <v>-52.05619443562486</v>
      </c>
      <c r="I407" s="304">
        <f t="shared" ca="1" si="187"/>
        <v>56.843149167371962</v>
      </c>
      <c r="J407" s="306">
        <f t="shared" ca="1" si="188"/>
        <v>632.03847383635059</v>
      </c>
      <c r="K407" s="307">
        <f t="shared" ca="1" si="189"/>
        <v>1420.7270772050406</v>
      </c>
      <c r="L407" s="304">
        <f t="shared" ca="1" si="174"/>
        <v>1554.9720448654248</v>
      </c>
      <c r="M407" s="306">
        <f t="shared" ca="1" si="190"/>
        <v>-1.1574619224598266</v>
      </c>
      <c r="N407" s="304">
        <f t="shared" ca="1" si="191"/>
        <v>-66.317683104046608</v>
      </c>
      <c r="P407" s="310">
        <f t="shared" ca="1" si="192"/>
        <v>23</v>
      </c>
      <c r="Q407" s="304">
        <f t="shared" ca="1" si="193"/>
        <v>0</v>
      </c>
      <c r="R407" s="306">
        <f t="shared" ca="1" si="194"/>
        <v>0</v>
      </c>
      <c r="S407" s="307">
        <f t="shared" ca="1" si="195"/>
        <v>7.150000000000003</v>
      </c>
      <c r="T407" s="304">
        <f t="shared" ca="1" si="175"/>
        <v>70.141500000000036</v>
      </c>
      <c r="U407" s="311">
        <f t="shared" ca="1" si="176"/>
        <v>0</v>
      </c>
      <c r="V407" s="306">
        <f t="shared" ca="1" si="177"/>
        <v>1.0625040526585843</v>
      </c>
      <c r="W407" s="304">
        <f t="shared" ca="1" si="178"/>
        <v>8.9601708253681274</v>
      </c>
      <c r="Y407" s="314" t="str">
        <f t="shared" ca="1" si="196"/>
        <v/>
      </c>
      <c r="Z407" s="315" t="str">
        <f t="shared" ca="1" si="197"/>
        <v/>
      </c>
      <c r="AA407" s="316" t="str">
        <f t="shared" ca="1" si="198"/>
        <v/>
      </c>
      <c r="AC407" s="310" t="e">
        <f t="shared" ca="1" si="199"/>
        <v>#N/A</v>
      </c>
      <c r="AD407" s="323" t="e">
        <f t="shared" ca="1" si="200"/>
        <v>#N/A</v>
      </c>
      <c r="AE407" s="324" t="e">
        <f t="shared" ca="1" si="179"/>
        <v>#N/A</v>
      </c>
      <c r="AG407" s="306">
        <f t="shared" ca="1" si="201"/>
        <v>7.737297909122133</v>
      </c>
      <c r="AH407" s="304">
        <f t="shared" ca="1" si="202"/>
        <v>-1.2185937155234405</v>
      </c>
    </row>
    <row r="408" spans="1:34" x14ac:dyDescent="0.2">
      <c r="A408" s="347">
        <f t="shared" ca="1" si="180"/>
        <v>0.1</v>
      </c>
      <c r="B408" s="304">
        <f t="shared" ca="1" si="181"/>
        <v>22.400000000000052</v>
      </c>
      <c r="D408" s="306">
        <f t="shared" ca="1" si="182"/>
        <v>-0.50335502527346265</v>
      </c>
      <c r="E408" s="307">
        <f t="shared" ca="1" si="183"/>
        <v>-8.6623630216085719</v>
      </c>
      <c r="F408" s="304">
        <f t="shared" ca="1" si="184"/>
        <v>8.6769752448419286</v>
      </c>
      <c r="G408" s="306">
        <f t="shared" ca="1" si="185"/>
        <v>22.781576991710164</v>
      </c>
      <c r="H408" s="307">
        <f t="shared" ca="1" si="186"/>
        <v>-52.922430737785717</v>
      </c>
      <c r="I408" s="304">
        <f t="shared" ca="1" si="187"/>
        <v>57.617566118545348</v>
      </c>
      <c r="J408" s="306">
        <f t="shared" ca="1" si="188"/>
        <v>634.31914831064796</v>
      </c>
      <c r="K408" s="307">
        <f t="shared" ca="1" si="189"/>
        <v>1415.47814594637</v>
      </c>
      <c r="L408" s="304">
        <f t="shared" ca="1" si="174"/>
        <v>1551.1090108581404</v>
      </c>
      <c r="M408" s="306">
        <f t="shared" ca="1" si="190"/>
        <v>-1.1643007498881355</v>
      </c>
      <c r="N408" s="304">
        <f t="shared" ca="1" si="191"/>
        <v>-66.709519052507019</v>
      </c>
      <c r="P408" s="310">
        <f t="shared" ca="1" si="192"/>
        <v>23</v>
      </c>
      <c r="Q408" s="304">
        <f t="shared" ca="1" si="193"/>
        <v>0</v>
      </c>
      <c r="R408" s="306">
        <f t="shared" ca="1" si="194"/>
        <v>0</v>
      </c>
      <c r="S408" s="307">
        <f t="shared" ca="1" si="195"/>
        <v>7.150000000000003</v>
      </c>
      <c r="T408" s="304">
        <f t="shared" ca="1" si="175"/>
        <v>70.141500000000036</v>
      </c>
      <c r="U408" s="311">
        <f t="shared" ca="1" si="176"/>
        <v>0</v>
      </c>
      <c r="V408" s="306">
        <f t="shared" ca="1" si="177"/>
        <v>1.0630647196418057</v>
      </c>
      <c r="W408" s="304">
        <f t="shared" ca="1" si="178"/>
        <v>9.2108340291605888</v>
      </c>
      <c r="Y408" s="314" t="str">
        <f t="shared" ca="1" si="196"/>
        <v/>
      </c>
      <c r="Z408" s="315" t="str">
        <f t="shared" ca="1" si="197"/>
        <v/>
      </c>
      <c r="AA408" s="316" t="str">
        <f t="shared" ca="1" si="198"/>
        <v/>
      </c>
      <c r="AC408" s="310" t="e">
        <f t="shared" ca="1" si="199"/>
        <v>#N/A</v>
      </c>
      <c r="AD408" s="323" t="e">
        <f t="shared" ca="1" si="200"/>
        <v>#N/A</v>
      </c>
      <c r="AE408" s="324" t="e">
        <f t="shared" ca="1" si="179"/>
        <v>#N/A</v>
      </c>
      <c r="AG408" s="306">
        <f t="shared" ca="1" si="201"/>
        <v>7.7306958229978182</v>
      </c>
      <c r="AH408" s="304">
        <f t="shared" ca="1" si="202"/>
        <v>-1.2531707448067306</v>
      </c>
    </row>
    <row r="409" spans="1:34" x14ac:dyDescent="0.2">
      <c r="A409" s="347">
        <f t="shared" ca="1" si="180"/>
        <v>0.1</v>
      </c>
      <c r="B409" s="304">
        <f t="shared" ca="1" si="181"/>
        <v>22.500000000000053</v>
      </c>
      <c r="D409" s="306">
        <f t="shared" ca="1" si="182"/>
        <v>-0.50935642621728772</v>
      </c>
      <c r="E409" s="307">
        <f t="shared" ca="1" si="183"/>
        <v>-8.6267465229848028</v>
      </c>
      <c r="F409" s="304">
        <f t="shared" ca="1" si="184"/>
        <v>8.6417706253266893</v>
      </c>
      <c r="G409" s="306">
        <f t="shared" ca="1" si="185"/>
        <v>22.730641349088437</v>
      </c>
      <c r="H409" s="307">
        <f t="shared" ca="1" si="186"/>
        <v>-53.785105390084198</v>
      </c>
      <c r="I409" s="304">
        <f t="shared" ca="1" si="187"/>
        <v>58.391091940152592</v>
      </c>
      <c r="J409" s="306">
        <f t="shared" ca="1" si="188"/>
        <v>636.59475922768786</v>
      </c>
      <c r="K409" s="307">
        <f t="shared" ca="1" si="189"/>
        <v>1410.1427691399765</v>
      </c>
      <c r="L409" s="304">
        <f t="shared" ca="1" si="174"/>
        <v>1547.1766275490072</v>
      </c>
      <c r="M409" s="306">
        <f t="shared" ca="1" si="190"/>
        <v>-1.1709436004000566</v>
      </c>
      <c r="N409" s="304">
        <f t="shared" ca="1" si="191"/>
        <v>-67.090126350776416</v>
      </c>
      <c r="P409" s="310">
        <f t="shared" ca="1" si="192"/>
        <v>23</v>
      </c>
      <c r="Q409" s="304">
        <f t="shared" ca="1" si="193"/>
        <v>0</v>
      </c>
      <c r="R409" s="306">
        <f t="shared" ca="1" si="194"/>
        <v>0</v>
      </c>
      <c r="S409" s="307">
        <f t="shared" ca="1" si="195"/>
        <v>7.150000000000003</v>
      </c>
      <c r="T409" s="304">
        <f t="shared" ca="1" si="175"/>
        <v>70.141500000000036</v>
      </c>
      <c r="U409" s="311">
        <f t="shared" ca="1" si="176"/>
        <v>0</v>
      </c>
      <c r="V409" s="306">
        <f t="shared" ca="1" si="177"/>
        <v>1.0636349020814251</v>
      </c>
      <c r="W409" s="304">
        <f t="shared" ca="1" si="178"/>
        <v>9.4648820726909015</v>
      </c>
      <c r="Y409" s="314" t="str">
        <f t="shared" ca="1" si="196"/>
        <v/>
      </c>
      <c r="Z409" s="315" t="str">
        <f t="shared" ca="1" si="197"/>
        <v/>
      </c>
      <c r="AA409" s="316" t="str">
        <f t="shared" ca="1" si="198"/>
        <v/>
      </c>
      <c r="AC409" s="310" t="e">
        <f t="shared" ca="1" si="199"/>
        <v>#N/A</v>
      </c>
      <c r="AD409" s="323" t="e">
        <f t="shared" ca="1" si="200"/>
        <v>#N/A</v>
      </c>
      <c r="AE409" s="324" t="e">
        <f t="shared" ca="1" si="179"/>
        <v>#N/A</v>
      </c>
      <c r="AG409" s="306">
        <f t="shared" ca="1" si="201"/>
        <v>7.7223750097245336</v>
      </c>
      <c r="AH409" s="304">
        <f t="shared" ca="1" si="202"/>
        <v>-1.2882285355469349</v>
      </c>
    </row>
    <row r="410" spans="1:34" x14ac:dyDescent="0.2">
      <c r="A410" s="347">
        <f t="shared" ca="1" si="180"/>
        <v>0.1</v>
      </c>
      <c r="B410" s="304">
        <f t="shared" ca="1" si="181"/>
        <v>22.600000000000055</v>
      </c>
      <c r="D410" s="306">
        <f t="shared" ca="1" si="182"/>
        <v>-0.51531674893116808</v>
      </c>
      <c r="E410" s="307">
        <f t="shared" ca="1" si="183"/>
        <v>-8.5906606410755799</v>
      </c>
      <c r="F410" s="304">
        <f t="shared" ca="1" si="184"/>
        <v>8.6061025790920063</v>
      </c>
      <c r="G410" s="306">
        <f t="shared" ca="1" si="185"/>
        <v>22.67910967419532</v>
      </c>
      <c r="H410" s="307">
        <f t="shared" ca="1" si="186"/>
        <v>-54.644171454191756</v>
      </c>
      <c r="I410" s="304">
        <f t="shared" ca="1" si="187"/>
        <v>59.163565557945248</v>
      </c>
      <c r="J410" s="306">
        <f t="shared" ca="1" si="188"/>
        <v>638.865246778852</v>
      </c>
      <c r="K410" s="307">
        <f t="shared" ca="1" si="189"/>
        <v>1404.7213052977627</v>
      </c>
      <c r="L410" s="304">
        <f t="shared" ca="1" si="174"/>
        <v>1543.175540597781</v>
      </c>
      <c r="M410" s="306">
        <f t="shared" ca="1" si="190"/>
        <v>-1.1773984001954847</v>
      </c>
      <c r="N410" s="304">
        <f t="shared" ca="1" si="191"/>
        <v>-67.459959136656352</v>
      </c>
      <c r="P410" s="310">
        <f t="shared" ca="1" si="192"/>
        <v>23</v>
      </c>
      <c r="Q410" s="304">
        <f t="shared" ca="1" si="193"/>
        <v>0</v>
      </c>
      <c r="R410" s="306">
        <f t="shared" ca="1" si="194"/>
        <v>0</v>
      </c>
      <c r="S410" s="307">
        <f t="shared" ca="1" si="195"/>
        <v>7.150000000000003</v>
      </c>
      <c r="T410" s="304">
        <f t="shared" ca="1" si="175"/>
        <v>70.141500000000036</v>
      </c>
      <c r="U410" s="311">
        <f t="shared" ca="1" si="176"/>
        <v>0</v>
      </c>
      <c r="V410" s="306">
        <f t="shared" ca="1" si="177"/>
        <v>1.0642145756587023</v>
      </c>
      <c r="W410" s="304">
        <f t="shared" ca="1" si="178"/>
        <v>9.7222618839128518</v>
      </c>
      <c r="Y410" s="314" t="str">
        <f t="shared" ca="1" si="196"/>
        <v/>
      </c>
      <c r="Z410" s="315" t="str">
        <f t="shared" ca="1" si="197"/>
        <v/>
      </c>
      <c r="AA410" s="316" t="str">
        <f t="shared" ca="1" si="198"/>
        <v/>
      </c>
      <c r="AC410" s="310" t="e">
        <f t="shared" ca="1" si="199"/>
        <v>#N/A</v>
      </c>
      <c r="AD410" s="323" t="e">
        <f t="shared" ca="1" si="200"/>
        <v>#N/A</v>
      </c>
      <c r="AE410" s="324" t="e">
        <f t="shared" ca="1" si="179"/>
        <v>#N/A</v>
      </c>
      <c r="AG410" s="306">
        <f t="shared" ca="1" si="201"/>
        <v>7.7124111364646764</v>
      </c>
      <c r="AH410" s="304">
        <f t="shared" ca="1" si="202"/>
        <v>-1.3237597304462794</v>
      </c>
    </row>
    <row r="411" spans="1:34" x14ac:dyDescent="0.2">
      <c r="A411" s="347">
        <f t="shared" ca="1" si="180"/>
        <v>0.1</v>
      </c>
      <c r="B411" s="304">
        <f t="shared" ca="1" si="181"/>
        <v>22.700000000000056</v>
      </c>
      <c r="D411" s="306">
        <f t="shared" ca="1" si="182"/>
        <v>-0.52123423816111314</v>
      </c>
      <c r="E411" s="307">
        <f t="shared" ca="1" si="183"/>
        <v>-8.554112379760717</v>
      </c>
      <c r="F411" s="304">
        <f t="shared" ca="1" si="184"/>
        <v>8.5699780476152299</v>
      </c>
      <c r="G411" s="306">
        <f t="shared" ca="1" si="185"/>
        <v>22.626986250379208</v>
      </c>
      <c r="H411" s="307">
        <f t="shared" ca="1" si="186"/>
        <v>-55.499582692167827</v>
      </c>
      <c r="I411" s="304">
        <f t="shared" ca="1" si="187"/>
        <v>59.934832825157898</v>
      </c>
      <c r="J411" s="306">
        <f t="shared" ca="1" si="188"/>
        <v>641.13055157508074</v>
      </c>
      <c r="K411" s="307">
        <f t="shared" ca="1" si="189"/>
        <v>1399.2141175904446</v>
      </c>
      <c r="L411" s="304">
        <f t="shared" ca="1" si="174"/>
        <v>1539.1064066617921</v>
      </c>
      <c r="M411" s="306">
        <f t="shared" ca="1" si="190"/>
        <v>-1.1836726848838151</v>
      </c>
      <c r="N411" s="304">
        <f t="shared" ca="1" si="191"/>
        <v>-67.819449168761238</v>
      </c>
      <c r="P411" s="310">
        <f t="shared" ca="1" si="192"/>
        <v>23</v>
      </c>
      <c r="Q411" s="304">
        <f t="shared" ca="1" si="193"/>
        <v>0</v>
      </c>
      <c r="R411" s="306">
        <f t="shared" ca="1" si="194"/>
        <v>0</v>
      </c>
      <c r="S411" s="307">
        <f t="shared" ca="1" si="195"/>
        <v>7.150000000000003</v>
      </c>
      <c r="T411" s="304">
        <f t="shared" ca="1" si="175"/>
        <v>70.141500000000036</v>
      </c>
      <c r="U411" s="311">
        <f t="shared" ca="1" si="176"/>
        <v>0</v>
      </c>
      <c r="V411" s="306">
        <f t="shared" ca="1" si="177"/>
        <v>1.0648037157225012</v>
      </c>
      <c r="W411" s="304">
        <f t="shared" ca="1" si="178"/>
        <v>9.982919943030657</v>
      </c>
      <c r="Y411" s="314" t="str">
        <f t="shared" ca="1" si="196"/>
        <v/>
      </c>
      <c r="Z411" s="315" t="str">
        <f t="shared" ca="1" si="197"/>
        <v/>
      </c>
      <c r="AA411" s="316" t="str">
        <f t="shared" ca="1" si="198"/>
        <v/>
      </c>
      <c r="AC411" s="310" t="e">
        <f t="shared" ca="1" si="199"/>
        <v>#N/A</v>
      </c>
      <c r="AD411" s="323" t="e">
        <f t="shared" ca="1" si="200"/>
        <v>#N/A</v>
      </c>
      <c r="AE411" s="324" t="e">
        <f t="shared" ca="1" si="179"/>
        <v>#N/A</v>
      </c>
      <c r="AG411" s="306">
        <f t="shared" ca="1" si="201"/>
        <v>7.7008755433889151</v>
      </c>
      <c r="AH411" s="304">
        <f t="shared" ca="1" si="202"/>
        <v>-1.3597569068409576</v>
      </c>
    </row>
    <row r="412" spans="1:34" x14ac:dyDescent="0.2">
      <c r="A412" s="347">
        <f t="shared" ca="1" si="180"/>
        <v>0.1</v>
      </c>
      <c r="B412" s="304">
        <f t="shared" ca="1" si="181"/>
        <v>22.800000000000058</v>
      </c>
      <c r="D412" s="306">
        <f t="shared" ca="1" si="182"/>
        <v>-0.52710721542955785</v>
      </c>
      <c r="E412" s="307">
        <f t="shared" ca="1" si="183"/>
        <v>-8.5171088404501596</v>
      </c>
      <c r="F412" s="304">
        <f t="shared" ca="1" si="184"/>
        <v>8.533404069691775</v>
      </c>
      <c r="G412" s="306">
        <f t="shared" ca="1" si="185"/>
        <v>22.574275528836253</v>
      </c>
      <c r="H412" s="307">
        <f t="shared" ca="1" si="186"/>
        <v>-56.351293576212846</v>
      </c>
      <c r="I412" s="304">
        <f t="shared" ca="1" si="187"/>
        <v>60.70474613540808</v>
      </c>
      <c r="J412" s="306">
        <f t="shared" ca="1" si="188"/>
        <v>643.39061466404155</v>
      </c>
      <c r="K412" s="307">
        <f t="shared" ca="1" si="189"/>
        <v>1393.6215737770256</v>
      </c>
      <c r="L412" s="304">
        <f t="shared" ca="1" si="174"/>
        <v>1534.9698934945031</v>
      </c>
      <c r="M412" s="306">
        <f t="shared" ca="1" si="190"/>
        <v>-1.1897736208806555</v>
      </c>
      <c r="N412" s="304">
        <f t="shared" ca="1" si="191"/>
        <v>-68.169007052459634</v>
      </c>
      <c r="P412" s="310">
        <f t="shared" ca="1" si="192"/>
        <v>23</v>
      </c>
      <c r="Q412" s="304">
        <f t="shared" ca="1" si="193"/>
        <v>0</v>
      </c>
      <c r="R412" s="306">
        <f t="shared" ca="1" si="194"/>
        <v>0</v>
      </c>
      <c r="S412" s="307">
        <f t="shared" ca="1" si="195"/>
        <v>7.150000000000003</v>
      </c>
      <c r="T412" s="304">
        <f t="shared" ca="1" si="175"/>
        <v>70.141500000000036</v>
      </c>
      <c r="U412" s="311">
        <f t="shared" ca="1" si="176"/>
        <v>0</v>
      </c>
      <c r="V412" s="306">
        <f t="shared" ca="1" si="177"/>
        <v>1.0654022972931878</v>
      </c>
      <c r="W412" s="304">
        <f t="shared" ca="1" si="178"/>
        <v>10.246802302247858</v>
      </c>
      <c r="Y412" s="314" t="str">
        <f t="shared" ca="1" si="196"/>
        <v/>
      </c>
      <c r="Z412" s="315" t="str">
        <f t="shared" ca="1" si="197"/>
        <v/>
      </c>
      <c r="AA412" s="316" t="str">
        <f t="shared" ca="1" si="198"/>
        <v/>
      </c>
      <c r="AC412" s="310" t="e">
        <f t="shared" ca="1" si="199"/>
        <v>#N/A</v>
      </c>
      <c r="AD412" s="323" t="e">
        <f t="shared" ca="1" si="200"/>
        <v>#N/A</v>
      </c>
      <c r="AE412" s="324" t="e">
        <f t="shared" ca="1" si="179"/>
        <v>#N/A</v>
      </c>
      <c r="AG412" s="306">
        <f t="shared" ca="1" si="201"/>
        <v>7.6878355532735778</v>
      </c>
      <c r="AH412" s="304">
        <f t="shared" ca="1" si="202"/>
        <v>-1.3962125794448466</v>
      </c>
    </row>
    <row r="413" spans="1:34" x14ac:dyDescent="0.2">
      <c r="A413" s="347">
        <f t="shared" ca="1" si="180"/>
        <v>0.1</v>
      </c>
      <c r="B413" s="304">
        <f t="shared" ca="1" si="181"/>
        <v>22.900000000000059</v>
      </c>
      <c r="D413" s="306">
        <f t="shared" ca="1" si="182"/>
        <v>-0.53293407544351867</v>
      </c>
      <c r="E413" s="307">
        <f t="shared" ca="1" si="183"/>
        <v>-8.4796572165196089</v>
      </c>
      <c r="F413" s="304">
        <f t="shared" ca="1" si="184"/>
        <v>8.4963877758987625</v>
      </c>
      <c r="G413" s="306">
        <f t="shared" ca="1" si="185"/>
        <v>22.520982121291901</v>
      </c>
      <c r="H413" s="307">
        <f t="shared" ca="1" si="186"/>
        <v>-57.199259297864806</v>
      </c>
      <c r="I413" s="304">
        <f t="shared" ca="1" si="187"/>
        <v>61.473164063125324</v>
      </c>
      <c r="J413" s="306">
        <f t="shared" ca="1" si="188"/>
        <v>645.64537754654793</v>
      </c>
      <c r="K413" s="307">
        <f t="shared" ca="1" si="189"/>
        <v>1387.9440461333218</v>
      </c>
      <c r="L413" s="304">
        <f t="shared" ca="1" si="174"/>
        <v>1530.7666800476684</v>
      </c>
      <c r="M413" s="306">
        <f t="shared" ca="1" si="190"/>
        <v>-1.1957080256308799</v>
      </c>
      <c r="N413" s="304">
        <f t="shared" ca="1" si="191"/>
        <v>-68.50902339856988</v>
      </c>
      <c r="P413" s="310">
        <f t="shared" ca="1" si="192"/>
        <v>23</v>
      </c>
      <c r="Q413" s="304">
        <f t="shared" ca="1" si="193"/>
        <v>0</v>
      </c>
      <c r="R413" s="306">
        <f t="shared" ca="1" si="194"/>
        <v>0</v>
      </c>
      <c r="S413" s="307">
        <f t="shared" ca="1" si="195"/>
        <v>7.150000000000003</v>
      </c>
      <c r="T413" s="304">
        <f t="shared" ca="1" si="175"/>
        <v>70.141500000000036</v>
      </c>
      <c r="U413" s="311">
        <f t="shared" ca="1" si="176"/>
        <v>0</v>
      </c>
      <c r="V413" s="306">
        <f t="shared" ca="1" si="177"/>
        <v>1.0660102950666079</v>
      </c>
      <c r="W413" s="304">
        <f t="shared" ca="1" si="178"/>
        <v>10.513854605629218</v>
      </c>
      <c r="Y413" s="314" t="str">
        <f t="shared" ca="1" si="196"/>
        <v/>
      </c>
      <c r="Z413" s="315" t="str">
        <f t="shared" ca="1" si="197"/>
        <v/>
      </c>
      <c r="AA413" s="316" t="str">
        <f t="shared" ca="1" si="198"/>
        <v/>
      </c>
      <c r="AC413" s="310" t="e">
        <f t="shared" ca="1" si="199"/>
        <v>#N/A</v>
      </c>
      <c r="AD413" s="323" t="e">
        <f t="shared" ca="1" si="200"/>
        <v>#N/A</v>
      </c>
      <c r="AE413" s="324" t="e">
        <f t="shared" ca="1" si="179"/>
        <v>#N/A</v>
      </c>
      <c r="AG413" s="306">
        <f t="shared" ca="1" si="201"/>
        <v>7.6733547577473864</v>
      </c>
      <c r="AH413" s="304">
        <f t="shared" ca="1" si="202"/>
        <v>-1.4331192031115878</v>
      </c>
    </row>
    <row r="414" spans="1:34" x14ac:dyDescent="0.2">
      <c r="A414" s="347">
        <f t="shared" ca="1" si="180"/>
        <v>0.1</v>
      </c>
      <c r="B414" s="304">
        <f t="shared" ca="1" si="181"/>
        <v>23.00000000000006</v>
      </c>
      <c r="D414" s="306">
        <f t="shared" ca="1" si="182"/>
        <v>-0.53871328275656993</v>
      </c>
      <c r="E414" s="307">
        <f t="shared" ca="1" si="183"/>
        <v>-8.441764787981219</v>
      </c>
      <c r="F414" s="304">
        <f t="shared" ca="1" si="184"/>
        <v>8.4589363832941764</v>
      </c>
      <c r="G414" s="306">
        <f t="shared" ca="1" si="185"/>
        <v>22.467110793016243</v>
      </c>
      <c r="H414" s="307">
        <f t="shared" ca="1" si="186"/>
        <v>-58.043435776662925</v>
      </c>
      <c r="I414" s="304">
        <f t="shared" ca="1" si="187"/>
        <v>62.239951029425306</v>
      </c>
      <c r="J414" s="306">
        <f t="shared" ca="1" si="188"/>
        <v>647.89478219226339</v>
      </c>
      <c r="K414" s="307">
        <f t="shared" ca="1" si="189"/>
        <v>1382.1819113795955</v>
      </c>
      <c r="L414" s="304">
        <f t="shared" ca="1" si="174"/>
        <v>1526.4974565772825</v>
      </c>
      <c r="M414" s="306">
        <f t="shared" ca="1" si="190"/>
        <v>-1.2014823867075799</v>
      </c>
      <c r="N414" s="304">
        <f t="shared" ca="1" si="191"/>
        <v>-68.839869917649409</v>
      </c>
      <c r="P414" s="310">
        <f t="shared" ca="1" si="192"/>
        <v>23</v>
      </c>
      <c r="Q414" s="304">
        <f t="shared" ca="1" si="193"/>
        <v>0</v>
      </c>
      <c r="R414" s="306">
        <f t="shared" ca="1" si="194"/>
        <v>0</v>
      </c>
      <c r="S414" s="307">
        <f t="shared" ca="1" si="195"/>
        <v>7.150000000000003</v>
      </c>
      <c r="T414" s="304">
        <f t="shared" ca="1" si="175"/>
        <v>70.141500000000036</v>
      </c>
      <c r="U414" s="311">
        <f t="shared" ca="1" si="176"/>
        <v>0</v>
      </c>
      <c r="V414" s="306">
        <f t="shared" ca="1" si="177"/>
        <v>1.0666276834181365</v>
      </c>
      <c r="W414" s="304">
        <f t="shared" ca="1" si="178"/>
        <v>10.78402210905778</v>
      </c>
      <c r="Y414" s="314" t="str">
        <f t="shared" ca="1" si="196"/>
        <v/>
      </c>
      <c r="Z414" s="315" t="str">
        <f t="shared" ca="1" si="197"/>
        <v/>
      </c>
      <c r="AA414" s="316" t="str">
        <f t="shared" ca="1" si="198"/>
        <v/>
      </c>
      <c r="AC414" s="310">
        <f t="shared" ca="1" si="199"/>
        <v>23.00000000000006</v>
      </c>
      <c r="AD414" s="323">
        <f t="shared" ca="1" si="200"/>
        <v>647.89478219226339</v>
      </c>
      <c r="AE414" s="324" t="e">
        <f t="shared" ca="1" si="179"/>
        <v>#N/A</v>
      </c>
      <c r="AG414" s="306">
        <f t="shared" ca="1" si="201"/>
        <v>7.6574932818892751</v>
      </c>
      <c r="AH414" s="304">
        <f t="shared" ca="1" si="202"/>
        <v>-1.4704691756124775</v>
      </c>
    </row>
    <row r="415" spans="1:34" x14ac:dyDescent="0.2">
      <c r="A415" s="347">
        <f t="shared" ca="1" si="180"/>
        <v>0.1</v>
      </c>
      <c r="B415" s="304">
        <f t="shared" ca="1" si="181"/>
        <v>23.100000000000062</v>
      </c>
      <c r="D415" s="306">
        <f t="shared" ca="1" si="182"/>
        <v>-0.54444336866478049</v>
      </c>
      <c r="E415" s="307">
        <f t="shared" ca="1" si="183"/>
        <v>-8.4034389163671506</v>
      </c>
      <c r="F415" s="304">
        <f t="shared" ca="1" si="184"/>
        <v>8.421057190329309</v>
      </c>
      <c r="G415" s="306">
        <f t="shared" ca="1" si="185"/>
        <v>22.412666456149765</v>
      </c>
      <c r="H415" s="307">
        <f t="shared" ca="1" si="186"/>
        <v>-58.883779668299638</v>
      </c>
      <c r="I415" s="304">
        <f t="shared" ca="1" si="187"/>
        <v>63.004976991500271</v>
      </c>
      <c r="J415" s="306">
        <f t="shared" ca="1" si="188"/>
        <v>650.1387710547217</v>
      </c>
      <c r="K415" s="307">
        <f t="shared" ca="1" si="189"/>
        <v>1376.3355506073474</v>
      </c>
      <c r="L415" s="304">
        <f t="shared" ca="1" si="174"/>
        <v>1522.1629247535145</v>
      </c>
      <c r="M415" s="306">
        <f t="shared" ca="1" si="190"/>
        <v>-1.207102879837803</v>
      </c>
      <c r="N415" s="304">
        <f t="shared" ca="1" si="191"/>
        <v>-69.161900452793461</v>
      </c>
      <c r="P415" s="310">
        <f t="shared" ca="1" si="192"/>
        <v>23</v>
      </c>
      <c r="Q415" s="304">
        <f t="shared" ca="1" si="193"/>
        <v>0</v>
      </c>
      <c r="R415" s="306">
        <f t="shared" ca="1" si="194"/>
        <v>0</v>
      </c>
      <c r="S415" s="307">
        <f t="shared" ca="1" si="195"/>
        <v>7.150000000000003</v>
      </c>
      <c r="T415" s="304">
        <f t="shared" ca="1" si="175"/>
        <v>70.141500000000036</v>
      </c>
      <c r="U415" s="311">
        <f t="shared" ca="1" si="176"/>
        <v>0</v>
      </c>
      <c r="V415" s="306">
        <f t="shared" ca="1" si="177"/>
        <v>1.0672544364067962</v>
      </c>
      <c r="W415" s="304">
        <f t="shared" ca="1" si="178"/>
        <v>11.057249700269969</v>
      </c>
      <c r="Y415" s="314" t="str">
        <f t="shared" ca="1" si="196"/>
        <v/>
      </c>
      <c r="Z415" s="315" t="str">
        <f t="shared" ca="1" si="197"/>
        <v/>
      </c>
      <c r="AA415" s="316" t="str">
        <f t="shared" ca="1" si="198"/>
        <v/>
      </c>
      <c r="AC415" s="310" t="e">
        <f t="shared" ca="1" si="199"/>
        <v>#N/A</v>
      </c>
      <c r="AD415" s="323" t="e">
        <f t="shared" ca="1" si="200"/>
        <v>#N/A</v>
      </c>
      <c r="AE415" s="324" t="e">
        <f t="shared" ca="1" si="179"/>
        <v>#N/A</v>
      </c>
      <c r="AG415" s="306">
        <f t="shared" ca="1" si="201"/>
        <v>7.640308028779355</v>
      </c>
      <c r="AH415" s="304">
        <f t="shared" ca="1" si="202"/>
        <v>-1.5082548404276608</v>
      </c>
    </row>
    <row r="416" spans="1:34" x14ac:dyDescent="0.2">
      <c r="A416" s="347">
        <f t="shared" ca="1" si="180"/>
        <v>0.1</v>
      </c>
      <c r="B416" s="304">
        <f t="shared" ca="1" si="181"/>
        <v>23.200000000000063</v>
      </c>
      <c r="D416" s="306">
        <f t="shared" ca="1" si="182"/>
        <v>-0.55012292831828968</v>
      </c>
      <c r="E416" s="307">
        <f t="shared" ca="1" si="183"/>
        <v>-8.3646870398062063</v>
      </c>
      <c r="F416" s="304">
        <f t="shared" ca="1" si="184"/>
        <v>8.3827575719546736</v>
      </c>
      <c r="G416" s="306">
        <f t="shared" ca="1" si="185"/>
        <v>22.357654163317935</v>
      </c>
      <c r="H416" s="307">
        <f t="shared" ca="1" si="186"/>
        <v>-59.72024837228026</v>
      </c>
      <c r="I416" s="304">
        <f t="shared" ca="1" si="187"/>
        <v>63.768117153742047</v>
      </c>
      <c r="J416" s="306">
        <f t="shared" ca="1" si="188"/>
        <v>652.37728708569512</v>
      </c>
      <c r="K416" s="307">
        <f t="shared" ca="1" si="189"/>
        <v>1370.4053492053183</v>
      </c>
      <c r="L416" s="304">
        <f t="shared" ca="1" si="174"/>
        <v>1517.7637977748191</v>
      </c>
      <c r="M416" s="306">
        <f t="shared" ca="1" si="190"/>
        <v>-1.2125753859064401</v>
      </c>
      <c r="N416" s="304">
        <f t="shared" ca="1" si="191"/>
        <v>-69.475451953886108</v>
      </c>
      <c r="P416" s="310">
        <f t="shared" ca="1" si="192"/>
        <v>23</v>
      </c>
      <c r="Q416" s="304">
        <f t="shared" ca="1" si="193"/>
        <v>0</v>
      </c>
      <c r="R416" s="306">
        <f t="shared" ca="1" si="194"/>
        <v>0</v>
      </c>
      <c r="S416" s="307">
        <f t="shared" ca="1" si="195"/>
        <v>7.150000000000003</v>
      </c>
      <c r="T416" s="304">
        <f t="shared" ca="1" si="175"/>
        <v>70.141500000000036</v>
      </c>
      <c r="U416" s="311">
        <f t="shared" ca="1" si="176"/>
        <v>0</v>
      </c>
      <c r="V416" s="306">
        <f t="shared" ca="1" si="177"/>
        <v>1.0678905277794426</v>
      </c>
      <c r="W416" s="304">
        <f t="shared" ca="1" si="178"/>
        <v>11.333481918952016</v>
      </c>
      <c r="Y416" s="314" t="str">
        <f t="shared" ca="1" si="196"/>
        <v/>
      </c>
      <c r="Z416" s="315" t="str">
        <f t="shared" ca="1" si="197"/>
        <v/>
      </c>
      <c r="AA416" s="316" t="str">
        <f t="shared" ca="1" si="198"/>
        <v/>
      </c>
      <c r="AC416" s="310" t="e">
        <f t="shared" ca="1" si="199"/>
        <v>#N/A</v>
      </c>
      <c r="AD416" s="323" t="e">
        <f t="shared" ca="1" si="200"/>
        <v>#N/A</v>
      </c>
      <c r="AE416" s="324" t="e">
        <f t="shared" ca="1" si="179"/>
        <v>#N/A</v>
      </c>
      <c r="AG416" s="306">
        <f t="shared" ca="1" si="201"/>
        <v>7.6218529055051594</v>
      </c>
      <c r="AH416" s="304">
        <f t="shared" ca="1" si="202"/>
        <v>-1.5464684895482468</v>
      </c>
    </row>
    <row r="417" spans="1:34" x14ac:dyDescent="0.2">
      <c r="A417" s="347">
        <f t="shared" ca="1" si="180"/>
        <v>0.1</v>
      </c>
      <c r="B417" s="304">
        <f t="shared" ca="1" si="181"/>
        <v>23.300000000000065</v>
      </c>
      <c r="D417" s="306">
        <f t="shared" ca="1" si="182"/>
        <v>-0.55575061803156744</v>
      </c>
      <c r="E417" s="307">
        <f t="shared" ca="1" si="183"/>
        <v>-8.3255166682760766</v>
      </c>
      <c r="F417" s="304">
        <f t="shared" ca="1" si="184"/>
        <v>8.3440449749018768</v>
      </c>
      <c r="G417" s="306">
        <f t="shared" ca="1" si="185"/>
        <v>22.302079101514778</v>
      </c>
      <c r="H417" s="307">
        <f t="shared" ca="1" si="186"/>
        <v>-60.552800039107865</v>
      </c>
      <c r="I417" s="304">
        <f t="shared" ca="1" si="187"/>
        <v>64.529251698949707</v>
      </c>
      <c r="J417" s="306">
        <f t="shared" ca="1" si="188"/>
        <v>654.61027374893672</v>
      </c>
      <c r="K417" s="307">
        <f t="shared" ca="1" si="189"/>
        <v>1364.391696784749</v>
      </c>
      <c r="L417" s="304">
        <f t="shared" ca="1" si="174"/>
        <v>1513.300800486415</v>
      </c>
      <c r="M417" s="306">
        <f t="shared" ca="1" si="190"/>
        <v>-1.2179055069893918</v>
      </c>
      <c r="N417" s="304">
        <f t="shared" ca="1" si="191"/>
        <v>-69.780845396232934</v>
      </c>
      <c r="P417" s="310">
        <f t="shared" ca="1" si="192"/>
        <v>23</v>
      </c>
      <c r="Q417" s="304">
        <f t="shared" ca="1" si="193"/>
        <v>0</v>
      </c>
      <c r="R417" s="306">
        <f t="shared" ca="1" si="194"/>
        <v>0</v>
      </c>
      <c r="S417" s="307">
        <f t="shared" ca="1" si="195"/>
        <v>7.150000000000003</v>
      </c>
      <c r="T417" s="304">
        <f t="shared" ca="1" si="175"/>
        <v>70.141500000000036</v>
      </c>
      <c r="U417" s="311">
        <f t="shared" ca="1" si="176"/>
        <v>0</v>
      </c>
      <c r="V417" s="306">
        <f t="shared" ca="1" si="177"/>
        <v>1.0685359309750111</v>
      </c>
      <c r="W417" s="304">
        <f t="shared" ca="1" si="178"/>
        <v>11.612662976881591</v>
      </c>
      <c r="Y417" s="314" t="str">
        <f t="shared" ca="1" si="196"/>
        <v/>
      </c>
      <c r="Z417" s="315" t="str">
        <f t="shared" ca="1" si="197"/>
        <v/>
      </c>
      <c r="AA417" s="316" t="str">
        <f t="shared" ca="1" si="198"/>
        <v/>
      </c>
      <c r="AC417" s="310" t="e">
        <f t="shared" ca="1" si="199"/>
        <v>#N/A</v>
      </c>
      <c r="AD417" s="323" t="e">
        <f t="shared" ca="1" si="200"/>
        <v>#N/A</v>
      </c>
      <c r="AE417" s="324" t="e">
        <f t="shared" ca="1" si="179"/>
        <v>#N/A</v>
      </c>
      <c r="AG417" s="306">
        <f t="shared" ca="1" si="201"/>
        <v>7.6021790320268039</v>
      </c>
      <c r="AH417" s="304">
        <f t="shared" ca="1" si="202"/>
        <v>-1.5851023662869945</v>
      </c>
    </row>
    <row r="418" spans="1:34" x14ac:dyDescent="0.2">
      <c r="A418" s="347">
        <f t="shared" ca="1" si="180"/>
        <v>0.1</v>
      </c>
      <c r="B418" s="304">
        <f t="shared" ca="1" si="181"/>
        <v>23.400000000000066</v>
      </c>
      <c r="D418" s="306">
        <f t="shared" ca="1" si="182"/>
        <v>-0.56132515277674289</v>
      </c>
      <c r="E418" s="307">
        <f t="shared" ca="1" si="183"/>
        <v>-8.2859353790157098</v>
      </c>
      <c r="F418" s="304">
        <f t="shared" ca="1" si="184"/>
        <v>8.3049269131259695</v>
      </c>
      <c r="G418" s="306">
        <f t="shared" ca="1" si="185"/>
        <v>22.245946586237103</v>
      </c>
      <c r="H418" s="307">
        <f t="shared" ca="1" si="186"/>
        <v>-61.381393577009433</v>
      </c>
      <c r="I418" s="304">
        <f t="shared" ca="1" si="187"/>
        <v>65.288265538099949</v>
      </c>
      <c r="J418" s="306">
        <f t="shared" ca="1" si="188"/>
        <v>656.83767503332433</v>
      </c>
      <c r="K418" s="307">
        <f t="shared" ca="1" si="189"/>
        <v>1358.2949871039432</v>
      </c>
      <c r="L418" s="304">
        <f t="shared" ca="1" si="174"/>
        <v>1508.7746695033304</v>
      </c>
      <c r="M418" s="306">
        <f t="shared" ca="1" si="190"/>
        <v>-1.2230985814663877</v>
      </c>
      <c r="N418" s="304">
        <f t="shared" ca="1" si="191"/>
        <v>-70.078386646461908</v>
      </c>
      <c r="P418" s="310">
        <f t="shared" ca="1" si="192"/>
        <v>23</v>
      </c>
      <c r="Q418" s="304">
        <f t="shared" ca="1" si="193"/>
        <v>0</v>
      </c>
      <c r="R418" s="306">
        <f t="shared" ca="1" si="194"/>
        <v>0</v>
      </c>
      <c r="S418" s="307">
        <f t="shared" ca="1" si="195"/>
        <v>7.150000000000003</v>
      </c>
      <c r="T418" s="304">
        <f t="shared" ca="1" si="175"/>
        <v>70.141500000000036</v>
      </c>
      <c r="U418" s="311">
        <f t="shared" ca="1" si="176"/>
        <v>0</v>
      </c>
      <c r="V418" s="306">
        <f t="shared" ca="1" si="177"/>
        <v>1.0691906191288216</v>
      </c>
      <c r="W418" s="304">
        <f t="shared" ca="1" si="178"/>
        <v>11.894736778098931</v>
      </c>
      <c r="Y418" s="314" t="str">
        <f t="shared" ca="1" si="196"/>
        <v/>
      </c>
      <c r="Z418" s="315" t="str">
        <f t="shared" ca="1" si="197"/>
        <v/>
      </c>
      <c r="AA418" s="316" t="str">
        <f t="shared" ca="1" si="198"/>
        <v/>
      </c>
      <c r="AC418" s="310" t="e">
        <f t="shared" ca="1" si="199"/>
        <v>#N/A</v>
      </c>
      <c r="AD418" s="323" t="e">
        <f t="shared" ca="1" si="200"/>
        <v>#N/A</v>
      </c>
      <c r="AE418" s="324" t="e">
        <f t="shared" ca="1" si="179"/>
        <v>#N/A</v>
      </c>
      <c r="AG418" s="306">
        <f t="shared" ca="1" si="201"/>
        <v>7.5813349342089715</v>
      </c>
      <c r="AH418" s="304">
        <f t="shared" ca="1" si="202"/>
        <v>-1.6241486680953268</v>
      </c>
    </row>
    <row r="419" spans="1:34" x14ac:dyDescent="0.2">
      <c r="A419" s="347">
        <f t="shared" ca="1" si="180"/>
        <v>0.1</v>
      </c>
      <c r="B419" s="304">
        <f t="shared" ca="1" si="181"/>
        <v>23.500000000000068</v>
      </c>
      <c r="D419" s="306">
        <f t="shared" ca="1" si="182"/>
        <v>-0.5668453038455763</v>
      </c>
      <c r="E419" s="307">
        <f t="shared" ca="1" si="183"/>
        <v>-8.245950812084093</v>
      </c>
      <c r="F419" s="304">
        <f t="shared" ca="1" si="184"/>
        <v>8.2654109633945065</v>
      </c>
      <c r="G419" s="306">
        <f t="shared" ca="1" si="185"/>
        <v>22.189262055852545</v>
      </c>
      <c r="H419" s="307">
        <f t="shared" ca="1" si="186"/>
        <v>-62.205988658217841</v>
      </c>
      <c r="I419" s="304">
        <f t="shared" ca="1" si="187"/>
        <v>66.045048077275439</v>
      </c>
      <c r="J419" s="306">
        <f t="shared" ca="1" si="188"/>
        <v>659.05943546542881</v>
      </c>
      <c r="K419" s="307">
        <f t="shared" ca="1" si="189"/>
        <v>1352.1156179921818</v>
      </c>
      <c r="L419" s="304">
        <f t="shared" ca="1" si="174"/>
        <v>1504.1861533382062</v>
      </c>
      <c r="M419" s="306">
        <f t="shared" ca="1" si="190"/>
        <v>-1.2281596982626697</v>
      </c>
      <c r="N419" s="304">
        <f t="shared" ca="1" si="191"/>
        <v>-70.368367278511641</v>
      </c>
      <c r="P419" s="310">
        <f t="shared" ca="1" si="192"/>
        <v>23</v>
      </c>
      <c r="Q419" s="304">
        <f t="shared" ca="1" si="193"/>
        <v>0</v>
      </c>
      <c r="R419" s="306">
        <f t="shared" ca="1" si="194"/>
        <v>0</v>
      </c>
      <c r="S419" s="307">
        <f t="shared" ca="1" si="195"/>
        <v>7.150000000000003</v>
      </c>
      <c r="T419" s="304">
        <f t="shared" ca="1" si="175"/>
        <v>70.141500000000036</v>
      </c>
      <c r="U419" s="311">
        <f t="shared" ca="1" si="176"/>
        <v>0</v>
      </c>
      <c r="V419" s="306">
        <f t="shared" ca="1" si="177"/>
        <v>1.0698545650769407</v>
      </c>
      <c r="W419" s="304">
        <f t="shared" ca="1" si="178"/>
        <v>12.179646939092223</v>
      </c>
      <c r="Y419" s="314" t="str">
        <f t="shared" ca="1" si="196"/>
        <v/>
      </c>
      <c r="Z419" s="315" t="str">
        <f t="shared" ca="1" si="197"/>
        <v/>
      </c>
      <c r="AA419" s="316" t="str">
        <f t="shared" ca="1" si="198"/>
        <v/>
      </c>
      <c r="AC419" s="310" t="e">
        <f t="shared" ca="1" si="199"/>
        <v>#N/A</v>
      </c>
      <c r="AD419" s="323" t="e">
        <f t="shared" ca="1" si="200"/>
        <v>#N/A</v>
      </c>
      <c r="AE419" s="324" t="e">
        <f t="shared" ca="1" si="179"/>
        <v>#N/A</v>
      </c>
      <c r="AG419" s="306">
        <f t="shared" ca="1" si="201"/>
        <v>7.5593667222354792</v>
      </c>
      <c r="AH419" s="304">
        <f t="shared" ca="1" si="202"/>
        <v>-1.6635995493844651</v>
      </c>
    </row>
    <row r="420" spans="1:34" x14ac:dyDescent="0.2">
      <c r="A420" s="347">
        <f t="shared" ca="1" si="180"/>
        <v>0.1</v>
      </c>
      <c r="B420" s="304">
        <f t="shared" ca="1" si="181"/>
        <v>23.600000000000069</v>
      </c>
      <c r="D420" s="306">
        <f t="shared" ca="1" si="182"/>
        <v>-0.57230989666679</v>
      </c>
      <c r="E420" s="307">
        <f t="shared" ca="1" si="183"/>
        <v>-8.2055706660533065</v>
      </c>
      <c r="F420" s="304">
        <f t="shared" ca="1" si="184"/>
        <v>8.2255047610111589</v>
      </c>
      <c r="G420" s="306">
        <f t="shared" ca="1" si="185"/>
        <v>22.132031066185867</v>
      </c>
      <c r="H420" s="307">
        <f t="shared" ca="1" si="186"/>
        <v>-63.026545724823173</v>
      </c>
      <c r="I420" s="304">
        <f t="shared" ca="1" si="187"/>
        <v>66.799493000455044</v>
      </c>
      <c r="J420" s="306">
        <f t="shared" ca="1" si="188"/>
        <v>661.27550012153074</v>
      </c>
      <c r="K420" s="307">
        <f t="shared" ca="1" si="189"/>
        <v>1345.8539912730298</v>
      </c>
      <c r="L420" s="304">
        <f t="shared" ca="1" si="174"/>
        <v>1499.5360125340524</v>
      </c>
      <c r="M420" s="306">
        <f t="shared" ca="1" si="190"/>
        <v>-1.233093710267279</v>
      </c>
      <c r="N420" s="304">
        <f t="shared" ca="1" si="191"/>
        <v>-70.651065342442635</v>
      </c>
      <c r="P420" s="310">
        <f t="shared" ca="1" si="192"/>
        <v>23</v>
      </c>
      <c r="Q420" s="304">
        <f t="shared" ca="1" si="193"/>
        <v>0</v>
      </c>
      <c r="R420" s="306">
        <f t="shared" ca="1" si="194"/>
        <v>0</v>
      </c>
      <c r="S420" s="307">
        <f t="shared" ca="1" si="195"/>
        <v>7.150000000000003</v>
      </c>
      <c r="T420" s="304">
        <f t="shared" ca="1" si="175"/>
        <v>70.141500000000036</v>
      </c>
      <c r="U420" s="311">
        <f t="shared" ca="1" si="176"/>
        <v>0</v>
      </c>
      <c r="V420" s="306">
        <f t="shared" ca="1" si="177"/>
        <v>1.0705277413605943</v>
      </c>
      <c r="W420" s="304">
        <f t="shared" ca="1" si="178"/>
        <v>12.467336808982452</v>
      </c>
      <c r="Y420" s="314" t="str">
        <f t="shared" ca="1" si="196"/>
        <v/>
      </c>
      <c r="Z420" s="315" t="str">
        <f t="shared" ca="1" si="197"/>
        <v/>
      </c>
      <c r="AA420" s="316" t="str">
        <f t="shared" ca="1" si="198"/>
        <v/>
      </c>
      <c r="AC420" s="310" t="e">
        <f t="shared" ca="1" si="199"/>
        <v>#N/A</v>
      </c>
      <c r="AD420" s="323" t="e">
        <f t="shared" ca="1" si="200"/>
        <v>#N/A</v>
      </c>
      <c r="AE420" s="324" t="e">
        <f t="shared" ca="1" si="179"/>
        <v>#N/A</v>
      </c>
      <c r="AG420" s="306">
        <f t="shared" ca="1" si="201"/>
        <v>7.5363182555344252</v>
      </c>
      <c r="AH420" s="304">
        <f t="shared" ca="1" si="202"/>
        <v>-1.7034471243485618</v>
      </c>
    </row>
    <row r="421" spans="1:34" x14ac:dyDescent="0.2">
      <c r="A421" s="347">
        <f t="shared" ca="1" si="180"/>
        <v>0.1</v>
      </c>
      <c r="B421" s="304">
        <f t="shared" ca="1" si="181"/>
        <v>23.70000000000007</v>
      </c>
      <c r="D421" s="306">
        <f t="shared" ca="1" si="182"/>
        <v>-0.57771780876651946</v>
      </c>
      <c r="E421" s="307">
        <f t="shared" ca="1" si="183"/>
        <v>-8.1648026938251235</v>
      </c>
      <c r="F421" s="304">
        <f t="shared" ca="1" si="184"/>
        <v>8.1852159956631549</v>
      </c>
      <c r="G421" s="306">
        <f t="shared" ca="1" si="185"/>
        <v>22.074259285309214</v>
      </c>
      <c r="H421" s="307">
        <f t="shared" ca="1" si="186"/>
        <v>-63.843025994205682</v>
      </c>
      <c r="I421" s="304">
        <f t="shared" ca="1" si="187"/>
        <v>67.551498066970225</v>
      </c>
      <c r="J421" s="306">
        <f t="shared" ca="1" si="188"/>
        <v>663.48581463910546</v>
      </c>
      <c r="K421" s="307">
        <f t="shared" ca="1" si="189"/>
        <v>1339.5105126870783</v>
      </c>
      <c r="L421" s="304">
        <f t="shared" ca="1" si="174"/>
        <v>1494.8250198021562</v>
      </c>
      <c r="M421" s="306">
        <f t="shared" ca="1" si="190"/>
        <v>-1.2379052469740124</v>
      </c>
      <c r="N421" s="304">
        <f t="shared" ca="1" si="191"/>
        <v>-70.926746088710729</v>
      </c>
      <c r="P421" s="310">
        <f t="shared" ca="1" si="192"/>
        <v>23</v>
      </c>
      <c r="Q421" s="304">
        <f t="shared" ca="1" si="193"/>
        <v>0</v>
      </c>
      <c r="R421" s="306">
        <f t="shared" ca="1" si="194"/>
        <v>0</v>
      </c>
      <c r="S421" s="307">
        <f t="shared" ca="1" si="195"/>
        <v>7.150000000000003</v>
      </c>
      <c r="T421" s="304">
        <f t="shared" ca="1" si="175"/>
        <v>70.141500000000036</v>
      </c>
      <c r="U421" s="311">
        <f t="shared" ca="1" si="176"/>
        <v>0</v>
      </c>
      <c r="V421" s="306">
        <f t="shared" ca="1" si="177"/>
        <v>1.0712101202306308</v>
      </c>
      <c r="W421" s="304">
        <f t="shared" ca="1" si="178"/>
        <v>12.757749489693287</v>
      </c>
      <c r="Y421" s="314" t="str">
        <f t="shared" ca="1" si="196"/>
        <v/>
      </c>
      <c r="Z421" s="315" t="str">
        <f t="shared" ca="1" si="197"/>
        <v/>
      </c>
      <c r="AA421" s="316" t="str">
        <f t="shared" ca="1" si="198"/>
        <v/>
      </c>
      <c r="AC421" s="310" t="e">
        <f t="shared" ca="1" si="199"/>
        <v>#N/A</v>
      </c>
      <c r="AD421" s="323" t="e">
        <f t="shared" ca="1" si="200"/>
        <v>#N/A</v>
      </c>
      <c r="AE421" s="324" t="e">
        <f t="shared" ca="1" si="179"/>
        <v>#N/A</v>
      </c>
      <c r="AG421" s="306">
        <f t="shared" ca="1" si="201"/>
        <v>7.5122312952584949</v>
      </c>
      <c r="AH421" s="304">
        <f t="shared" ca="1" si="202"/>
        <v>-1.7436834697877548</v>
      </c>
    </row>
    <row r="422" spans="1:34" x14ac:dyDescent="0.2">
      <c r="A422" s="347">
        <f t="shared" ca="1" si="180"/>
        <v>0.1</v>
      </c>
      <c r="B422" s="304">
        <f t="shared" ca="1" si="181"/>
        <v>23.800000000000072</v>
      </c>
      <c r="D422" s="306">
        <f t="shared" ca="1" si="182"/>
        <v>-0.58306796786060133</v>
      </c>
      <c r="E422" s="307">
        <f t="shared" ca="1" si="183"/>
        <v>-8.1236546985616513</v>
      </c>
      <c r="F422" s="304">
        <f t="shared" ca="1" si="184"/>
        <v>8.1445524073829798</v>
      </c>
      <c r="G422" s="306">
        <f t="shared" ca="1" si="185"/>
        <v>22.015952488523155</v>
      </c>
      <c r="H422" s="307">
        <f t="shared" ca="1" si="186"/>
        <v>-64.65539146406185</v>
      </c>
      <c r="I422" s="304">
        <f t="shared" ca="1" si="187"/>
        <v>68.300964922524997</v>
      </c>
      <c r="J422" s="306">
        <f t="shared" ca="1" si="188"/>
        <v>665.69032522779708</v>
      </c>
      <c r="K422" s="307">
        <f t="shared" ca="1" si="189"/>
        <v>1333.0855918141649</v>
      </c>
      <c r="L422" s="304">
        <f t="shared" ca="1" si="174"/>
        <v>1490.05396016534</v>
      </c>
      <c r="M422" s="306">
        <f t="shared" ca="1" si="190"/>
        <v>-1.2425987263892844</v>
      </c>
      <c r="N422" s="304">
        <f t="shared" ca="1" si="191"/>
        <v>-71.195662650437342</v>
      </c>
      <c r="P422" s="310">
        <f t="shared" ca="1" si="192"/>
        <v>23</v>
      </c>
      <c r="Q422" s="304">
        <f t="shared" ca="1" si="193"/>
        <v>0</v>
      </c>
      <c r="R422" s="306">
        <f t="shared" ca="1" si="194"/>
        <v>0</v>
      </c>
      <c r="S422" s="307">
        <f t="shared" ca="1" si="195"/>
        <v>7.150000000000003</v>
      </c>
      <c r="T422" s="304">
        <f t="shared" ca="1" si="175"/>
        <v>70.141500000000036</v>
      </c>
      <c r="U422" s="311">
        <f t="shared" ca="1" si="176"/>
        <v>0</v>
      </c>
      <c r="V422" s="306">
        <f t="shared" ca="1" si="177"/>
        <v>1.0719016736520319</v>
      </c>
      <c r="W422" s="304">
        <f t="shared" ca="1" si="178"/>
        <v>13.050827856091992</v>
      </c>
      <c r="Y422" s="314" t="str">
        <f t="shared" ca="1" si="196"/>
        <v/>
      </c>
      <c r="Z422" s="315" t="str">
        <f t="shared" ca="1" si="197"/>
        <v/>
      </c>
      <c r="AA422" s="316" t="str">
        <f t="shared" ca="1" si="198"/>
        <v/>
      </c>
      <c r="AC422" s="310" t="e">
        <f t="shared" ca="1" si="199"/>
        <v>#N/A</v>
      </c>
      <c r="AD422" s="323" t="e">
        <f t="shared" ca="1" si="200"/>
        <v>#N/A</v>
      </c>
      <c r="AE422" s="324" t="e">
        <f t="shared" ca="1" si="179"/>
        <v>#N/A</v>
      </c>
      <c r="AG422" s="306">
        <f t="shared" ca="1" si="201"/>
        <v>7.4871456452867049</v>
      </c>
      <c r="AH422" s="304">
        <f t="shared" ca="1" si="202"/>
        <v>-1.7843006279291302</v>
      </c>
    </row>
    <row r="423" spans="1:34" x14ac:dyDescent="0.2">
      <c r="A423" s="347">
        <f t="shared" ca="1" si="180"/>
        <v>0.1</v>
      </c>
      <c r="B423" s="304">
        <f t="shared" ca="1" si="181"/>
        <v>23.900000000000073</v>
      </c>
      <c r="D423" s="306">
        <f t="shared" ca="1" si="182"/>
        <v>-0.58835935006831119</v>
      </c>
      <c r="E423" s="307">
        <f t="shared" ca="1" si="183"/>
        <v>-8.0821345297216602</v>
      </c>
      <c r="F423" s="304">
        <f t="shared" ca="1" si="184"/>
        <v>8.1035217826159993</v>
      </c>
      <c r="G423" s="306">
        <f t="shared" ca="1" si="185"/>
        <v>21.957116553516325</v>
      </c>
      <c r="H423" s="307">
        <f t="shared" ca="1" si="186"/>
        <v>-65.463604917034019</v>
      </c>
      <c r="I423" s="304">
        <f t="shared" ca="1" si="187"/>
        <v>69.047798922762354</v>
      </c>
      <c r="J423" s="306">
        <f t="shared" ca="1" si="188"/>
        <v>667.88897867989908</v>
      </c>
      <c r="K423" s="307">
        <f t="shared" ca="1" si="189"/>
        <v>1326.57964199511</v>
      </c>
      <c r="L423" s="304">
        <f t="shared" ca="1" si="174"/>
        <v>1485.2236311067613</v>
      </c>
      <c r="M423" s="306">
        <f t="shared" ca="1" si="190"/>
        <v>-1.2471783662492</v>
      </c>
      <c r="N423" s="304">
        <f t="shared" ca="1" si="191"/>
        <v>-71.458056686100392</v>
      </c>
      <c r="P423" s="310">
        <f t="shared" ca="1" si="192"/>
        <v>23</v>
      </c>
      <c r="Q423" s="304">
        <f t="shared" ca="1" si="193"/>
        <v>0</v>
      </c>
      <c r="R423" s="306">
        <f t="shared" ca="1" si="194"/>
        <v>0</v>
      </c>
      <c r="S423" s="307">
        <f t="shared" ca="1" si="195"/>
        <v>7.150000000000003</v>
      </c>
      <c r="T423" s="304">
        <f t="shared" ca="1" si="175"/>
        <v>70.141500000000036</v>
      </c>
      <c r="U423" s="311">
        <f t="shared" ca="1" si="176"/>
        <v>0</v>
      </c>
      <c r="V423" s="306">
        <f t="shared" ca="1" si="177"/>
        <v>1.0726023733084669</v>
      </c>
      <c r="W423" s="304">
        <f t="shared" ca="1" si="178"/>
        <v>13.346514576087731</v>
      </c>
      <c r="Y423" s="314" t="str">
        <f t="shared" ca="1" si="196"/>
        <v/>
      </c>
      <c r="Z423" s="315" t="str">
        <f t="shared" ca="1" si="197"/>
        <v/>
      </c>
      <c r="AA423" s="316" t="str">
        <f t="shared" ca="1" si="198"/>
        <v/>
      </c>
      <c r="AC423" s="310" t="e">
        <f t="shared" ca="1" si="199"/>
        <v>#N/A</v>
      </c>
      <c r="AD423" s="323" t="e">
        <f t="shared" ca="1" si="200"/>
        <v>#N/A</v>
      </c>
      <c r="AE423" s="324" t="e">
        <f t="shared" ca="1" si="179"/>
        <v>#N/A</v>
      </c>
      <c r="AG423" s="306">
        <f t="shared" ca="1" si="201"/>
        <v>7.4610992826401752</v>
      </c>
      <c r="AH423" s="304">
        <f t="shared" ca="1" si="202"/>
        <v>-1.8252906092436345</v>
      </c>
    </row>
    <row r="424" spans="1:34" x14ac:dyDescent="0.2">
      <c r="A424" s="347">
        <f t="shared" ca="1" si="180"/>
        <v>0.1</v>
      </c>
      <c r="B424" s="304">
        <f t="shared" ca="1" si="181"/>
        <v>24.000000000000075</v>
      </c>
      <c r="D424" s="306">
        <f t="shared" ca="1" si="182"/>
        <v>-0.59359097823799722</v>
      </c>
      <c r="E424" s="307">
        <f t="shared" ca="1" si="183"/>
        <v>-8.0402500791951681</v>
      </c>
      <c r="F424" s="304">
        <f t="shared" ca="1" si="184"/>
        <v>8.0621319503865383</v>
      </c>
      <c r="G424" s="306">
        <f t="shared" ca="1" si="185"/>
        <v>21.897757455692524</v>
      </c>
      <c r="H424" s="307">
        <f t="shared" ca="1" si="186"/>
        <v>-66.267629924953539</v>
      </c>
      <c r="I424" s="304">
        <f t="shared" ca="1" si="187"/>
        <v>69.791908968439429</v>
      </c>
      <c r="J424" s="306">
        <f t="shared" ca="1" si="188"/>
        <v>670.08172238035957</v>
      </c>
      <c r="K424" s="307">
        <f t="shared" ca="1" si="189"/>
        <v>1319.9930802530107</v>
      </c>
      <c r="L424" s="304">
        <f t="shared" ca="1" si="174"/>
        <v>1480.334842724463</v>
      </c>
      <c r="M424" s="306">
        <f t="shared" ca="1" si="190"/>
        <v>-1.2516481945861868</v>
      </c>
      <c r="N424" s="304">
        <f t="shared" ca="1" si="191"/>
        <v>-71.71415898495772</v>
      </c>
      <c r="P424" s="310">
        <f t="shared" ca="1" si="192"/>
        <v>23</v>
      </c>
      <c r="Q424" s="304">
        <f t="shared" ca="1" si="193"/>
        <v>0</v>
      </c>
      <c r="R424" s="306">
        <f t="shared" ca="1" si="194"/>
        <v>0</v>
      </c>
      <c r="S424" s="307">
        <f t="shared" ca="1" si="195"/>
        <v>7.150000000000003</v>
      </c>
      <c r="T424" s="304">
        <f t="shared" ca="1" si="175"/>
        <v>70.141500000000036</v>
      </c>
      <c r="U424" s="311">
        <f t="shared" ca="1" si="176"/>
        <v>0</v>
      </c>
      <c r="V424" s="306">
        <f t="shared" ca="1" si="177"/>
        <v>1.0733121906068885</v>
      </c>
      <c r="W424" s="304">
        <f t="shared" ca="1" si="178"/>
        <v>13.644752130673975</v>
      </c>
      <c r="Y424" s="314" t="str">
        <f t="shared" ca="1" si="196"/>
        <v/>
      </c>
      <c r="Z424" s="315" t="str">
        <f t="shared" ca="1" si="197"/>
        <v/>
      </c>
      <c r="AA424" s="316" t="str">
        <f t="shared" ca="1" si="198"/>
        <v/>
      </c>
      <c r="AC424" s="310">
        <f t="shared" ca="1" si="199"/>
        <v>24.000000000000075</v>
      </c>
      <c r="AD424" s="323">
        <f t="shared" ca="1" si="200"/>
        <v>670.08172238035957</v>
      </c>
      <c r="AE424" s="324" t="e">
        <f t="shared" ca="1" si="179"/>
        <v>#N/A</v>
      </c>
      <c r="AG424" s="306">
        <f t="shared" ca="1" si="201"/>
        <v>7.4341284781357215</v>
      </c>
      <c r="AH424" s="304">
        <f t="shared" ca="1" si="202"/>
        <v>-1.8666453952570246</v>
      </c>
    </row>
    <row r="425" spans="1:34" x14ac:dyDescent="0.2">
      <c r="A425" s="347">
        <f t="shared" ca="1" si="180"/>
        <v>0.1</v>
      </c>
      <c r="B425" s="304">
        <f t="shared" ca="1" si="181"/>
        <v>24.100000000000076</v>
      </c>
      <c r="D425" s="306">
        <f t="shared" ca="1" si="182"/>
        <v>-0.59876192037579257</v>
      </c>
      <c r="E425" s="307">
        <f t="shared" ca="1" si="183"/>
        <v>-7.9980092775297997</v>
      </c>
      <c r="F425" s="304">
        <f t="shared" ca="1" si="184"/>
        <v>8.020390778555921</v>
      </c>
      <c r="G425" s="306">
        <f t="shared" ca="1" si="185"/>
        <v>21.837881263654946</v>
      </c>
      <c r="H425" s="307">
        <f t="shared" ca="1" si="186"/>
        <v>-67.067430852706522</v>
      </c>
      <c r="I425" s="304">
        <f t="shared" ca="1" si="187"/>
        <v>70.533207351346661</v>
      </c>
      <c r="J425" s="306">
        <f t="shared" ca="1" si="188"/>
        <v>672.26850431632693</v>
      </c>
      <c r="K425" s="307">
        <f t="shared" ca="1" si="189"/>
        <v>1313.3263272141278</v>
      </c>
      <c r="L425" s="304">
        <f t="shared" ca="1" si="174"/>
        <v>1475.3884178918654</v>
      </c>
      <c r="M425" s="306">
        <f t="shared" ca="1" si="190"/>
        <v>-1.2560120596835325</v>
      </c>
      <c r="N425" s="304">
        <f t="shared" ca="1" si="191"/>
        <v>-71.964190037400073</v>
      </c>
      <c r="P425" s="310">
        <f t="shared" ca="1" si="192"/>
        <v>23</v>
      </c>
      <c r="Q425" s="304">
        <f t="shared" ca="1" si="193"/>
        <v>0</v>
      </c>
      <c r="R425" s="306">
        <f t="shared" ca="1" si="194"/>
        <v>0</v>
      </c>
      <c r="S425" s="307">
        <f t="shared" ca="1" si="195"/>
        <v>7.150000000000003</v>
      </c>
      <c r="T425" s="304">
        <f t="shared" ca="1" si="175"/>
        <v>70.141500000000036</v>
      </c>
      <c r="U425" s="311">
        <f t="shared" ca="1" si="176"/>
        <v>0</v>
      </c>
      <c r="V425" s="306">
        <f t="shared" ca="1" si="177"/>
        <v>1.0740310966821673</v>
      </c>
      <c r="W425" s="304">
        <f t="shared" ca="1" si="178"/>
        <v>13.945482833902105</v>
      </c>
      <c r="Y425" s="314" t="str">
        <f t="shared" ca="1" si="196"/>
        <v/>
      </c>
      <c r="Z425" s="315" t="str">
        <f t="shared" ca="1" si="197"/>
        <v/>
      </c>
      <c r="AA425" s="316" t="str">
        <f t="shared" ca="1" si="198"/>
        <v/>
      </c>
      <c r="AC425" s="310" t="e">
        <f t="shared" ca="1" si="199"/>
        <v>#N/A</v>
      </c>
      <c r="AD425" s="323" t="e">
        <f t="shared" ca="1" si="200"/>
        <v>#N/A</v>
      </c>
      <c r="AE425" s="324" t="e">
        <f t="shared" ca="1" si="179"/>
        <v>#N/A</v>
      </c>
      <c r="AG425" s="306">
        <f t="shared" ca="1" si="201"/>
        <v>7.406267908037047</v>
      </c>
      <c r="AH425" s="304">
        <f t="shared" ca="1" si="202"/>
        <v>-1.9083569413530028</v>
      </c>
    </row>
    <row r="426" spans="1:34" x14ac:dyDescent="0.2">
      <c r="A426" s="347">
        <f t="shared" ca="1" si="180"/>
        <v>0.1</v>
      </c>
      <c r="B426" s="304">
        <f t="shared" ca="1" si="181"/>
        <v>24.200000000000077</v>
      </c>
      <c r="D426" s="306">
        <f t="shared" ca="1" si="182"/>
        <v>-0.60387128816931268</v>
      </c>
      <c r="E426" s="307">
        <f t="shared" ca="1" si="183"/>
        <v>-7.9554200902431411</v>
      </c>
      <c r="F426" s="304">
        <f t="shared" ca="1" si="184"/>
        <v>7.9783061701666638</v>
      </c>
      <c r="G426" s="306">
        <f t="shared" ca="1" si="185"/>
        <v>21.777494134838015</v>
      </c>
      <c r="H426" s="307">
        <f t="shared" ca="1" si="186"/>
        <v>-67.862972861730839</v>
      </c>
      <c r="I426" s="304">
        <f t="shared" ca="1" si="187"/>
        <v>71.271609610173115</v>
      </c>
      <c r="J426" s="306">
        <f t="shared" ca="1" si="188"/>
        <v>674.44927308625154</v>
      </c>
      <c r="K426" s="307">
        <f t="shared" ca="1" si="189"/>
        <v>1306.5798070284059</v>
      </c>
      <c r="L426" s="304">
        <f t="shared" ca="1" si="174"/>
        <v>1470.3851924244066</v>
      </c>
      <c r="M426" s="306">
        <f t="shared" ca="1" si="190"/>
        <v>-1.2602736394542084</v>
      </c>
      <c r="N426" s="304">
        <f t="shared" ca="1" si="191"/>
        <v>-72.208360572318128</v>
      </c>
      <c r="P426" s="310">
        <f t="shared" ca="1" si="192"/>
        <v>23</v>
      </c>
      <c r="Q426" s="304">
        <f t="shared" ca="1" si="193"/>
        <v>0</v>
      </c>
      <c r="R426" s="306">
        <f t="shared" ca="1" si="194"/>
        <v>0</v>
      </c>
      <c r="S426" s="307">
        <f t="shared" ca="1" si="195"/>
        <v>7.150000000000003</v>
      </c>
      <c r="T426" s="304">
        <f t="shared" ca="1" si="175"/>
        <v>70.141500000000036</v>
      </c>
      <c r="U426" s="311">
        <f t="shared" ca="1" si="176"/>
        <v>0</v>
      </c>
      <c r="V426" s="306">
        <f t="shared" ca="1" si="177"/>
        <v>1.0747590624017638</v>
      </c>
      <c r="W426" s="304">
        <f t="shared" ca="1" si="178"/>
        <v>14.248648852773609</v>
      </c>
      <c r="Y426" s="314" t="str">
        <f t="shared" ca="1" si="196"/>
        <v/>
      </c>
      <c r="Z426" s="315" t="str">
        <f t="shared" ca="1" si="197"/>
        <v/>
      </c>
      <c r="AA426" s="316" t="str">
        <f t="shared" ca="1" si="198"/>
        <v/>
      </c>
      <c r="AC426" s="310" t="e">
        <f t="shared" ca="1" si="199"/>
        <v>#N/A</v>
      </c>
      <c r="AD426" s="323" t="e">
        <f t="shared" ca="1" si="200"/>
        <v>#N/A</v>
      </c>
      <c r="AE426" s="324" t="e">
        <f t="shared" ca="1" si="179"/>
        <v>#N/A</v>
      </c>
      <c r="AG426" s="306">
        <f t="shared" ca="1" si="201"/>
        <v>7.3775507574037373</v>
      </c>
      <c r="AH426" s="304">
        <f t="shared" ca="1" si="202"/>
        <v>-1.9504171795667271</v>
      </c>
    </row>
    <row r="427" spans="1:34" x14ac:dyDescent="0.2">
      <c r="A427" s="347">
        <f t="shared" ca="1" si="180"/>
        <v>0.1</v>
      </c>
      <c r="B427" s="304">
        <f t="shared" ca="1" si="181"/>
        <v>24.300000000000079</v>
      </c>
      <c r="D427" s="306">
        <f t="shared" ca="1" si="182"/>
        <v>-0.6089182355988686</v>
      </c>
      <c r="E427" s="307">
        <f t="shared" ca="1" si="183"/>
        <v>-7.9124905142160697</v>
      </c>
      <c r="F427" s="304">
        <f t="shared" ca="1" si="184"/>
        <v>7.9358860598678032</v>
      </c>
      <c r="G427" s="306">
        <f t="shared" ca="1" si="185"/>
        <v>21.716602311278127</v>
      </c>
      <c r="H427" s="307">
        <f t="shared" ca="1" si="186"/>
        <v>-68.65422191315244</v>
      </c>
      <c r="I427" s="304">
        <f t="shared" ca="1" si="187"/>
        <v>72.007034395582423</v>
      </c>
      <c r="J427" s="306">
        <f t="shared" ca="1" si="188"/>
        <v>676.62397790855732</v>
      </c>
      <c r="K427" s="307">
        <f t="shared" ca="1" si="189"/>
        <v>1299.7539472896617</v>
      </c>
      <c r="L427" s="304">
        <f t="shared" ca="1" si="174"/>
        <v>1465.3260152525297</v>
      </c>
      <c r="M427" s="306">
        <f t="shared" ca="1" si="190"/>
        <v>-1.2644364502784116</v>
      </c>
      <c r="N427" s="304">
        <f t="shared" ca="1" si="191"/>
        <v>-72.446872063456354</v>
      </c>
      <c r="P427" s="310">
        <f t="shared" ca="1" si="192"/>
        <v>23</v>
      </c>
      <c r="Q427" s="304">
        <f t="shared" ca="1" si="193"/>
        <v>0</v>
      </c>
      <c r="R427" s="306">
        <f t="shared" ca="1" si="194"/>
        <v>0</v>
      </c>
      <c r="S427" s="307">
        <f t="shared" ca="1" si="195"/>
        <v>7.150000000000003</v>
      </c>
      <c r="T427" s="304">
        <f t="shared" ca="1" si="175"/>
        <v>70.141500000000036</v>
      </c>
      <c r="U427" s="311">
        <f t="shared" ca="1" si="176"/>
        <v>0</v>
      </c>
      <c r="V427" s="306">
        <f t="shared" ca="1" si="177"/>
        <v>1.075496058370436</v>
      </c>
      <c r="W427" s="304">
        <f t="shared" ca="1" si="178"/>
        <v>14.554192227038691</v>
      </c>
      <c r="Y427" s="314" t="str">
        <f t="shared" ca="1" si="196"/>
        <v/>
      </c>
      <c r="Z427" s="315" t="str">
        <f t="shared" ca="1" si="197"/>
        <v/>
      </c>
      <c r="AA427" s="316" t="str">
        <f t="shared" ca="1" si="198"/>
        <v/>
      </c>
      <c r="AC427" s="310" t="e">
        <f t="shared" ca="1" si="199"/>
        <v>#N/A</v>
      </c>
      <c r="AD427" s="323" t="e">
        <f t="shared" ca="1" si="200"/>
        <v>#N/A</v>
      </c>
      <c r="AE427" s="324" t="e">
        <f t="shared" ca="1" si="179"/>
        <v>#N/A</v>
      </c>
      <c r="AG427" s="306">
        <f t="shared" ca="1" si="201"/>
        <v>7.3480088157830172</v>
      </c>
      <c r="AH427" s="304">
        <f t="shared" ca="1" si="202"/>
        <v>-1.9928180213669375</v>
      </c>
    </row>
    <row r="428" spans="1:34" x14ac:dyDescent="0.2">
      <c r="A428" s="347">
        <f t="shared" ca="1" si="180"/>
        <v>0.1</v>
      </c>
      <c r="B428" s="304">
        <f t="shared" ca="1" si="181"/>
        <v>24.40000000000008</v>
      </c>
      <c r="D428" s="306">
        <f t="shared" ca="1" si="182"/>
        <v>-0.61390195762933175</v>
      </c>
      <c r="E428" s="307">
        <f t="shared" ca="1" si="183"/>
        <v>-7.8692285741626087</v>
      </c>
      <c r="F428" s="304">
        <f t="shared" ca="1" si="184"/>
        <v>7.8931384104168867</v>
      </c>
      <c r="G428" s="306">
        <f t="shared" ca="1" si="185"/>
        <v>21.655212115515194</v>
      </c>
      <c r="H428" s="307">
        <f t="shared" ca="1" si="186"/>
        <v>-69.441144770568698</v>
      </c>
      <c r="I428" s="304">
        <f t="shared" ca="1" si="187"/>
        <v>72.739403343820726</v>
      </c>
      <c r="J428" s="306">
        <f t="shared" ca="1" si="188"/>
        <v>678.792568629897</v>
      </c>
      <c r="K428" s="307">
        <f t="shared" ca="1" si="189"/>
        <v>1292.8491789554757</v>
      </c>
      <c r="L428" s="304">
        <f t="shared" ca="1" si="174"/>
        <v>1460.211748601216</v>
      </c>
      <c r="M428" s="306">
        <f t="shared" ca="1" si="190"/>
        <v>-1.2685038553323589</v>
      </c>
      <c r="N428" s="304">
        <f t="shared" ca="1" si="191"/>
        <v>-72.679917206617716</v>
      </c>
      <c r="P428" s="310">
        <f t="shared" ca="1" si="192"/>
        <v>23</v>
      </c>
      <c r="Q428" s="304">
        <f t="shared" ca="1" si="193"/>
        <v>0</v>
      </c>
      <c r="R428" s="306">
        <f t="shared" ca="1" si="194"/>
        <v>0</v>
      </c>
      <c r="S428" s="307">
        <f t="shared" ca="1" si="195"/>
        <v>7.150000000000003</v>
      </c>
      <c r="T428" s="304">
        <f t="shared" ca="1" si="175"/>
        <v>70.141500000000036</v>
      </c>
      <c r="U428" s="311">
        <f t="shared" ca="1" si="176"/>
        <v>0</v>
      </c>
      <c r="V428" s="306">
        <f t="shared" ca="1" si="177"/>
        <v>1.0762420549349754</v>
      </c>
      <c r="W428" s="304">
        <f t="shared" ca="1" si="178"/>
        <v>14.86205488888929</v>
      </c>
      <c r="Y428" s="314" t="str">
        <f t="shared" ca="1" si="196"/>
        <v/>
      </c>
      <c r="Z428" s="315" t="str">
        <f t="shared" ca="1" si="197"/>
        <v/>
      </c>
      <c r="AA428" s="316" t="str">
        <f t="shared" ca="1" si="198"/>
        <v/>
      </c>
      <c r="AC428" s="310" t="e">
        <f t="shared" ca="1" si="199"/>
        <v>#N/A</v>
      </c>
      <c r="AD428" s="323" t="e">
        <f t="shared" ca="1" si="200"/>
        <v>#N/A</v>
      </c>
      <c r="AE428" s="324" t="e">
        <f t="shared" ca="1" si="179"/>
        <v>#N/A</v>
      </c>
      <c r="AG428" s="306">
        <f t="shared" ca="1" si="201"/>
        <v>7.3176725658383024</v>
      </c>
      <c r="AH428" s="304">
        <f t="shared" ca="1" si="202"/>
        <v>-2.0355513604249906</v>
      </c>
    </row>
    <row r="429" spans="1:34" x14ac:dyDescent="0.2">
      <c r="A429" s="347">
        <f t="shared" ca="1" si="180"/>
        <v>0.1</v>
      </c>
      <c r="B429" s="304">
        <f t="shared" ca="1" si="181"/>
        <v>24.500000000000082</v>
      </c>
      <c r="D429" s="306">
        <f t="shared" ca="1" si="182"/>
        <v>-0.61882168897632694</v>
      </c>
      <c r="E429" s="307">
        <f t="shared" ca="1" si="183"/>
        <v>-7.8256423191724238</v>
      </c>
      <c r="F429" s="304">
        <f t="shared" ca="1" si="184"/>
        <v>7.85007120925472</v>
      </c>
      <c r="G429" s="306">
        <f t="shared" ca="1" si="185"/>
        <v>21.593329946617562</v>
      </c>
      <c r="H429" s="307">
        <f t="shared" ca="1" si="186"/>
        <v>-70.223709002485947</v>
      </c>
      <c r="I429" s="304">
        <f t="shared" ca="1" si="187"/>
        <v>73.46864095823004</v>
      </c>
      <c r="J429" s="306">
        <f t="shared" ca="1" si="188"/>
        <v>680.95499573300367</v>
      </c>
      <c r="K429" s="307">
        <f t="shared" ca="1" si="189"/>
        <v>1285.8659362668229</v>
      </c>
      <c r="L429" s="304">
        <f t="shared" ca="1" si="174"/>
        <v>1455.0432681762727</v>
      </c>
      <c r="M429" s="306">
        <f t="shared" ca="1" si="190"/>
        <v>-1.2724790724390362</v>
      </c>
      <c r="N429" s="304">
        <f t="shared" ca="1" si="191"/>
        <v>-72.907680369478527</v>
      </c>
      <c r="P429" s="310">
        <f t="shared" ca="1" si="192"/>
        <v>23</v>
      </c>
      <c r="Q429" s="304">
        <f t="shared" ca="1" si="193"/>
        <v>0</v>
      </c>
      <c r="R429" s="306">
        <f t="shared" ca="1" si="194"/>
        <v>0</v>
      </c>
      <c r="S429" s="307">
        <f t="shared" ca="1" si="195"/>
        <v>7.150000000000003</v>
      </c>
      <c r="T429" s="304">
        <f t="shared" ca="1" si="175"/>
        <v>70.141500000000036</v>
      </c>
      <c r="U429" s="311">
        <f t="shared" ca="1" si="176"/>
        <v>0</v>
      </c>
      <c r="V429" s="306">
        <f t="shared" ca="1" si="177"/>
        <v>1.0769970221889769</v>
      </c>
      <c r="W429" s="304">
        <f t="shared" ca="1" si="178"/>
        <v>15.172178682534989</v>
      </c>
      <c r="Y429" s="314" t="str">
        <f t="shared" ca="1" si="196"/>
        <v/>
      </c>
      <c r="Z429" s="315" t="str">
        <f t="shared" ca="1" si="197"/>
        <v/>
      </c>
      <c r="AA429" s="316" t="str">
        <f t="shared" ca="1" si="198"/>
        <v/>
      </c>
      <c r="AC429" s="310" t="e">
        <f t="shared" ca="1" si="199"/>
        <v>#N/A</v>
      </c>
      <c r="AD429" s="323" t="e">
        <f t="shared" ca="1" si="200"/>
        <v>#N/A</v>
      </c>
      <c r="AE429" s="324" t="e">
        <f t="shared" ca="1" si="179"/>
        <v>#N/A</v>
      </c>
      <c r="AG429" s="306">
        <f t="shared" ca="1" si="201"/>
        <v>7.2865712654612169</v>
      </c>
      <c r="AH429" s="304">
        <f t="shared" ca="1" si="202"/>
        <v>-2.0786090753691306</v>
      </c>
    </row>
    <row r="430" spans="1:34" x14ac:dyDescent="0.2">
      <c r="A430" s="347">
        <f t="shared" ca="1" si="180"/>
        <v>0.1</v>
      </c>
      <c r="B430" s="304">
        <f t="shared" ca="1" si="181"/>
        <v>24.600000000000083</v>
      </c>
      <c r="D430" s="306">
        <f t="shared" ca="1" si="182"/>
        <v>-0.62367670294092825</v>
      </c>
      <c r="E430" s="307">
        <f t="shared" ca="1" si="183"/>
        <v>-7.7817398193225831</v>
      </c>
      <c r="F430" s="304">
        <f t="shared" ca="1" si="184"/>
        <v>7.8066924651494976</v>
      </c>
      <c r="G430" s="306">
        <f t="shared" ca="1" si="185"/>
        <v>21.530962276323468</v>
      </c>
      <c r="H430" s="307">
        <f t="shared" ca="1" si="186"/>
        <v>-71.001882984418202</v>
      </c>
      <c r="I430" s="304">
        <f t="shared" ca="1" si="187"/>
        <v>74.194674498089682</v>
      </c>
      <c r="J430" s="306">
        <f t="shared" ca="1" si="188"/>
        <v>683.11121034415078</v>
      </c>
      <c r="K430" s="307">
        <f t="shared" ca="1" si="189"/>
        <v>1278.8046566674777</v>
      </c>
      <c r="L430" s="304">
        <f t="shared" ca="1" si="174"/>
        <v>1449.8214633575667</v>
      </c>
      <c r="M430" s="306">
        <f t="shared" ca="1" si="190"/>
        <v>-1.2763651814698276</v>
      </c>
      <c r="N430" s="304">
        <f t="shared" ca="1" si="191"/>
        <v>-73.130338015670546</v>
      </c>
      <c r="P430" s="310">
        <f t="shared" ca="1" si="192"/>
        <v>23</v>
      </c>
      <c r="Q430" s="304">
        <f t="shared" ca="1" si="193"/>
        <v>0</v>
      </c>
      <c r="R430" s="306">
        <f t="shared" ca="1" si="194"/>
        <v>0</v>
      </c>
      <c r="S430" s="307">
        <f t="shared" ca="1" si="195"/>
        <v>7.150000000000003</v>
      </c>
      <c r="T430" s="304">
        <f t="shared" ca="1" si="175"/>
        <v>70.141500000000036</v>
      </c>
      <c r="U430" s="311">
        <f t="shared" ca="1" si="176"/>
        <v>0</v>
      </c>
      <c r="V430" s="306">
        <f t="shared" ca="1" si="177"/>
        <v>1.0777609299776336</v>
      </c>
      <c r="W430" s="304">
        <f t="shared" ca="1" si="178"/>
        <v>15.484505383650582</v>
      </c>
      <c r="Y430" s="314" t="str">
        <f t="shared" ca="1" si="196"/>
        <v/>
      </c>
      <c r="Z430" s="315" t="str">
        <f t="shared" ca="1" si="197"/>
        <v/>
      </c>
      <c r="AA430" s="316" t="str">
        <f t="shared" ca="1" si="198"/>
        <v/>
      </c>
      <c r="AC430" s="310" t="e">
        <f t="shared" ca="1" si="199"/>
        <v>#N/A</v>
      </c>
      <c r="AD430" s="323" t="e">
        <f t="shared" ca="1" si="200"/>
        <v>#N/A</v>
      </c>
      <c r="AE430" s="324" t="e">
        <f t="shared" ca="1" si="179"/>
        <v>#N/A</v>
      </c>
      <c r="AG430" s="306">
        <f t="shared" ca="1" si="201"/>
        <v>7.2547330238703429</v>
      </c>
      <c r="AH430" s="304">
        <f t="shared" ca="1" si="202"/>
        <v>-2.1219830325223752</v>
      </c>
    </row>
    <row r="431" spans="1:34" x14ac:dyDescent="0.2">
      <c r="A431" s="347">
        <f t="shared" ca="1" si="180"/>
        <v>0.1</v>
      </c>
      <c r="B431" s="304">
        <f t="shared" ca="1" si="181"/>
        <v>24.700000000000085</v>
      </c>
      <c r="D431" s="306">
        <f t="shared" ca="1" si="182"/>
        <v>-0.62846631030750644</v>
      </c>
      <c r="E431" s="307">
        <f t="shared" ca="1" si="183"/>
        <v>-7.7375291623555746</v>
      </c>
      <c r="F431" s="304">
        <f t="shared" ca="1" si="184"/>
        <v>7.7630102049072756</v>
      </c>
      <c r="G431" s="306">
        <f t="shared" ca="1" si="185"/>
        <v>21.468115645292716</v>
      </c>
      <c r="H431" s="307">
        <f t="shared" ca="1" si="186"/>
        <v>-71.775635900653754</v>
      </c>
      <c r="I431" s="304">
        <f t="shared" ca="1" si="187"/>
        <v>74.917433874251714</v>
      </c>
      <c r="J431" s="306">
        <f t="shared" ca="1" si="188"/>
        <v>685.26116424023155</v>
      </c>
      <c r="K431" s="307">
        <f t="shared" ca="1" si="189"/>
        <v>1271.6657807232241</v>
      </c>
      <c r="L431" s="304">
        <f t="shared" ca="1" si="174"/>
        <v>1444.547237399416</v>
      </c>
      <c r="M431" s="306">
        <f t="shared" ca="1" si="190"/>
        <v>-1.2801651313242546</v>
      </c>
      <c r="N431" s="304">
        <f t="shared" ca="1" si="191"/>
        <v>-73.348059104690563</v>
      </c>
      <c r="P431" s="310">
        <f t="shared" ca="1" si="192"/>
        <v>23</v>
      </c>
      <c r="Q431" s="304">
        <f t="shared" ca="1" si="193"/>
        <v>0</v>
      </c>
      <c r="R431" s="306">
        <f t="shared" ca="1" si="194"/>
        <v>0</v>
      </c>
      <c r="S431" s="307">
        <f t="shared" ca="1" si="195"/>
        <v>7.150000000000003</v>
      </c>
      <c r="T431" s="304">
        <f t="shared" ca="1" si="175"/>
        <v>70.141500000000036</v>
      </c>
      <c r="U431" s="311">
        <f t="shared" ca="1" si="176"/>
        <v>0</v>
      </c>
      <c r="V431" s="306">
        <f t="shared" ca="1" si="177"/>
        <v>1.0785337479025596</v>
      </c>
      <c r="W431" s="304">
        <f t="shared" ca="1" si="178"/>
        <v>15.79897671868428</v>
      </c>
      <c r="Y431" s="314" t="str">
        <f t="shared" ca="1" si="196"/>
        <v/>
      </c>
      <c r="Z431" s="315" t="str">
        <f t="shared" ca="1" si="197"/>
        <v/>
      </c>
      <c r="AA431" s="316" t="str">
        <f t="shared" ca="1" si="198"/>
        <v/>
      </c>
      <c r="AC431" s="310" t="e">
        <f t="shared" ca="1" si="199"/>
        <v>#N/A</v>
      </c>
      <c r="AD431" s="323" t="e">
        <f t="shared" ca="1" si="200"/>
        <v>#N/A</v>
      </c>
      <c r="AE431" s="324" t="e">
        <f t="shared" ca="1" si="179"/>
        <v>#N/A</v>
      </c>
      <c r="AG431" s="306">
        <f t="shared" ca="1" si="201"/>
        <v>7.2221848721597866</v>
      </c>
      <c r="AH431" s="304">
        <f t="shared" ca="1" si="202"/>
        <v>-2.165665088622458</v>
      </c>
    </row>
    <row r="432" spans="1:34" x14ac:dyDescent="0.2">
      <c r="A432" s="347">
        <f t="shared" ca="1" si="180"/>
        <v>0.1</v>
      </c>
      <c r="B432" s="304">
        <f t="shared" ca="1" si="181"/>
        <v>24.800000000000086</v>
      </c>
      <c r="D432" s="306">
        <f t="shared" ca="1" si="182"/>
        <v>-0.63318985829978747</v>
      </c>
      <c r="E432" s="307">
        <f t="shared" ca="1" si="183"/>
        <v>-7.6930184504210395</v>
      </c>
      <c r="F432" s="304">
        <f t="shared" ca="1" si="184"/>
        <v>7.7190324701462574</v>
      </c>
      <c r="G432" s="306">
        <f t="shared" ca="1" si="185"/>
        <v>21.404796659462736</v>
      </c>
      <c r="H432" s="307">
        <f t="shared" ca="1" si="186"/>
        <v>-72.544937745695862</v>
      </c>
      <c r="I432" s="304">
        <f t="shared" ca="1" si="187"/>
        <v>75.636851551078166</v>
      </c>
      <c r="J432" s="306">
        <f t="shared" ca="1" si="188"/>
        <v>687.40480985546935</v>
      </c>
      <c r="K432" s="307">
        <f t="shared" ca="1" si="189"/>
        <v>1264.4497520409066</v>
      </c>
      <c r="L432" s="304">
        <f t="shared" ca="1" si="174"/>
        <v>1439.2215076383288</v>
      </c>
      <c r="M432" s="306">
        <f t="shared" ca="1" si="190"/>
        <v>-1.2838817465134369</v>
      </c>
      <c r="N432" s="304">
        <f t="shared" ca="1" si="191"/>
        <v>-73.561005469104927</v>
      </c>
      <c r="P432" s="310">
        <f t="shared" ca="1" si="192"/>
        <v>23</v>
      </c>
      <c r="Q432" s="304">
        <f t="shared" ca="1" si="193"/>
        <v>0</v>
      </c>
      <c r="R432" s="306">
        <f t="shared" ca="1" si="194"/>
        <v>0</v>
      </c>
      <c r="S432" s="307">
        <f t="shared" ca="1" si="195"/>
        <v>7.150000000000003</v>
      </c>
      <c r="T432" s="304">
        <f t="shared" ca="1" si="175"/>
        <v>70.141500000000036</v>
      </c>
      <c r="U432" s="311">
        <f t="shared" ca="1" si="176"/>
        <v>0</v>
      </c>
      <c r="V432" s="306">
        <f t="shared" ca="1" si="177"/>
        <v>1.0793154453266354</v>
      </c>
      <c r="W432" s="304">
        <f t="shared" ca="1" si="178"/>
        <v>16.115534384016012</v>
      </c>
      <c r="Y432" s="314" t="str">
        <f t="shared" ca="1" si="196"/>
        <v/>
      </c>
      <c r="Z432" s="315" t="str">
        <f t="shared" ca="1" si="197"/>
        <v/>
      </c>
      <c r="AA432" s="316" t="str">
        <f t="shared" ca="1" si="198"/>
        <v/>
      </c>
      <c r="AC432" s="310" t="e">
        <f t="shared" ca="1" si="199"/>
        <v>#N/A</v>
      </c>
      <c r="AD432" s="323" t="e">
        <f t="shared" ca="1" si="200"/>
        <v>#N/A</v>
      </c>
      <c r="AE432" s="324" t="e">
        <f t="shared" ca="1" si="179"/>
        <v>#N/A</v>
      </c>
      <c r="AG432" s="306">
        <f t="shared" ca="1" si="201"/>
        <v>7.1889528287237425</v>
      </c>
      <c r="AH432" s="304">
        <f t="shared" ca="1" si="202"/>
        <v>-2.2096470935222761</v>
      </c>
    </row>
    <row r="433" spans="1:34" x14ac:dyDescent="0.2">
      <c r="A433" s="347">
        <f t="shared" ca="1" si="180"/>
        <v>0.1</v>
      </c>
      <c r="B433" s="304">
        <f t="shared" ca="1" si="181"/>
        <v>24.900000000000087</v>
      </c>
      <c r="D433" s="306">
        <f t="shared" ca="1" si="182"/>
        <v>-0.63784672959058231</v>
      </c>
      <c r="E433" s="307">
        <f t="shared" ca="1" si="183"/>
        <v>-7.6482157968789624</v>
      </c>
      <c r="F433" s="304">
        <f t="shared" ca="1" si="184"/>
        <v>7.6747673141326116</v>
      </c>
      <c r="G433" s="306">
        <f t="shared" ca="1" si="185"/>
        <v>21.341011986503677</v>
      </c>
      <c r="H433" s="307">
        <f t="shared" ca="1" si="186"/>
        <v>-73.309759325383752</v>
      </c>
      <c r="I433" s="304">
        <f t="shared" ca="1" si="187"/>
        <v>76.352862454224876</v>
      </c>
      <c r="J433" s="306">
        <f t="shared" ca="1" si="188"/>
        <v>689.54210028776765</v>
      </c>
      <c r="K433" s="307">
        <f t="shared" ca="1" si="189"/>
        <v>1257.1570171873525</v>
      </c>
      <c r="L433" s="304">
        <f t="shared" ca="1" si="174"/>
        <v>1433.8452057082966</v>
      </c>
      <c r="M433" s="306">
        <f t="shared" ca="1" si="190"/>
        <v>-1.2875177333713363</v>
      </c>
      <c r="N433" s="304">
        <f t="shared" ca="1" si="191"/>
        <v>-73.769332170427603</v>
      </c>
      <c r="P433" s="310">
        <f t="shared" ca="1" si="192"/>
        <v>23</v>
      </c>
      <c r="Q433" s="304">
        <f t="shared" ca="1" si="193"/>
        <v>0</v>
      </c>
      <c r="R433" s="306">
        <f t="shared" ca="1" si="194"/>
        <v>0</v>
      </c>
      <c r="S433" s="307">
        <f t="shared" ca="1" si="195"/>
        <v>7.150000000000003</v>
      </c>
      <c r="T433" s="304">
        <f t="shared" ca="1" si="175"/>
        <v>70.141500000000036</v>
      </c>
      <c r="U433" s="311">
        <f t="shared" ca="1" si="176"/>
        <v>0</v>
      </c>
      <c r="V433" s="306">
        <f t="shared" ca="1" si="177"/>
        <v>1.0801059913788722</v>
      </c>
      <c r="W433" s="304">
        <f t="shared" ca="1" si="178"/>
        <v>16.434120064955344</v>
      </c>
      <c r="Y433" s="314" t="str">
        <f t="shared" ca="1" si="196"/>
        <v/>
      </c>
      <c r="Z433" s="315" t="str">
        <f t="shared" ca="1" si="197"/>
        <v/>
      </c>
      <c r="AA433" s="316" t="str">
        <f t="shared" ca="1" si="198"/>
        <v/>
      </c>
      <c r="AC433" s="310" t="e">
        <f t="shared" ca="1" si="199"/>
        <v>#N/A</v>
      </c>
      <c r="AD433" s="323" t="e">
        <f t="shared" ca="1" si="200"/>
        <v>#N/A</v>
      </c>
      <c r="AE433" s="324" t="e">
        <f t="shared" ca="1" si="179"/>
        <v>#N/A</v>
      </c>
      <c r="AG433" s="306">
        <f t="shared" ca="1" si="201"/>
        <v>7.1550619599491769</v>
      </c>
      <c r="AH433" s="304">
        <f t="shared" ca="1" si="202"/>
        <v>-2.2539208928693713</v>
      </c>
    </row>
    <row r="434" spans="1:34" x14ac:dyDescent="0.2">
      <c r="A434" s="347">
        <f t="shared" ca="1" si="180"/>
        <v>0.1</v>
      </c>
      <c r="B434" s="304">
        <f t="shared" ca="1" si="181"/>
        <v>25.000000000000089</v>
      </c>
      <c r="D434" s="306">
        <f t="shared" ca="1" si="182"/>
        <v>-0.6424363413609987</v>
      </c>
      <c r="E434" s="307">
        <f t="shared" ca="1" si="183"/>
        <v>-7.6031293231623902</v>
      </c>
      <c r="F434" s="304">
        <f t="shared" ca="1" si="184"/>
        <v>7.6302227986758746</v>
      </c>
      <c r="G434" s="306">
        <f t="shared" ca="1" si="185"/>
        <v>21.276768352367576</v>
      </c>
      <c r="H434" s="307">
        <f t="shared" ca="1" si="186"/>
        <v>-74.070072257699991</v>
      </c>
      <c r="I434" s="304">
        <f t="shared" ca="1" si="187"/>
        <v>77.065403883851843</v>
      </c>
      <c r="J434" s="306">
        <f t="shared" ca="1" si="188"/>
        <v>691.67298930471122</v>
      </c>
      <c r="K434" s="307">
        <f t="shared" ca="1" si="189"/>
        <v>1249.7880256081983</v>
      </c>
      <c r="L434" s="304">
        <f t="shared" ca="1" si="174"/>
        <v>1428.4192777638341</v>
      </c>
      <c r="M434" s="306">
        <f t="shared" ca="1" si="190"/>
        <v>-1.2910756859163848</v>
      </c>
      <c r="N434" s="304">
        <f t="shared" ca="1" si="191"/>
        <v>-73.973187834966708</v>
      </c>
      <c r="P434" s="310">
        <f t="shared" ca="1" si="192"/>
        <v>23</v>
      </c>
      <c r="Q434" s="304">
        <f t="shared" ca="1" si="193"/>
        <v>0</v>
      </c>
      <c r="R434" s="306">
        <f t="shared" ca="1" si="194"/>
        <v>0</v>
      </c>
      <c r="S434" s="307">
        <f t="shared" ca="1" si="195"/>
        <v>7.150000000000003</v>
      </c>
      <c r="T434" s="304">
        <f t="shared" ca="1" si="175"/>
        <v>70.141500000000036</v>
      </c>
      <c r="U434" s="311">
        <f t="shared" ca="1" si="176"/>
        <v>0</v>
      </c>
      <c r="V434" s="306">
        <f t="shared" ca="1" si="177"/>
        <v>1.0809053549593022</v>
      </c>
      <c r="W434" s="304">
        <f t="shared" ca="1" si="178"/>
        <v>16.754675454569362</v>
      </c>
      <c r="Y434" s="314" t="str">
        <f t="shared" ca="1" si="196"/>
        <v/>
      </c>
      <c r="Z434" s="315" t="str">
        <f t="shared" ca="1" si="197"/>
        <v/>
      </c>
      <c r="AA434" s="316" t="str">
        <f t="shared" ca="1" si="198"/>
        <v/>
      </c>
      <c r="AC434" s="310">
        <f t="shared" ca="1" si="199"/>
        <v>25.000000000000089</v>
      </c>
      <c r="AD434" s="323">
        <f t="shared" ca="1" si="200"/>
        <v>691.67298930471122</v>
      </c>
      <c r="AE434" s="324" t="e">
        <f t="shared" ca="1" si="179"/>
        <v>#N/A</v>
      </c>
      <c r="AG434" s="306">
        <f t="shared" ca="1" si="201"/>
        <v>7.120536436537602</v>
      </c>
      <c r="AH434" s="304">
        <f t="shared" ca="1" si="202"/>
        <v>-2.2984783307629844</v>
      </c>
    </row>
    <row r="435" spans="1:34" x14ac:dyDescent="0.2">
      <c r="A435" s="347">
        <f t="shared" ca="1" si="180"/>
        <v>0.1</v>
      </c>
      <c r="B435" s="304">
        <f t="shared" ca="1" si="181"/>
        <v>25.10000000000009</v>
      </c>
      <c r="D435" s="306">
        <f t="shared" ca="1" si="182"/>
        <v>-0.64695814440529475</v>
      </c>
      <c r="E435" s="307">
        <f t="shared" ca="1" si="183"/>
        <v>-7.5577671556979951</v>
      </c>
      <c r="F435" s="304">
        <f t="shared" ca="1" si="184"/>
        <v>7.585406991082265</v>
      </c>
      <c r="G435" s="306">
        <f t="shared" ca="1" si="185"/>
        <v>21.212072537927046</v>
      </c>
      <c r="H435" s="307">
        <f t="shared" ca="1" si="186"/>
        <v>-74.825848973269785</v>
      </c>
      <c r="I435" s="304">
        <f t="shared" ca="1" si="187"/>
        <v>77.774415432871351</v>
      </c>
      <c r="J435" s="306">
        <f t="shared" ca="1" si="188"/>
        <v>693.79743134922592</v>
      </c>
      <c r="K435" s="307">
        <f t="shared" ca="1" si="189"/>
        <v>1242.3432295466498</v>
      </c>
      <c r="L435" s="304">
        <f t="shared" ca="1" si="174"/>
        <v>1422.9446847109637</v>
      </c>
      <c r="M435" s="306">
        <f t="shared" ca="1" si="190"/>
        <v>-1.2945580913847052</v>
      </c>
      <c r="N435" s="304">
        <f t="shared" ca="1" si="191"/>
        <v>-74.172714970854742</v>
      </c>
      <c r="P435" s="310">
        <f t="shared" ca="1" si="192"/>
        <v>23</v>
      </c>
      <c r="Q435" s="304">
        <f t="shared" ca="1" si="193"/>
        <v>0</v>
      </c>
      <c r="R435" s="306">
        <f t="shared" ca="1" si="194"/>
        <v>0</v>
      </c>
      <c r="S435" s="307">
        <f t="shared" ca="1" si="195"/>
        <v>7.150000000000003</v>
      </c>
      <c r="T435" s="304">
        <f t="shared" ca="1" si="175"/>
        <v>70.141500000000036</v>
      </c>
      <c r="U435" s="311">
        <f t="shared" ca="1" si="176"/>
        <v>0</v>
      </c>
      <c r="V435" s="306">
        <f t="shared" ca="1" si="177"/>
        <v>1.0817135047438811</v>
      </c>
      <c r="W435" s="304">
        <f t="shared" ca="1" si="178"/>
        <v>17.077142272330324</v>
      </c>
      <c r="Y435" s="314" t="str">
        <f t="shared" ca="1" si="196"/>
        <v/>
      </c>
      <c r="Z435" s="315" t="str">
        <f t="shared" ca="1" si="197"/>
        <v/>
      </c>
      <c r="AA435" s="316" t="str">
        <f t="shared" ca="1" si="198"/>
        <v/>
      </c>
      <c r="AC435" s="310" t="e">
        <f t="shared" ca="1" si="199"/>
        <v>#N/A</v>
      </c>
      <c r="AD435" s="323" t="e">
        <f t="shared" ca="1" si="200"/>
        <v>#N/A</v>
      </c>
      <c r="AE435" s="324" t="e">
        <f t="shared" ca="1" si="179"/>
        <v>#N/A</v>
      </c>
      <c r="AG435" s="306">
        <f t="shared" ca="1" si="201"/>
        <v>7.0853995857880578</v>
      </c>
      <c r="AH435" s="304">
        <f t="shared" ca="1" si="202"/>
        <v>-2.3433112523873225</v>
      </c>
    </row>
    <row r="436" spans="1:34" x14ac:dyDescent="0.2">
      <c r="A436" s="347">
        <f t="shared" ca="1" si="180"/>
        <v>0.1</v>
      </c>
      <c r="B436" s="304">
        <f t="shared" ca="1" si="181"/>
        <v>25.200000000000092</v>
      </c>
      <c r="D436" s="306">
        <f t="shared" ca="1" si="182"/>
        <v>-0.65141162227781058</v>
      </c>
      <c r="E436" s="307">
        <f t="shared" ca="1" si="183"/>
        <v>-7.5121374228830806</v>
      </c>
      <c r="F436" s="304">
        <f t="shared" ca="1" si="184"/>
        <v>7.5403279611644916</v>
      </c>
      <c r="G436" s="306">
        <f t="shared" ca="1" si="185"/>
        <v>21.146931375699264</v>
      </c>
      <c r="H436" s="307">
        <f t="shared" ca="1" si="186"/>
        <v>-75.5770627155581</v>
      </c>
      <c r="I436" s="304">
        <f t="shared" ca="1" si="187"/>
        <v>78.479838909875042</v>
      </c>
      <c r="J436" s="306">
        <f t="shared" ca="1" si="188"/>
        <v>695.91538154490718</v>
      </c>
      <c r="K436" s="307">
        <f t="shared" ca="1" si="189"/>
        <v>1234.8230839622083</v>
      </c>
      <c r="L436" s="304">
        <f t="shared" ca="1" si="174"/>
        <v>1417.4224024463324</v>
      </c>
      <c r="M436" s="306">
        <f t="shared" ca="1" si="190"/>
        <v>-1.2979673354548282</v>
      </c>
      <c r="N436" s="304">
        <f t="shared" ca="1" si="191"/>
        <v>-74.368050267402793</v>
      </c>
      <c r="P436" s="310">
        <f t="shared" ca="1" si="192"/>
        <v>23</v>
      </c>
      <c r="Q436" s="304">
        <f t="shared" ca="1" si="193"/>
        <v>0</v>
      </c>
      <c r="R436" s="306">
        <f t="shared" ca="1" si="194"/>
        <v>0</v>
      </c>
      <c r="S436" s="307">
        <f t="shared" ca="1" si="195"/>
        <v>7.150000000000003</v>
      </c>
      <c r="T436" s="304">
        <f t="shared" ca="1" si="175"/>
        <v>70.141500000000036</v>
      </c>
      <c r="U436" s="311">
        <f t="shared" ca="1" si="176"/>
        <v>0</v>
      </c>
      <c r="V436" s="306">
        <f t="shared" ca="1" si="177"/>
        <v>1.0825304091894079</v>
      </c>
      <c r="W436" s="304">
        <f t="shared" ca="1" si="178"/>
        <v>17.401462282574165</v>
      </c>
      <c r="Y436" s="314" t="str">
        <f t="shared" ca="1" si="196"/>
        <v/>
      </c>
      <c r="Z436" s="315" t="str">
        <f t="shared" ca="1" si="197"/>
        <v/>
      </c>
      <c r="AA436" s="316" t="str">
        <f t="shared" ca="1" si="198"/>
        <v/>
      </c>
      <c r="AC436" s="310" t="e">
        <f t="shared" ca="1" si="199"/>
        <v>#N/A</v>
      </c>
      <c r="AD436" s="323" t="e">
        <f t="shared" ca="1" si="200"/>
        <v>#N/A</v>
      </c>
      <c r="AE436" s="324" t="e">
        <f t="shared" ca="1" si="179"/>
        <v>#N/A</v>
      </c>
      <c r="AG436" s="306">
        <f t="shared" ca="1" si="201"/>
        <v>7.0496739401471533</v>
      </c>
      <c r="AH436" s="304">
        <f t="shared" ca="1" si="202"/>
        <v>-2.3884115066196245</v>
      </c>
    </row>
    <row r="437" spans="1:34" x14ac:dyDescent="0.2">
      <c r="A437" s="347">
        <f t="shared" ca="1" si="180"/>
        <v>0.1</v>
      </c>
      <c r="B437" s="304">
        <f t="shared" ca="1" si="181"/>
        <v>25.300000000000093</v>
      </c>
      <c r="D437" s="306">
        <f t="shared" ca="1" si="182"/>
        <v>-0.65579629047872079</v>
      </c>
      <c r="E437" s="307">
        <f t="shared" ca="1" si="183"/>
        <v>-7.4662482521177758</v>
      </c>
      <c r="F437" s="304">
        <f t="shared" ca="1" si="184"/>
        <v>7.4949937783067835</v>
      </c>
      <c r="G437" s="306">
        <f t="shared" ca="1" si="185"/>
        <v>21.081351746651393</v>
      </c>
      <c r="H437" s="307">
        <f t="shared" ca="1" si="186"/>
        <v>-76.323687540769882</v>
      </c>
      <c r="I437" s="304">
        <f t="shared" ca="1" si="187"/>
        <v>79.181618266407725</v>
      </c>
      <c r="J437" s="306">
        <f t="shared" ca="1" si="188"/>
        <v>698.02679570102475</v>
      </c>
      <c r="K437" s="307">
        <f t="shared" ca="1" si="189"/>
        <v>1227.228046449392</v>
      </c>
      <c r="L437" s="304">
        <f t="shared" ca="1" si="174"/>
        <v>1411.8534221046571</v>
      </c>
      <c r="M437" s="306">
        <f t="shared" ca="1" si="190"/>
        <v>-1.30130570718256</v>
      </c>
      <c r="N437" s="304">
        <f t="shared" ca="1" si="191"/>
        <v>-74.559324877847629</v>
      </c>
      <c r="P437" s="310">
        <f t="shared" ca="1" si="192"/>
        <v>23</v>
      </c>
      <c r="Q437" s="304">
        <f t="shared" ca="1" si="193"/>
        <v>0</v>
      </c>
      <c r="R437" s="306">
        <f t="shared" ca="1" si="194"/>
        <v>0</v>
      </c>
      <c r="S437" s="307">
        <f t="shared" ca="1" si="195"/>
        <v>7.150000000000003</v>
      </c>
      <c r="T437" s="304">
        <f t="shared" ca="1" si="175"/>
        <v>70.141500000000036</v>
      </c>
      <c r="U437" s="311">
        <f t="shared" ca="1" si="176"/>
        <v>0</v>
      </c>
      <c r="V437" s="306">
        <f t="shared" ca="1" si="177"/>
        <v>1.083356036538462</v>
      </c>
      <c r="W437" s="304">
        <f t="shared" ca="1" si="178"/>
        <v>17.727577312760513</v>
      </c>
      <c r="Y437" s="314" t="str">
        <f t="shared" ca="1" si="196"/>
        <v/>
      </c>
      <c r="Z437" s="315" t="str">
        <f t="shared" ca="1" si="197"/>
        <v/>
      </c>
      <c r="AA437" s="316" t="str">
        <f t="shared" ca="1" si="198"/>
        <v/>
      </c>
      <c r="AC437" s="310" t="e">
        <f t="shared" ca="1" si="199"/>
        <v>#N/A</v>
      </c>
      <c r="AD437" s="323" t="e">
        <f t="shared" ca="1" si="200"/>
        <v>#N/A</v>
      </c>
      <c r="AE437" s="324" t="e">
        <f t="shared" ca="1" si="179"/>
        <v>#N/A</v>
      </c>
      <c r="AG437" s="306">
        <f t="shared" ca="1" si="201"/>
        <v>7.0133812823076793</v>
      </c>
      <c r="AH437" s="304">
        <f t="shared" ca="1" si="202"/>
        <v>-2.4337709486117705</v>
      </c>
    </row>
    <row r="438" spans="1:34" x14ac:dyDescent="0.2">
      <c r="A438" s="347">
        <f t="shared" ca="1" si="180"/>
        <v>0.1</v>
      </c>
      <c r="B438" s="304">
        <f t="shared" ca="1" si="181"/>
        <v>25.400000000000095</v>
      </c>
      <c r="D438" s="306">
        <f t="shared" ca="1" si="182"/>
        <v>-0.66011169567559935</v>
      </c>
      <c r="E438" s="307">
        <f t="shared" ca="1" si="183"/>
        <v>-7.4201077668914177</v>
      </c>
      <c r="F438" s="304">
        <f t="shared" ca="1" si="184"/>
        <v>7.449412508584154</v>
      </c>
      <c r="G438" s="306">
        <f t="shared" ca="1" si="185"/>
        <v>21.015340577083833</v>
      </c>
      <c r="H438" s="307">
        <f t="shared" ca="1" si="186"/>
        <v>-77.065698317459024</v>
      </c>
      <c r="I438" s="304">
        <f t="shared" ca="1" si="187"/>
        <v>79.879699528280852</v>
      </c>
      <c r="J438" s="306">
        <f t="shared" ca="1" si="188"/>
        <v>700.13163031721149</v>
      </c>
      <c r="K438" s="307">
        <f t="shared" ca="1" si="189"/>
        <v>1219.5585771564806</v>
      </c>
      <c r="L438" s="304">
        <f t="shared" ca="1" si="174"/>
        <v>1406.238750314674</v>
      </c>
      <c r="M438" s="306">
        <f t="shared" ca="1" si="190"/>
        <v>-1.3045754036635033</v>
      </c>
      <c r="N438" s="304">
        <f t="shared" ca="1" si="191"/>
        <v>-74.746664686494455</v>
      </c>
      <c r="P438" s="310">
        <f t="shared" ca="1" si="192"/>
        <v>23</v>
      </c>
      <c r="Q438" s="304">
        <f t="shared" ca="1" si="193"/>
        <v>0</v>
      </c>
      <c r="R438" s="306">
        <f t="shared" ca="1" si="194"/>
        <v>0</v>
      </c>
      <c r="S438" s="307">
        <f t="shared" ca="1" si="195"/>
        <v>7.150000000000003</v>
      </c>
      <c r="T438" s="304">
        <f t="shared" ca="1" si="175"/>
        <v>70.141500000000036</v>
      </c>
      <c r="U438" s="311">
        <f t="shared" ca="1" si="176"/>
        <v>0</v>
      </c>
      <c r="V438" s="306">
        <f t="shared" ca="1" si="177"/>
        <v>1.0841903548243477</v>
      </c>
      <c r="W438" s="304">
        <f t="shared" ca="1" si="178"/>
        <v>18.055429271525487</v>
      </c>
      <c r="Y438" s="314" t="str">
        <f t="shared" ca="1" si="196"/>
        <v/>
      </c>
      <c r="Z438" s="315" t="str">
        <f t="shared" ca="1" si="197"/>
        <v/>
      </c>
      <c r="AA438" s="316" t="str">
        <f t="shared" ca="1" si="198"/>
        <v/>
      </c>
      <c r="AC438" s="310" t="e">
        <f t="shared" ca="1" si="199"/>
        <v>#N/A</v>
      </c>
      <c r="AD438" s="323" t="e">
        <f t="shared" ca="1" si="200"/>
        <v>#N/A</v>
      </c>
      <c r="AE438" s="324" t="e">
        <f t="shared" ca="1" si="179"/>
        <v>#N/A</v>
      </c>
      <c r="AG438" s="306">
        <f t="shared" ca="1" si="201"/>
        <v>6.9765426871150789</v>
      </c>
      <c r="AH438" s="304">
        <f t="shared" ca="1" si="202"/>
        <v>-2.4793814423441267</v>
      </c>
    </row>
    <row r="439" spans="1:34" x14ac:dyDescent="0.2">
      <c r="A439" s="347">
        <f t="shared" ca="1" si="180"/>
        <v>0.1</v>
      </c>
      <c r="B439" s="304">
        <f t="shared" ca="1" si="181"/>
        <v>25.500000000000096</v>
      </c>
      <c r="D439" s="306">
        <f t="shared" ca="1" si="182"/>
        <v>-0.66435741495801581</v>
      </c>
      <c r="E439" s="307">
        <f t="shared" ca="1" si="183"/>
        <v>-7.3737240839222249</v>
      </c>
      <c r="F439" s="304">
        <f t="shared" ca="1" si="184"/>
        <v>7.403592211934984</v>
      </c>
      <c r="G439" s="306">
        <f t="shared" ca="1" si="185"/>
        <v>20.948904835588031</v>
      </c>
      <c r="H439" s="307">
        <f t="shared" ca="1" si="186"/>
        <v>-77.803070725851242</v>
      </c>
      <c r="I439" s="304">
        <f t="shared" ca="1" si="187"/>
        <v>80.57403073064134</v>
      </c>
      <c r="J439" s="306">
        <f t="shared" ca="1" si="188"/>
        <v>702.22984258784504</v>
      </c>
      <c r="K439" s="307">
        <f t="shared" ca="1" si="189"/>
        <v>1211.8151387043151</v>
      </c>
      <c r="L439" s="304">
        <f t="shared" ca="1" si="174"/>
        <v>1400.579409463779</v>
      </c>
      <c r="M439" s="306">
        <f t="shared" ca="1" si="190"/>
        <v>-1.3077785344396267</v>
      </c>
      <c r="N439" s="304">
        <f t="shared" ca="1" si="191"/>
        <v>-74.930190561194792</v>
      </c>
      <c r="P439" s="310">
        <f t="shared" ca="1" si="192"/>
        <v>23</v>
      </c>
      <c r="Q439" s="304">
        <f t="shared" ca="1" si="193"/>
        <v>0</v>
      </c>
      <c r="R439" s="306">
        <f t="shared" ca="1" si="194"/>
        <v>0</v>
      </c>
      <c r="S439" s="307">
        <f t="shared" ca="1" si="195"/>
        <v>7.150000000000003</v>
      </c>
      <c r="T439" s="304">
        <f t="shared" ca="1" si="175"/>
        <v>70.141500000000036</v>
      </c>
      <c r="U439" s="311">
        <f t="shared" ca="1" si="176"/>
        <v>0</v>
      </c>
      <c r="V439" s="306">
        <f t="shared" ca="1" si="177"/>
        <v>1.0850333318760517</v>
      </c>
      <c r="W439" s="304">
        <f t="shared" ca="1" si="178"/>
        <v>18.384960166518841</v>
      </c>
      <c r="Y439" s="314" t="str">
        <f t="shared" ca="1" si="196"/>
        <v/>
      </c>
      <c r="Z439" s="315" t="str">
        <f t="shared" ca="1" si="197"/>
        <v/>
      </c>
      <c r="AA439" s="316" t="str">
        <f t="shared" ca="1" si="198"/>
        <v/>
      </c>
      <c r="AC439" s="310" t="e">
        <f t="shared" ca="1" si="199"/>
        <v>#N/A</v>
      </c>
      <c r="AD439" s="323" t="e">
        <f t="shared" ca="1" si="200"/>
        <v>#N/A</v>
      </c>
      <c r="AE439" s="324" t="e">
        <f t="shared" ca="1" si="179"/>
        <v>#N/A</v>
      </c>
      <c r="AG439" s="306">
        <f t="shared" ca="1" si="201"/>
        <v>6.9391785605206557</v>
      </c>
      <c r="AH439" s="304">
        <f t="shared" ca="1" si="202"/>
        <v>-2.5252348631504167</v>
      </c>
    </row>
    <row r="440" spans="1:34" x14ac:dyDescent="0.2">
      <c r="A440" s="347">
        <f t="shared" ca="1" si="180"/>
        <v>0.1</v>
      </c>
      <c r="B440" s="304">
        <f t="shared" ca="1" si="181"/>
        <v>25.600000000000097</v>
      </c>
      <c r="D440" s="306">
        <f t="shared" ca="1" si="182"/>
        <v>-0.66853305512261674</v>
      </c>
      <c r="E440" s="307">
        <f t="shared" ca="1" si="183"/>
        <v>-7.3271053103495412</v>
      </c>
      <c r="F440" s="304">
        <f t="shared" ca="1" si="184"/>
        <v>7.3575409393862037</v>
      </c>
      <c r="G440" s="306">
        <f t="shared" ca="1" si="185"/>
        <v>20.882051530075771</v>
      </c>
      <c r="H440" s="307">
        <f t="shared" ca="1" si="186"/>
        <v>-78.535781256886196</v>
      </c>
      <c r="I440" s="304">
        <f t="shared" ca="1" si="187"/>
        <v>81.264561856532623</v>
      </c>
      <c r="J440" s="306">
        <f t="shared" ca="1" si="188"/>
        <v>704.32139040612822</v>
      </c>
      <c r="K440" s="307">
        <f t="shared" ca="1" si="189"/>
        <v>1203.9981961051783</v>
      </c>
      <c r="L440" s="304">
        <f t="shared" ca="1" si="174"/>
        <v>1394.8764379715305</v>
      </c>
      <c r="M440" s="306">
        <f t="shared" ca="1" si="190"/>
        <v>-1.3109171256652501</v>
      </c>
      <c r="N440" s="304">
        <f t="shared" ca="1" si="191"/>
        <v>-75.110018592039808</v>
      </c>
      <c r="P440" s="310">
        <f t="shared" ca="1" si="192"/>
        <v>23</v>
      </c>
      <c r="Q440" s="304">
        <f t="shared" ca="1" si="193"/>
        <v>0</v>
      </c>
      <c r="R440" s="306">
        <f t="shared" ca="1" si="194"/>
        <v>0</v>
      </c>
      <c r="S440" s="307">
        <f t="shared" ca="1" si="195"/>
        <v>7.150000000000003</v>
      </c>
      <c r="T440" s="304">
        <f t="shared" ca="1" si="175"/>
        <v>70.141500000000036</v>
      </c>
      <c r="U440" s="311">
        <f t="shared" ca="1" si="176"/>
        <v>0</v>
      </c>
      <c r="V440" s="306">
        <f t="shared" ca="1" si="177"/>
        <v>1.0858849353232112</v>
      </c>
      <c r="W440" s="304">
        <f t="shared" ca="1" si="178"/>
        <v>18.716112122017329</v>
      </c>
      <c r="Y440" s="314" t="str">
        <f t="shared" ca="1" si="196"/>
        <v/>
      </c>
      <c r="Z440" s="315" t="str">
        <f t="shared" ca="1" si="197"/>
        <v/>
      </c>
      <c r="AA440" s="316" t="str">
        <f t="shared" ca="1" si="198"/>
        <v/>
      </c>
      <c r="AC440" s="310" t="e">
        <f t="shared" ca="1" si="199"/>
        <v>#N/A</v>
      </c>
      <c r="AD440" s="323" t="e">
        <f t="shared" ca="1" si="200"/>
        <v>#N/A</v>
      </c>
      <c r="AE440" s="324" t="e">
        <f t="shared" ca="1" si="179"/>
        <v>#N/A</v>
      </c>
      <c r="AG440" s="306">
        <f t="shared" ca="1" si="201"/>
        <v>6.901308675801566</v>
      </c>
      <c r="AH440" s="304">
        <f t="shared" ca="1" si="202"/>
        <v>-2.5713231002124242</v>
      </c>
    </row>
    <row r="441" spans="1:34" x14ac:dyDescent="0.2">
      <c r="A441" s="347">
        <f t="shared" ca="1" si="180"/>
        <v>0.1</v>
      </c>
      <c r="B441" s="304">
        <f t="shared" ca="1" si="181"/>
        <v>25.700000000000099</v>
      </c>
      <c r="D441" s="306">
        <f t="shared" ca="1" si="182"/>
        <v>-0.67263825198634375</v>
      </c>
      <c r="E441" s="307">
        <f t="shared" ca="1" si="183"/>
        <v>-7.2802595409780562</v>
      </c>
      <c r="F441" s="304">
        <f t="shared" ca="1" si="184"/>
        <v>7.3112667303304741</v>
      </c>
      <c r="G441" s="306">
        <f t="shared" ca="1" si="185"/>
        <v>20.814787704877137</v>
      </c>
      <c r="H441" s="307">
        <f t="shared" ca="1" si="186"/>
        <v>-79.263807210983998</v>
      </c>
      <c r="I441" s="304">
        <f t="shared" ca="1" si="187"/>
        <v>81.951244778704506</v>
      </c>
      <c r="J441" s="306">
        <f t="shared" ca="1" si="188"/>
        <v>706.40623236787587</v>
      </c>
      <c r="K441" s="307">
        <f t="shared" ca="1" si="189"/>
        <v>1196.1082166817848</v>
      </c>
      <c r="L441" s="304">
        <f t="shared" ca="1" si="174"/>
        <v>1389.1308905721796</v>
      </c>
      <c r="M441" s="306">
        <f t="shared" ca="1" si="190"/>
        <v>-1.3139931240468501</v>
      </c>
      <c r="N441" s="304">
        <f t="shared" ca="1" si="191"/>
        <v>-75.286260317094559</v>
      </c>
      <c r="P441" s="310">
        <f t="shared" ca="1" si="192"/>
        <v>23</v>
      </c>
      <c r="Q441" s="304">
        <f t="shared" ca="1" si="193"/>
        <v>0</v>
      </c>
      <c r="R441" s="306">
        <f t="shared" ca="1" si="194"/>
        <v>0</v>
      </c>
      <c r="S441" s="307">
        <f t="shared" ca="1" si="195"/>
        <v>7.150000000000003</v>
      </c>
      <c r="T441" s="304">
        <f t="shared" ca="1" si="175"/>
        <v>70.141500000000036</v>
      </c>
      <c r="U441" s="311">
        <f t="shared" ca="1" si="176"/>
        <v>0</v>
      </c>
      <c r="V441" s="306">
        <f t="shared" ca="1" si="177"/>
        <v>1.0867451326010862</v>
      </c>
      <c r="W441" s="304">
        <f t="shared" ca="1" si="178"/>
        <v>19.048827396306294</v>
      </c>
      <c r="Y441" s="314" t="str">
        <f t="shared" ca="1" si="196"/>
        <v/>
      </c>
      <c r="Z441" s="315" t="str">
        <f t="shared" ca="1" si="197"/>
        <v/>
      </c>
      <c r="AA441" s="316" t="str">
        <f t="shared" ca="1" si="198"/>
        <v/>
      </c>
      <c r="AC441" s="310" t="e">
        <f t="shared" ca="1" si="199"/>
        <v>#N/A</v>
      </c>
      <c r="AD441" s="323" t="e">
        <f t="shared" ca="1" si="200"/>
        <v>#N/A</v>
      </c>
      <c r="AE441" s="324" t="e">
        <f t="shared" ca="1" si="179"/>
        <v>#N/A</v>
      </c>
      <c r="AG441" s="306">
        <f t="shared" ca="1" si="201"/>
        <v>6.862952207250463</v>
      </c>
      <c r="AH441" s="304">
        <f t="shared" ca="1" si="202"/>
        <v>-2.6176380590234016</v>
      </c>
    </row>
    <row r="442" spans="1:34" x14ac:dyDescent="0.2">
      <c r="A442" s="347">
        <f t="shared" ca="1" si="180"/>
        <v>0.1</v>
      </c>
      <c r="B442" s="304">
        <f t="shared" ca="1" si="181"/>
        <v>25.8000000000001</v>
      </c>
      <c r="D442" s="306">
        <f t="shared" ca="1" si="182"/>
        <v>-0.6766726697256118</v>
      </c>
      <c r="E442" s="307">
        <f t="shared" ca="1" si="183"/>
        <v>-7.2331948555735082</v>
      </c>
      <c r="F442" s="304">
        <f t="shared" ca="1" si="184"/>
        <v>7.2647776098548711</v>
      </c>
      <c r="G442" s="306">
        <f t="shared" ca="1" si="185"/>
        <v>20.747120437904577</v>
      </c>
      <c r="H442" s="307">
        <f t="shared" ca="1" si="186"/>
        <v>-79.987126696541353</v>
      </c>
      <c r="I442" s="304">
        <f t="shared" ca="1" si="187"/>
        <v>82.634033204445956</v>
      </c>
      <c r="J442" s="306">
        <f t="shared" ca="1" si="188"/>
        <v>708.484327775015</v>
      </c>
      <c r="K442" s="307">
        <f t="shared" ca="1" si="189"/>
        <v>1188.1456699864086</v>
      </c>
      <c r="L442" s="304">
        <f t="shared" ca="1" si="174"/>
        <v>1383.3438386063917</v>
      </c>
      <c r="M442" s="306">
        <f t="shared" ca="1" si="190"/>
        <v>-1.3170084005701739</v>
      </c>
      <c r="N442" s="304">
        <f t="shared" ca="1" si="191"/>
        <v>-75.459022935945882</v>
      </c>
      <c r="P442" s="310">
        <f t="shared" ca="1" si="192"/>
        <v>23</v>
      </c>
      <c r="Q442" s="304">
        <f t="shared" ca="1" si="193"/>
        <v>0</v>
      </c>
      <c r="R442" s="306">
        <f t="shared" ca="1" si="194"/>
        <v>0</v>
      </c>
      <c r="S442" s="307">
        <f t="shared" ca="1" si="195"/>
        <v>7.150000000000003</v>
      </c>
      <c r="T442" s="304">
        <f t="shared" ca="1" si="175"/>
        <v>70.141500000000036</v>
      </c>
      <c r="U442" s="311">
        <f t="shared" ca="1" si="176"/>
        <v>0</v>
      </c>
      <c r="V442" s="306">
        <f t="shared" ca="1" si="177"/>
        <v>1.0876138909555377</v>
      </c>
      <c r="W442" s="304">
        <f t="shared" ca="1" si="178"/>
        <v>19.383048398822062</v>
      </c>
      <c r="Y442" s="314" t="str">
        <f t="shared" ca="1" si="196"/>
        <v/>
      </c>
      <c r="Z442" s="315" t="str">
        <f t="shared" ca="1" si="197"/>
        <v/>
      </c>
      <c r="AA442" s="316" t="str">
        <f t="shared" ca="1" si="198"/>
        <v/>
      </c>
      <c r="AC442" s="310" t="e">
        <f t="shared" ca="1" si="199"/>
        <v>#N/A</v>
      </c>
      <c r="AD442" s="323" t="e">
        <f t="shared" ca="1" si="200"/>
        <v>#N/A</v>
      </c>
      <c r="AE442" s="324" t="e">
        <f t="shared" ca="1" si="179"/>
        <v>#N/A</v>
      </c>
      <c r="AG442" s="306">
        <f t="shared" ca="1" si="201"/>
        <v>6.824127761521833</v>
      </c>
      <c r="AH442" s="304">
        <f t="shared" ca="1" si="202"/>
        <v>-2.6641716638190611</v>
      </c>
    </row>
    <row r="443" spans="1:34" x14ac:dyDescent="0.2">
      <c r="A443" s="347">
        <f t="shared" ca="1" si="180"/>
        <v>0.1</v>
      </c>
      <c r="B443" s="304">
        <f t="shared" ca="1" si="181"/>
        <v>25.900000000000102</v>
      </c>
      <c r="D443" s="306">
        <f t="shared" ca="1" si="182"/>
        <v>-0.68063600023946591</v>
      </c>
      <c r="E443" s="307">
        <f t="shared" ca="1" si="183"/>
        <v>-7.1859193162094606</v>
      </c>
      <c r="F443" s="304">
        <f t="shared" ca="1" si="184"/>
        <v>7.2180815861206655</v>
      </c>
      <c r="G443" s="306">
        <f t="shared" ca="1" si="185"/>
        <v>20.67905683788063</v>
      </c>
      <c r="H443" s="307">
        <f t="shared" ca="1" si="186"/>
        <v>-80.705718628162302</v>
      </c>
      <c r="I443" s="304">
        <f t="shared" ca="1" si="187"/>
        <v>83.312882623231815</v>
      </c>
      <c r="J443" s="306">
        <f t="shared" ca="1" si="188"/>
        <v>710.55563663880423</v>
      </c>
      <c r="K443" s="307">
        <f t="shared" ca="1" si="189"/>
        <v>1180.1110277201735</v>
      </c>
      <c r="L443" s="304">
        <f t="shared" ca="1" si="174"/>
        <v>1377.5163703223061</v>
      </c>
      <c r="M443" s="306">
        <f t="shared" ca="1" si="190"/>
        <v>-1.3199647540273067</v>
      </c>
      <c r="N443" s="304">
        <f t="shared" ca="1" si="191"/>
        <v>-75.628409511788504</v>
      </c>
      <c r="P443" s="310">
        <f t="shared" ca="1" si="192"/>
        <v>23</v>
      </c>
      <c r="Q443" s="304">
        <f t="shared" ca="1" si="193"/>
        <v>0</v>
      </c>
      <c r="R443" s="306">
        <f t="shared" ca="1" si="194"/>
        <v>0</v>
      </c>
      <c r="S443" s="307">
        <f t="shared" ca="1" si="195"/>
        <v>7.150000000000003</v>
      </c>
      <c r="T443" s="304">
        <f t="shared" ca="1" si="175"/>
        <v>70.141500000000036</v>
      </c>
      <c r="U443" s="311">
        <f t="shared" ca="1" si="176"/>
        <v>0</v>
      </c>
      <c r="V443" s="306">
        <f t="shared" ca="1" si="177"/>
        <v>1.0884911774480135</v>
      </c>
      <c r="W443" s="304">
        <f t="shared" ca="1" si="178"/>
        <v>19.718717707047826</v>
      </c>
      <c r="Y443" s="314" t="str">
        <f t="shared" ca="1" si="196"/>
        <v/>
      </c>
      <c r="Z443" s="315" t="str">
        <f t="shared" ca="1" si="197"/>
        <v/>
      </c>
      <c r="AA443" s="316" t="str">
        <f t="shared" ca="1" si="198"/>
        <v/>
      </c>
      <c r="AC443" s="310" t="e">
        <f t="shared" ca="1" si="199"/>
        <v>#N/A</v>
      </c>
      <c r="AD443" s="323" t="e">
        <f t="shared" ca="1" si="200"/>
        <v>#N/A</v>
      </c>
      <c r="AE443" s="324" t="e">
        <f t="shared" ca="1" si="179"/>
        <v>#N/A</v>
      </c>
      <c r="AG443" s="306">
        <f t="shared" ca="1" si="201"/>
        <v>6.7848534068074864</v>
      </c>
      <c r="AH443" s="304">
        <f t="shared" ca="1" si="202"/>
        <v>-2.7109158599751124</v>
      </c>
    </row>
    <row r="444" spans="1:34" x14ac:dyDescent="0.2">
      <c r="A444" s="347">
        <f t="shared" ca="1" si="180"/>
        <v>0.1</v>
      </c>
      <c r="B444" s="304">
        <f t="shared" ca="1" si="181"/>
        <v>26.000000000000103</v>
      </c>
      <c r="D444" s="306">
        <f t="shared" ca="1" si="182"/>
        <v>-0.6845279625348758</v>
      </c>
      <c r="E444" s="307">
        <f t="shared" ca="1" si="183"/>
        <v>-7.138440964664861</v>
      </c>
      <c r="F444" s="304">
        <f t="shared" ca="1" si="184"/>
        <v>7.1711866477939017</v>
      </c>
      <c r="G444" s="306">
        <f t="shared" ca="1" si="185"/>
        <v>20.610604041627141</v>
      </c>
      <c r="H444" s="307">
        <f t="shared" ca="1" si="186"/>
        <v>-81.41956272462879</v>
      </c>
      <c r="I444" s="304">
        <f t="shared" ca="1" si="187"/>
        <v>83.987750256989855</v>
      </c>
      <c r="J444" s="306">
        <f t="shared" ca="1" si="188"/>
        <v>712.62011968277966</v>
      </c>
      <c r="K444" s="307">
        <f t="shared" ca="1" si="189"/>
        <v>1172.0047636525339</v>
      </c>
      <c r="L444" s="304">
        <f t="shared" ca="1" si="174"/>
        <v>1371.6495911860766</v>
      </c>
      <c r="M444" s="306">
        <f t="shared" ca="1" si="190"/>
        <v>-1.3228639143555385</v>
      </c>
      <c r="N444" s="304">
        <f t="shared" ca="1" si="191"/>
        <v>-75.794519162727951</v>
      </c>
      <c r="P444" s="310">
        <f t="shared" ca="1" si="192"/>
        <v>23</v>
      </c>
      <c r="Q444" s="304">
        <f t="shared" ca="1" si="193"/>
        <v>0</v>
      </c>
      <c r="R444" s="306">
        <f t="shared" ca="1" si="194"/>
        <v>0</v>
      </c>
      <c r="S444" s="307">
        <f t="shared" ca="1" si="195"/>
        <v>7.150000000000003</v>
      </c>
      <c r="T444" s="304">
        <f t="shared" ca="1" si="175"/>
        <v>70.141500000000036</v>
      </c>
      <c r="U444" s="311">
        <f t="shared" ca="1" si="176"/>
        <v>0</v>
      </c>
      <c r="V444" s="306">
        <f t="shared" ca="1" si="177"/>
        <v>1.0893769589605298</v>
      </c>
      <c r="W444" s="304">
        <f t="shared" ca="1" si="178"/>
        <v>20.055778083156063</v>
      </c>
      <c r="Y444" s="314" t="str">
        <f t="shared" ca="1" si="196"/>
        <v/>
      </c>
      <c r="Z444" s="315" t="str">
        <f t="shared" ca="1" si="197"/>
        <v/>
      </c>
      <c r="AA444" s="316" t="str">
        <f t="shared" ca="1" si="198"/>
        <v/>
      </c>
      <c r="AC444" s="310">
        <f t="shared" ca="1" si="199"/>
        <v>26.000000000000103</v>
      </c>
      <c r="AD444" s="323">
        <f t="shared" ca="1" si="200"/>
        <v>712.62011968277966</v>
      </c>
      <c r="AE444" s="324" t="e">
        <f t="shared" ca="1" si="179"/>
        <v>#N/A</v>
      </c>
      <c r="AG444" s="306">
        <f t="shared" ca="1" si="201"/>
        <v>6.7451467000003937</v>
      </c>
      <c r="AH444" s="304">
        <f t="shared" ca="1" si="202"/>
        <v>-2.7578626163703244</v>
      </c>
    </row>
    <row r="445" spans="1:34" x14ac:dyDescent="0.2">
      <c r="A445" s="347">
        <f t="shared" ca="1" si="180"/>
        <v>0.1</v>
      </c>
      <c r="B445" s="304">
        <f t="shared" ca="1" si="181"/>
        <v>26.100000000000104</v>
      </c>
      <c r="D445" s="306">
        <f t="shared" ca="1" si="182"/>
        <v>-0.68834830213247078</v>
      </c>
      <c r="E445" s="307">
        <f t="shared" ca="1" si="183"/>
        <v>-7.0907678198721129</v>
      </c>
      <c r="F445" s="304">
        <f t="shared" ca="1" si="184"/>
        <v>7.124100761526508</v>
      </c>
      <c r="G445" s="306">
        <f t="shared" ca="1" si="185"/>
        <v>20.541769211413893</v>
      </c>
      <c r="H445" s="307">
        <f t="shared" ca="1" si="186"/>
        <v>-82.128639506615997</v>
      </c>
      <c r="I445" s="304">
        <f t="shared" ca="1" si="187"/>
        <v>84.65859501280822</v>
      </c>
      <c r="J445" s="306">
        <f t="shared" ca="1" si="188"/>
        <v>714.67773834543175</v>
      </c>
      <c r="K445" s="307">
        <f t="shared" ca="1" si="189"/>
        <v>1163.8273535409717</v>
      </c>
      <c r="L445" s="304">
        <f t="shared" ca="1" si="174"/>
        <v>1365.7446242020224</v>
      </c>
      <c r="M445" s="306">
        <f t="shared" ca="1" si="190"/>
        <v>-1.3257075457991248</v>
      </c>
      <c r="N445" s="304">
        <f t="shared" ca="1" si="191"/>
        <v>-75.957447242936141</v>
      </c>
      <c r="P445" s="310">
        <f t="shared" ca="1" si="192"/>
        <v>23</v>
      </c>
      <c r="Q445" s="304">
        <f t="shared" ca="1" si="193"/>
        <v>0</v>
      </c>
      <c r="R445" s="306">
        <f t="shared" ca="1" si="194"/>
        <v>0</v>
      </c>
      <c r="S445" s="307">
        <f t="shared" ca="1" si="195"/>
        <v>7.150000000000003</v>
      </c>
      <c r="T445" s="304">
        <f t="shared" ca="1" si="175"/>
        <v>70.141500000000036</v>
      </c>
      <c r="U445" s="311">
        <f t="shared" ca="1" si="176"/>
        <v>0</v>
      </c>
      <c r="V445" s="306">
        <f t="shared" ca="1" si="177"/>
        <v>1.0902712022006591</v>
      </c>
      <c r="W445" s="304">
        <f t="shared" ca="1" si="178"/>
        <v>20.394172490390815</v>
      </c>
      <c r="Y445" s="314" t="str">
        <f t="shared" ca="1" si="196"/>
        <v/>
      </c>
      <c r="Z445" s="315" t="str">
        <f t="shared" ca="1" si="197"/>
        <v/>
      </c>
      <c r="AA445" s="316" t="str">
        <f t="shared" ca="1" si="198"/>
        <v/>
      </c>
      <c r="AC445" s="310" t="e">
        <f t="shared" ca="1" si="199"/>
        <v>#N/A</v>
      </c>
      <c r="AD445" s="323" t="e">
        <f t="shared" ca="1" si="200"/>
        <v>#N/A</v>
      </c>
      <c r="AE445" s="324" t="e">
        <f t="shared" ca="1" si="179"/>
        <v>#N/A</v>
      </c>
      <c r="AG445" s="306">
        <f t="shared" ca="1" si="201"/>
        <v>6.7050247119937705</v>
      </c>
      <c r="AH445" s="304">
        <f t="shared" ca="1" si="202"/>
        <v>-2.8050039277141336</v>
      </c>
    </row>
    <row r="446" spans="1:34" x14ac:dyDescent="0.2">
      <c r="A446" s="347">
        <f t="shared" ca="1" si="180"/>
        <v>0.1</v>
      </c>
      <c r="B446" s="304">
        <f t="shared" ca="1" si="181"/>
        <v>26.200000000000106</v>
      </c>
      <c r="D446" s="306">
        <f t="shared" ca="1" si="182"/>
        <v>-0.69209679049117179</v>
      </c>
      <c r="E446" s="307">
        <f t="shared" ca="1" si="183"/>
        <v>-7.0429078754155165</v>
      </c>
      <c r="F446" s="304">
        <f t="shared" ca="1" si="184"/>
        <v>7.0768318694877932</v>
      </c>
      <c r="G446" s="306">
        <f t="shared" ca="1" si="185"/>
        <v>20.472559532364777</v>
      </c>
      <c r="H446" s="307">
        <f t="shared" ca="1" si="186"/>
        <v>-82.832930294157549</v>
      </c>
      <c r="I446" s="304">
        <f t="shared" ca="1" si="187"/>
        <v>85.325377437916927</v>
      </c>
      <c r="J446" s="306">
        <f t="shared" ca="1" si="188"/>
        <v>716.7284547826207</v>
      </c>
      <c r="K446" s="307">
        <f t="shared" ca="1" si="189"/>
        <v>1155.5792750509329</v>
      </c>
      <c r="L446" s="304">
        <f t="shared" ca="1" si="174"/>
        <v>1359.8026102425024</v>
      </c>
      <c r="M446" s="306">
        <f t="shared" ca="1" si="190"/>
        <v>-1.3284972499043444</v>
      </c>
      <c r="N446" s="304">
        <f t="shared" ca="1" si="191"/>
        <v>-76.117285514255542</v>
      </c>
      <c r="P446" s="310">
        <f t="shared" ca="1" si="192"/>
        <v>23</v>
      </c>
      <c r="Q446" s="304">
        <f t="shared" ca="1" si="193"/>
        <v>0</v>
      </c>
      <c r="R446" s="306">
        <f t="shared" ca="1" si="194"/>
        <v>0</v>
      </c>
      <c r="S446" s="307">
        <f t="shared" ca="1" si="195"/>
        <v>7.150000000000003</v>
      </c>
      <c r="T446" s="304">
        <f t="shared" ca="1" si="175"/>
        <v>70.141500000000036</v>
      </c>
      <c r="U446" s="311">
        <f t="shared" ca="1" si="176"/>
        <v>0</v>
      </c>
      <c r="V446" s="306">
        <f t="shared" ca="1" si="177"/>
        <v>1.091173873706516</v>
      </c>
      <c r="W446" s="304">
        <f t="shared" ca="1" si="178"/>
        <v>20.733844109183611</v>
      </c>
      <c r="Y446" s="314" t="str">
        <f t="shared" ca="1" si="196"/>
        <v/>
      </c>
      <c r="Z446" s="315" t="str">
        <f t="shared" ca="1" si="197"/>
        <v/>
      </c>
      <c r="AA446" s="316" t="str">
        <f t="shared" ca="1" si="198"/>
        <v/>
      </c>
      <c r="AC446" s="310" t="e">
        <f t="shared" ca="1" si="199"/>
        <v>#N/A</v>
      </c>
      <c r="AD446" s="323" t="e">
        <f t="shared" ca="1" si="200"/>
        <v>#N/A</v>
      </c>
      <c r="AE446" s="324" t="e">
        <f t="shared" ca="1" si="179"/>
        <v>#N/A</v>
      </c>
      <c r="AG446" s="306">
        <f t="shared" ca="1" si="201"/>
        <v>6.6645040512509972</v>
      </c>
      <c r="AH446" s="304">
        <f t="shared" ca="1" si="202"/>
        <v>-2.8523318168378751</v>
      </c>
    </row>
    <row r="447" spans="1:34" x14ac:dyDescent="0.2">
      <c r="A447" s="347">
        <f t="shared" ca="1" si="180"/>
        <v>0.1</v>
      </c>
      <c r="B447" s="304">
        <f t="shared" ca="1" si="181"/>
        <v>26.300000000000107</v>
      </c>
      <c r="D447" s="306">
        <f t="shared" ca="1" si="182"/>
        <v>-0.69577322445028533</v>
      </c>
      <c r="E447" s="307">
        <f t="shared" ca="1" si="183"/>
        <v>-6.9948690970798939</v>
      </c>
      <c r="F447" s="304">
        <f t="shared" ca="1" si="184"/>
        <v>7.0293878869461484</v>
      </c>
      <c r="G447" s="306">
        <f t="shared" ca="1" si="185"/>
        <v>20.402982209919749</v>
      </c>
      <c r="H447" s="307">
        <f t="shared" ca="1" si="186"/>
        <v>-83.532417203865535</v>
      </c>
      <c r="I447" s="304">
        <f t="shared" ca="1" si="187"/>
        <v>85.988059676788566</v>
      </c>
      <c r="J447" s="306">
        <f t="shared" ca="1" si="188"/>
        <v>718.77223186973492</v>
      </c>
      <c r="K447" s="307">
        <f t="shared" ca="1" si="189"/>
        <v>1147.2610076760318</v>
      </c>
      <c r="L447" s="304">
        <f t="shared" ca="1" si="174"/>
        <v>1353.8247083876199</v>
      </c>
      <c r="M447" s="306">
        <f t="shared" ca="1" si="190"/>
        <v>-1.3312345683576023</v>
      </c>
      <c r="N447" s="304">
        <f t="shared" ca="1" si="191"/>
        <v>-76.274122308810504</v>
      </c>
      <c r="P447" s="310">
        <f t="shared" ca="1" si="192"/>
        <v>23</v>
      </c>
      <c r="Q447" s="304">
        <f t="shared" ca="1" si="193"/>
        <v>0</v>
      </c>
      <c r="R447" s="306">
        <f t="shared" ca="1" si="194"/>
        <v>0</v>
      </c>
      <c r="S447" s="307">
        <f t="shared" ca="1" si="195"/>
        <v>7.150000000000003</v>
      </c>
      <c r="T447" s="304">
        <f t="shared" ca="1" si="175"/>
        <v>70.141500000000036</v>
      </c>
      <c r="U447" s="311">
        <f t="shared" ca="1" si="176"/>
        <v>0</v>
      </c>
      <c r="V447" s="306">
        <f t="shared" ca="1" si="177"/>
        <v>1.0920849398517369</v>
      </c>
      <c r="W447" s="304">
        <f t="shared" ca="1" si="178"/>
        <v>21.07473635299667</v>
      </c>
      <c r="Y447" s="314" t="str">
        <f t="shared" ca="1" si="196"/>
        <v/>
      </c>
      <c r="Z447" s="315" t="str">
        <f t="shared" ca="1" si="197"/>
        <v/>
      </c>
      <c r="AA447" s="316" t="str">
        <f t="shared" ca="1" si="198"/>
        <v/>
      </c>
      <c r="AC447" s="310" t="e">
        <f t="shared" ca="1" si="199"/>
        <v>#N/A</v>
      </c>
      <c r="AD447" s="323" t="e">
        <f t="shared" ca="1" si="200"/>
        <v>#N/A</v>
      </c>
      <c r="AE447" s="324" t="e">
        <f t="shared" ca="1" si="179"/>
        <v>#N/A</v>
      </c>
      <c r="AG447" s="306">
        <f t="shared" ca="1" si="201"/>
        <v>6.6236008857717046</v>
      </c>
      <c r="AH447" s="304">
        <f t="shared" ca="1" si="202"/>
        <v>-2.8998383369487555</v>
      </c>
    </row>
    <row r="448" spans="1:34" x14ac:dyDescent="0.2">
      <c r="A448" s="347">
        <f t="shared" ca="1" si="180"/>
        <v>0.1</v>
      </c>
      <c r="B448" s="304">
        <f t="shared" ca="1" si="181"/>
        <v>26.400000000000109</v>
      </c>
      <c r="D448" s="306">
        <f t="shared" ca="1" si="182"/>
        <v>-0.69937742568772587</v>
      </c>
      <c r="E448" s="307">
        <f t="shared" ca="1" si="183"/>
        <v>-6.9466594204493806</v>
      </c>
      <c r="F448" s="304">
        <f t="shared" ca="1" si="184"/>
        <v>6.9817766999009443</v>
      </c>
      <c r="G448" s="306">
        <f t="shared" ca="1" si="185"/>
        <v>20.333044467350977</v>
      </c>
      <c r="H448" s="307">
        <f t="shared" ca="1" si="186"/>
        <v>-84.22708314591047</v>
      </c>
      <c r="I448" s="304">
        <f t="shared" ca="1" si="187"/>
        <v>86.646605430215132</v>
      </c>
      <c r="J448" s="306">
        <f t="shared" ca="1" si="188"/>
        <v>720.80903320359846</v>
      </c>
      <c r="K448" s="307">
        <f t="shared" ca="1" si="189"/>
        <v>1138.873032658543</v>
      </c>
      <c r="L448" s="304">
        <f t="shared" ca="1" si="174"/>
        <v>1347.812096274838</v>
      </c>
      <c r="M448" s="306">
        <f t="shared" ca="1" si="190"/>
        <v>-1.3339209856757059</v>
      </c>
      <c r="N448" s="304">
        <f t="shared" ca="1" si="191"/>
        <v>-76.428042683148689</v>
      </c>
      <c r="P448" s="310">
        <f t="shared" ca="1" si="192"/>
        <v>23</v>
      </c>
      <c r="Q448" s="304">
        <f t="shared" ca="1" si="193"/>
        <v>0</v>
      </c>
      <c r="R448" s="306">
        <f t="shared" ca="1" si="194"/>
        <v>0</v>
      </c>
      <c r="S448" s="307">
        <f t="shared" ca="1" si="195"/>
        <v>7.150000000000003</v>
      </c>
      <c r="T448" s="304">
        <f t="shared" ca="1" si="175"/>
        <v>70.141500000000036</v>
      </c>
      <c r="U448" s="311">
        <f t="shared" ca="1" si="176"/>
        <v>0</v>
      </c>
      <c r="V448" s="306">
        <f t="shared" ca="1" si="177"/>
        <v>1.0930043668504634</v>
      </c>
      <c r="W448" s="304">
        <f t="shared" ca="1" si="178"/>
        <v>21.416792883888071</v>
      </c>
      <c r="Y448" s="314" t="str">
        <f t="shared" ca="1" si="196"/>
        <v/>
      </c>
      <c r="Z448" s="315" t="str">
        <f t="shared" ca="1" si="197"/>
        <v/>
      </c>
      <c r="AA448" s="316" t="str">
        <f t="shared" ca="1" si="198"/>
        <v/>
      </c>
      <c r="AC448" s="310" t="e">
        <f t="shared" ca="1" si="199"/>
        <v>#N/A</v>
      </c>
      <c r="AD448" s="323" t="e">
        <f t="shared" ca="1" si="200"/>
        <v>#N/A</v>
      </c>
      <c r="AE448" s="324" t="e">
        <f t="shared" ca="1" si="179"/>
        <v>#N/A</v>
      </c>
      <c r="AG448" s="306">
        <f t="shared" ca="1" si="201"/>
        <v>6.5823309635698131</v>
      </c>
      <c r="AH448" s="304">
        <f t="shared" ca="1" si="202"/>
        <v>-2.9475155738456866</v>
      </c>
    </row>
    <row r="449" spans="1:34" x14ac:dyDescent="0.2">
      <c r="A449" s="347">
        <f t="shared" ca="1" si="180"/>
        <v>0.1</v>
      </c>
      <c r="B449" s="304">
        <f t="shared" ca="1" si="181"/>
        <v>26.50000000000011</v>
      </c>
      <c r="D449" s="306">
        <f t="shared" ca="1" si="182"/>
        <v>-0.70290924019318934</v>
      </c>
      <c r="E449" s="307">
        <f t="shared" ca="1" si="183"/>
        <v>-6.8982867485562673</v>
      </c>
      <c r="F449" s="304">
        <f t="shared" ca="1" si="184"/>
        <v>6.9340061627644927</v>
      </c>
      <c r="G449" s="306">
        <f t="shared" ca="1" si="185"/>
        <v>20.262753543331659</v>
      </c>
      <c r="H449" s="307">
        <f t="shared" ca="1" si="186"/>
        <v>-84.916911820766103</v>
      </c>
      <c r="I449" s="304">
        <f t="shared" ca="1" si="187"/>
        <v>87.300979916227547</v>
      </c>
      <c r="J449" s="306">
        <f t="shared" ca="1" si="188"/>
        <v>722.83882310413264</v>
      </c>
      <c r="K449" s="307">
        <f t="shared" ca="1" si="189"/>
        <v>1130.4158329102092</v>
      </c>
      <c r="L449" s="304">
        <f t="shared" ca="1" si="174"/>
        <v>1341.7659704585781</v>
      </c>
      <c r="M449" s="306">
        <f t="shared" ca="1" si="190"/>
        <v>-1.3365579317568852</v>
      </c>
      <c r="N449" s="304">
        <f t="shared" ca="1" si="191"/>
        <v>-76.579128564403831</v>
      </c>
      <c r="P449" s="310">
        <f t="shared" ca="1" si="192"/>
        <v>23</v>
      </c>
      <c r="Q449" s="304">
        <f t="shared" ca="1" si="193"/>
        <v>0</v>
      </c>
      <c r="R449" s="306">
        <f t="shared" ca="1" si="194"/>
        <v>0</v>
      </c>
      <c r="S449" s="307">
        <f t="shared" ca="1" si="195"/>
        <v>7.150000000000003</v>
      </c>
      <c r="T449" s="304">
        <f t="shared" ca="1" si="175"/>
        <v>70.141500000000036</v>
      </c>
      <c r="U449" s="311">
        <f t="shared" ca="1" si="176"/>
        <v>0</v>
      </c>
      <c r="V449" s="306">
        <f t="shared" ca="1" si="177"/>
        <v>1.0939321207623116</v>
      </c>
      <c r="W449" s="304">
        <f t="shared" ca="1" si="178"/>
        <v>21.759957627792968</v>
      </c>
      <c r="Y449" s="314" t="str">
        <f t="shared" ca="1" si="196"/>
        <v/>
      </c>
      <c r="Z449" s="315" t="str">
        <f t="shared" ca="1" si="197"/>
        <v/>
      </c>
      <c r="AA449" s="316" t="str">
        <f t="shared" ca="1" si="198"/>
        <v/>
      </c>
      <c r="AC449" s="310" t="e">
        <f t="shared" ca="1" si="199"/>
        <v>#N/A</v>
      </c>
      <c r="AD449" s="323" t="e">
        <f t="shared" ca="1" si="200"/>
        <v>#N/A</v>
      </c>
      <c r="AE449" s="324" t="e">
        <f t="shared" ca="1" si="179"/>
        <v>#N/A</v>
      </c>
      <c r="AG449" s="306">
        <f t="shared" ca="1" si="201"/>
        <v>6.5407096317704418</v>
      </c>
      <c r="AH449" s="304">
        <f t="shared" ca="1" si="202"/>
        <v>-2.9953556480962327</v>
      </c>
    </row>
    <row r="450" spans="1:34" x14ac:dyDescent="0.2">
      <c r="A450" s="347">
        <f t="shared" ca="1" si="180"/>
        <v>0.1</v>
      </c>
      <c r="B450" s="304">
        <f t="shared" ca="1" si="181"/>
        <v>26.600000000000112</v>
      </c>
      <c r="D450" s="306">
        <f t="shared" ca="1" si="182"/>
        <v>-0.7063685377551252</v>
      </c>
      <c r="E450" s="307">
        <f t="shared" ca="1" si="183"/>
        <v>-6.8497589495799147</v>
      </c>
      <c r="F450" s="304">
        <f t="shared" ca="1" si="184"/>
        <v>6.8860840960941259</v>
      </c>
      <c r="G450" s="306">
        <f t="shared" ca="1" si="185"/>
        <v>20.192116689556148</v>
      </c>
      <c r="H450" s="307">
        <f t="shared" ca="1" si="186"/>
        <v>-85.601887715724089</v>
      </c>
      <c r="I450" s="304">
        <f t="shared" ca="1" si="187"/>
        <v>87.951149832734345</v>
      </c>
      <c r="J450" s="306">
        <f t="shared" ca="1" si="188"/>
        <v>724.86156661577706</v>
      </c>
      <c r="K450" s="307">
        <f t="shared" ca="1" si="189"/>
        <v>1121.8898929333848</v>
      </c>
      <c r="L450" s="304">
        <f t="shared" ca="1" si="174"/>
        <v>1335.6875467798448</v>
      </c>
      <c r="M450" s="306">
        <f t="shared" ca="1" si="190"/>
        <v>-1.33914678430058</v>
      </c>
      <c r="N450" s="304">
        <f t="shared" ca="1" si="191"/>
        <v>-76.727458888939239</v>
      </c>
      <c r="P450" s="310">
        <f t="shared" ca="1" si="192"/>
        <v>23</v>
      </c>
      <c r="Q450" s="304">
        <f t="shared" ca="1" si="193"/>
        <v>0</v>
      </c>
      <c r="R450" s="306">
        <f t="shared" ca="1" si="194"/>
        <v>0</v>
      </c>
      <c r="S450" s="307">
        <f t="shared" ca="1" si="195"/>
        <v>7.150000000000003</v>
      </c>
      <c r="T450" s="304">
        <f t="shared" ca="1" si="175"/>
        <v>70.141500000000036</v>
      </c>
      <c r="U450" s="311">
        <f t="shared" ca="1" si="176"/>
        <v>0</v>
      </c>
      <c r="V450" s="306">
        <f t="shared" ca="1" si="177"/>
        <v>1.0948681674973419</v>
      </c>
      <c r="W450" s="304">
        <f t="shared" ca="1" si="178"/>
        <v>22.104174789516037</v>
      </c>
      <c r="Y450" s="314" t="str">
        <f t="shared" ca="1" si="196"/>
        <v/>
      </c>
      <c r="Z450" s="315" t="str">
        <f t="shared" ca="1" si="197"/>
        <v/>
      </c>
      <c r="AA450" s="316" t="str">
        <f t="shared" ca="1" si="198"/>
        <v/>
      </c>
      <c r="AC450" s="310" t="e">
        <f t="shared" ca="1" si="199"/>
        <v>#N/A</v>
      </c>
      <c r="AD450" s="323" t="e">
        <f t="shared" ca="1" si="200"/>
        <v>#N/A</v>
      </c>
      <c r="AE450" s="324" t="e">
        <f t="shared" ca="1" si="179"/>
        <v>#N/A</v>
      </c>
      <c r="AG450" s="306">
        <f t="shared" ca="1" si="201"/>
        <v>6.4987518544247926</v>
      </c>
      <c r="AH450" s="304">
        <f t="shared" ca="1" si="202"/>
        <v>-3.0433507171738405</v>
      </c>
    </row>
    <row r="451" spans="1:34" x14ac:dyDescent="0.2">
      <c r="A451" s="347">
        <f t="shared" ca="1" si="180"/>
        <v>0.1</v>
      </c>
      <c r="B451" s="304">
        <f t="shared" ca="1" si="181"/>
        <v>26.700000000000113</v>
      </c>
      <c r="D451" s="306">
        <f t="shared" ca="1" si="182"/>
        <v>-0.70975521146051324</v>
      </c>
      <c r="E451" s="307">
        <f t="shared" ca="1" si="183"/>
        <v>-6.8010838545957117</v>
      </c>
      <c r="F451" s="304">
        <f t="shared" ca="1" si="184"/>
        <v>6.8380182843743418</v>
      </c>
      <c r="G451" s="306">
        <f t="shared" ca="1" si="185"/>
        <v>20.121141168410098</v>
      </c>
      <c r="H451" s="307">
        <f t="shared" ca="1" si="186"/>
        <v>-86.281996101183665</v>
      </c>
      <c r="I451" s="304">
        <f t="shared" ca="1" si="187"/>
        <v>88.597083321764941</v>
      </c>
      <c r="J451" s="306">
        <f t="shared" ca="1" si="188"/>
        <v>726.87722950867533</v>
      </c>
      <c r="K451" s="307">
        <f t="shared" ca="1" si="189"/>
        <v>1113.2956987425393</v>
      </c>
      <c r="L451" s="304">
        <f t="shared" ca="1" si="174"/>
        <v>1329.5780607459069</v>
      </c>
      <c r="M451" s="306">
        <f t="shared" ca="1" si="190"/>
        <v>-1.3416888711035233</v>
      </c>
      <c r="N451" s="304">
        <f t="shared" ca="1" si="191"/>
        <v>-76.873109733903803</v>
      </c>
      <c r="P451" s="310">
        <f t="shared" ca="1" si="192"/>
        <v>23</v>
      </c>
      <c r="Q451" s="304">
        <f t="shared" ca="1" si="193"/>
        <v>0</v>
      </c>
      <c r="R451" s="306">
        <f t="shared" ca="1" si="194"/>
        <v>0</v>
      </c>
      <c r="S451" s="307">
        <f t="shared" ca="1" si="195"/>
        <v>7.150000000000003</v>
      </c>
      <c r="T451" s="304">
        <f t="shared" ca="1" si="175"/>
        <v>70.141500000000036</v>
      </c>
      <c r="U451" s="311">
        <f t="shared" ca="1" si="176"/>
        <v>0</v>
      </c>
      <c r="V451" s="306">
        <f t="shared" ca="1" si="177"/>
        <v>1.0958124728210163</v>
      </c>
      <c r="W451" s="304">
        <f t="shared" ca="1" si="178"/>
        <v>22.449388867430109</v>
      </c>
      <c r="Y451" s="314" t="str">
        <f t="shared" ca="1" si="196"/>
        <v/>
      </c>
      <c r="Z451" s="315" t="str">
        <f t="shared" ca="1" si="197"/>
        <v/>
      </c>
      <c r="AA451" s="316" t="str">
        <f t="shared" ca="1" si="198"/>
        <v/>
      </c>
      <c r="AC451" s="310" t="e">
        <f t="shared" ca="1" si="199"/>
        <v>#N/A</v>
      </c>
      <c r="AD451" s="323" t="e">
        <f t="shared" ca="1" si="200"/>
        <v>#N/A</v>
      </c>
      <c r="AE451" s="324" t="e">
        <f t="shared" ca="1" si="179"/>
        <v>#N/A</v>
      </c>
      <c r="AG451" s="306">
        <f t="shared" ca="1" si="201"/>
        <v>6.4564722291344792</v>
      </c>
      <c r="AH451" s="304">
        <f t="shared" ca="1" si="202"/>
        <v>-3.0914929775546893</v>
      </c>
    </row>
    <row r="452" spans="1:34" x14ac:dyDescent="0.2">
      <c r="A452" s="347">
        <f t="shared" ca="1" si="180"/>
        <v>0.1</v>
      </c>
      <c r="B452" s="304">
        <f t="shared" ca="1" si="181"/>
        <v>26.800000000000114</v>
      </c>
      <c r="D452" s="306">
        <f t="shared" ca="1" si="182"/>
        <v>-0.71306917720649454</v>
      </c>
      <c r="E452" s="307">
        <f t="shared" ca="1" si="183"/>
        <v>-6.7522692553741237</v>
      </c>
      <c r="F452" s="304">
        <f t="shared" ca="1" si="184"/>
        <v>6.789816473849096</v>
      </c>
      <c r="G452" s="306">
        <f t="shared" ca="1" si="185"/>
        <v>20.04983425068945</v>
      </c>
      <c r="H452" s="307">
        <f t="shared" ca="1" si="186"/>
        <v>-86.957223026721081</v>
      </c>
      <c r="I452" s="304">
        <f t="shared" ca="1" si="187"/>
        <v>89.238749935210492</v>
      </c>
      <c r="J452" s="306">
        <f t="shared" ca="1" si="188"/>
        <v>728.88577827963036</v>
      </c>
      <c r="K452" s="307">
        <f t="shared" ca="1" si="189"/>
        <v>1104.6337377861441</v>
      </c>
      <c r="L452" s="304">
        <f t="shared" ref="L452:L515" ca="1" si="203">SQRT(pos_x^2+pos_z^2)</f>
        <v>1323.4387679200313</v>
      </c>
      <c r="M452" s="306">
        <f t="shared" ca="1" si="190"/>
        <v>-1.3441854722391848</v>
      </c>
      <c r="N452" s="304">
        <f t="shared" ca="1" si="191"/>
        <v>-77.016154442104778</v>
      </c>
      <c r="P452" s="310">
        <f t="shared" ca="1" si="192"/>
        <v>23</v>
      </c>
      <c r="Q452" s="304">
        <f t="shared" ca="1" si="193"/>
        <v>0</v>
      </c>
      <c r="R452" s="306">
        <f t="shared" ca="1" si="194"/>
        <v>0</v>
      </c>
      <c r="S452" s="307">
        <f t="shared" ca="1" si="195"/>
        <v>7.150000000000003</v>
      </c>
      <c r="T452" s="304">
        <f t="shared" ref="T452:T515" ca="1" si="204">m*g</f>
        <v>70.141500000000036</v>
      </c>
      <c r="U452" s="311">
        <f t="shared" ref="U452:U515" ca="1" si="205">IF(pos_xz&lt;L_rampe,Poids*COS(Beta),0)</f>
        <v>0</v>
      </c>
      <c r="V452" s="306">
        <f t="shared" ref="V452:V515" ca="1" si="206">Rho_moyen*(20000-Alt_rampe-pos_z)/(20000+Alt_rampe+pos_z)</f>
        <v>1.0967650023591478</v>
      </c>
      <c r="W452" s="304">
        <f t="shared" ref="W452:W515" ca="1" si="207">1/2*Rho*Sref*Cx*vit_xz^2</f>
        <v>22.795544667876463</v>
      </c>
      <c r="Y452" s="314" t="str">
        <f t="shared" ca="1" si="196"/>
        <v/>
      </c>
      <c r="Z452" s="315" t="str">
        <f t="shared" ca="1" si="197"/>
        <v/>
      </c>
      <c r="AA452" s="316" t="str">
        <f t="shared" ca="1" si="198"/>
        <v/>
      </c>
      <c r="AC452" s="310" t="e">
        <f t="shared" ca="1" si="199"/>
        <v>#N/A</v>
      </c>
      <c r="AD452" s="323" t="e">
        <f t="shared" ca="1" si="200"/>
        <v>#N/A</v>
      </c>
      <c r="AE452" s="324" t="e">
        <f t="shared" ref="AE452:AE515" ca="1" si="208">IF(t&lt;T_para, pos_z, NA())</f>
        <v>#N/A</v>
      </c>
      <c r="AG452" s="306">
        <f t="shared" ca="1" si="201"/>
        <v>6.4138850025700638</v>
      </c>
      <c r="AH452" s="304">
        <f t="shared" ca="1" si="202"/>
        <v>-3.1397746667734405</v>
      </c>
    </row>
    <row r="453" spans="1:34" x14ac:dyDescent="0.2">
      <c r="A453" s="347">
        <f t="shared" ref="A453:A516" ca="1" si="209">IF(B452+0.01&lt;=T_ini+ROUNDUP(Temps_fin_propu,0), 0.01, IF(K452&gt;0, 0.1, 0.0001))</f>
        <v>0.1</v>
      </c>
      <c r="B453" s="304">
        <f t="shared" ref="B453:B516" ca="1" si="210">B452+pas</f>
        <v>26.900000000000116</v>
      </c>
      <c r="D453" s="306">
        <f t="shared" ref="D453:D516" ca="1" si="211">IF(AND(L452&lt;L_rampe,Poussee&lt;Poids*SIN(M452)),0,(-W452+Poussee)/m*COS(M452)-U452/m*SIN(M452))</f>
        <v>-0.71631037322298696</v>
      </c>
      <c r="E453" s="307">
        <f t="shared" ref="E453:E516" ca="1" si="212">IF(AND(L452&lt;L_rampe,Poussee&lt;Poids*SIN(M452)),0,(-W452+Poussee)/m*SIN(M452)+U452/m*COS(M452)-Poids/m)</f>
        <v>-6.703322902229818</v>
      </c>
      <c r="F453" s="304">
        <f t="shared" ref="F453:F516" ca="1" si="213">SQRT(acc_x^2+acc_z^2)</f>
        <v>6.7414863704042034</v>
      </c>
      <c r="G453" s="306">
        <f t="shared" ref="G453:G516" ca="1" si="214">G452+acc_x*pas</f>
        <v>19.978203213367152</v>
      </c>
      <c r="H453" s="307">
        <f t="shared" ref="H453:H516" ca="1" si="215">H452+acc_z*pas</f>
        <v>-87.627555316944068</v>
      </c>
      <c r="I453" s="304">
        <f t="shared" ref="I453:I516" ca="1" si="216">SQRT(vit_x^2+vit_z^2)</f>
        <v>89.876120601963493</v>
      </c>
      <c r="J453" s="306">
        <f t="shared" ref="J453:J516" ca="1" si="217">J452+0.5*(vit_x+G452)*pas*(K452&gt;=0)</f>
        <v>730.88718015283314</v>
      </c>
      <c r="K453" s="307">
        <f t="shared" ref="K453:K516" ca="1" si="218">K452+0.5*(vit_z+H452)*pas</f>
        <v>1095.9044988689609</v>
      </c>
      <c r="L453" s="304">
        <f t="shared" ca="1" si="203"/>
        <v>1317.2709443212464</v>
      </c>
      <c r="M453" s="306">
        <f t="shared" ref="M453:M516" ca="1" si="219">IF(AND(L452&gt;L_rampe,G453&gt;0),ATAN2(G453,H453),$M$4)</f>
        <v>-1.346637822127192</v>
      </c>
      <c r="N453" s="304">
        <f t="shared" ref="N453:N516" ca="1" si="220">DEGREES(Beta)</f>
        <v>-77.15666374057696</v>
      </c>
      <c r="P453" s="310">
        <f t="shared" ref="P453:P516" ca="1" si="221">MATCH(t-pas/2-T_ini,CdP_t)</f>
        <v>23</v>
      </c>
      <c r="Q453" s="304">
        <f t="shared" ref="Q453:Q516" ca="1" si="222">(INDEX(CdP,2,i_P+1)-INDEX(CdP,2,i_P+0))/(INDEX(CdP,1,i_P+1)-INDEX(CdP,1,i_P+0))*(t-pas/2-T_ini-INDEX(CdP,1,i_P+0))+INDEX(CdP,2,i_P+0)</f>
        <v>0</v>
      </c>
      <c r="R453" s="306">
        <f t="shared" ref="R453:R516" ca="1" si="223">Poussee/(g*ISP)</f>
        <v>0</v>
      </c>
      <c r="S453" s="307">
        <f t="shared" ref="S453:S516" ca="1" si="224">S452-Débit*pas</f>
        <v>7.150000000000003</v>
      </c>
      <c r="T453" s="304">
        <f t="shared" ca="1" si="204"/>
        <v>70.141500000000036</v>
      </c>
      <c r="U453" s="311">
        <f t="shared" ca="1" si="205"/>
        <v>0</v>
      </c>
      <c r="V453" s="306">
        <f t="shared" ca="1" si="206"/>
        <v>1.09772572160284</v>
      </c>
      <c r="W453" s="304">
        <f t="shared" ca="1" si="207"/>
        <v>23.142587319262432</v>
      </c>
      <c r="Y453" s="314" t="str">
        <f t="shared" ref="Y453:Y516" ca="1" si="225">IF(AND(pos_z&lt;=0,K452&gt;0),"Impact balistique","") &amp; IF(AND(H454&lt;0,vit_z&gt;=0),"Apogée","") &amp; IF(AND(Poussee=0,Q452&gt;0),"Fin de propulsion","") &amp; IF(AND(L454&gt;L_rampe,pos_xz&lt;=L_rampe),"Sortie de rampe","")</f>
        <v/>
      </c>
      <c r="Z453" s="315" t="str">
        <f t="shared" ref="Z453:Z516" ca="1" si="226">IF(ABS(t-T_para)&lt;pas/2,"Para","")</f>
        <v/>
      </c>
      <c r="AA453" s="316" t="str">
        <f t="shared" ref="AA453:AA516" ca="1" si="227">IF(ABS(t-T_satellite)&lt;pas/2,"Satellite","")</f>
        <v/>
      </c>
      <c r="AC453" s="310" t="e">
        <f t="shared" ref="AC453:AC516" ca="1" si="228">IF(ABS(t-ROUND(t,0))&lt;0.001,t,NA())</f>
        <v>#N/A</v>
      </c>
      <c r="AD453" s="323" t="e">
        <f t="shared" ref="AD453:AD516" ca="1" si="229">IF(ABS(t-ROUND(t,0))&lt;0.001,pos_x,NA())</f>
        <v>#N/A</v>
      </c>
      <c r="AE453" s="324" t="e">
        <f t="shared" ca="1" si="208"/>
        <v>#N/A</v>
      </c>
      <c r="AG453" s="306">
        <f t="shared" ref="AG453:AG516" ca="1" si="230">IF(AND(L452&lt;L_rampe,Poussee&lt;Poids*SIN(M452)),0,(-W452+Poussee)/m-Poids*SIN(M452)/m)</f>
        <v>6.3710040849622995</v>
      </c>
      <c r="AH453" s="304">
        <f t="shared" ref="AH453:AH516" ca="1" si="231">IF(AND(L452&lt;L_rampe,Poussee&lt;Poids*SIN(M452)), g*SIN(M452), (-W452+Poussee)/m)</f>
        <v>-3.1881880654372661</v>
      </c>
    </row>
    <row r="454" spans="1:34" x14ac:dyDescent="0.2">
      <c r="A454" s="347">
        <f t="shared" ca="1" si="209"/>
        <v>0.1</v>
      </c>
      <c r="B454" s="304">
        <f t="shared" ca="1" si="210"/>
        <v>27.000000000000117</v>
      </c>
      <c r="D454" s="306">
        <f t="shared" ca="1" si="211"/>
        <v>-0.71947875960550822</v>
      </c>
      <c r="E454" s="307">
        <f t="shared" ca="1" si="212"/>
        <v>-6.6542525019209648</v>
      </c>
      <c r="F454" s="304">
        <f t="shared" ca="1" si="213"/>
        <v>6.6930356374999906</v>
      </c>
      <c r="G454" s="306">
        <f t="shared" ca="1" si="214"/>
        <v>19.906255337406602</v>
      </c>
      <c r="H454" s="307">
        <f t="shared" ca="1" si="215"/>
        <v>-88.292980567136169</v>
      </c>
      <c r="I454" s="304">
        <f t="shared" ca="1" si="216"/>
        <v>90.509167596364037</v>
      </c>
      <c r="J454" s="306">
        <f t="shared" ca="1" si="217"/>
        <v>732.8814030803718</v>
      </c>
      <c r="K454" s="307">
        <f t="shared" ca="1" si="218"/>
        <v>1087.1084720747569</v>
      </c>
      <c r="L454" s="304">
        <f t="shared" ca="1" si="203"/>
        <v>1311.075886834079</v>
      </c>
      <c r="M454" s="306">
        <f t="shared" ca="1" si="219"/>
        <v>-1.3490471114989504</v>
      </c>
      <c r="N454" s="304">
        <f t="shared" ca="1" si="220"/>
        <v>-77.294705853204448</v>
      </c>
      <c r="P454" s="310">
        <f t="shared" ca="1" si="221"/>
        <v>23</v>
      </c>
      <c r="Q454" s="304">
        <f t="shared" ca="1" si="222"/>
        <v>0</v>
      </c>
      <c r="R454" s="306">
        <f t="shared" ca="1" si="223"/>
        <v>0</v>
      </c>
      <c r="S454" s="307">
        <f t="shared" ca="1" si="224"/>
        <v>7.150000000000003</v>
      </c>
      <c r="T454" s="304">
        <f t="shared" ca="1" si="204"/>
        <v>70.141500000000036</v>
      </c>
      <c r="U454" s="311">
        <f t="shared" ca="1" si="205"/>
        <v>0</v>
      </c>
      <c r="V454" s="306">
        <f t="shared" ca="1" si="206"/>
        <v>1.0986945959134102</v>
      </c>
      <c r="W454" s="304">
        <f t="shared" ca="1" si="207"/>
        <v>23.490462285852391</v>
      </c>
      <c r="Y454" s="314" t="str">
        <f t="shared" ca="1" si="225"/>
        <v/>
      </c>
      <c r="Z454" s="315" t="str">
        <f t="shared" ca="1" si="226"/>
        <v/>
      </c>
      <c r="AA454" s="316" t="str">
        <f t="shared" ca="1" si="227"/>
        <v/>
      </c>
      <c r="AC454" s="310">
        <f t="shared" ca="1" si="228"/>
        <v>27.000000000000117</v>
      </c>
      <c r="AD454" s="323">
        <f t="shared" ca="1" si="229"/>
        <v>732.8814030803718</v>
      </c>
      <c r="AE454" s="324" t="e">
        <f t="shared" ca="1" si="208"/>
        <v>#N/A</v>
      </c>
      <c r="AG454" s="306">
        <f t="shared" ca="1" si="230"/>
        <v>6.3278430636387295</v>
      </c>
      <c r="AH454" s="304">
        <f t="shared" ca="1" si="231"/>
        <v>-3.2367254991975418</v>
      </c>
    </row>
    <row r="455" spans="1:34" x14ac:dyDescent="0.2">
      <c r="A455" s="347">
        <f t="shared" ca="1" si="209"/>
        <v>0.1</v>
      </c>
      <c r="B455" s="304">
        <f t="shared" ca="1" si="210"/>
        <v>27.100000000000119</v>
      </c>
      <c r="D455" s="306">
        <f t="shared" ca="1" si="211"/>
        <v>-0.72257431785746651</v>
      </c>
      <c r="E455" s="307">
        <f t="shared" ca="1" si="212"/>
        <v>-6.6050657155986912</v>
      </c>
      <c r="F455" s="304">
        <f t="shared" ca="1" si="213"/>
        <v>6.6444718941541501</v>
      </c>
      <c r="G455" s="306">
        <f t="shared" ca="1" si="214"/>
        <v>19.833997905620855</v>
      </c>
      <c r="H455" s="307">
        <f t="shared" ca="1" si="215"/>
        <v>-88.953487138696033</v>
      </c>
      <c r="I455" s="304">
        <f t="shared" ca="1" si="216"/>
        <v>91.13786450786705</v>
      </c>
      <c r="J455" s="306">
        <f t="shared" ca="1" si="217"/>
        <v>734.86841574252321</v>
      </c>
      <c r="K455" s="307">
        <f t="shared" ca="1" si="218"/>
        <v>1078.2461486894654</v>
      </c>
      <c r="L455" s="304">
        <f t="shared" ca="1" si="203"/>
        <v>1304.8549136281745</v>
      </c>
      <c r="M455" s="306">
        <f t="shared" ca="1" si="219"/>
        <v>-1.3514144892652911</v>
      </c>
      <c r="N455" s="304">
        <f t="shared" ca="1" si="220"/>
        <v>-77.430346607728879</v>
      </c>
      <c r="P455" s="310">
        <f t="shared" ca="1" si="221"/>
        <v>23</v>
      </c>
      <c r="Q455" s="304">
        <f t="shared" ca="1" si="222"/>
        <v>0</v>
      </c>
      <c r="R455" s="306">
        <f t="shared" ca="1" si="223"/>
        <v>0</v>
      </c>
      <c r="S455" s="307">
        <f t="shared" ca="1" si="224"/>
        <v>7.150000000000003</v>
      </c>
      <c r="T455" s="304">
        <f t="shared" ca="1" si="204"/>
        <v>70.141500000000036</v>
      </c>
      <c r="U455" s="311">
        <f t="shared" ca="1" si="205"/>
        <v>0</v>
      </c>
      <c r="V455" s="306">
        <f t="shared" ca="1" si="206"/>
        <v>1.099671590527306</v>
      </c>
      <c r="W455" s="304">
        <f t="shared" ca="1" si="207"/>
        <v>23.839115381248476</v>
      </c>
      <c r="Y455" s="314" t="str">
        <f t="shared" ca="1" si="225"/>
        <v/>
      </c>
      <c r="Z455" s="315" t="str">
        <f t="shared" ca="1" si="226"/>
        <v/>
      </c>
      <c r="AA455" s="316" t="str">
        <f t="shared" ca="1" si="227"/>
        <v/>
      </c>
      <c r="AC455" s="310" t="e">
        <f t="shared" ca="1" si="228"/>
        <v>#N/A</v>
      </c>
      <c r="AD455" s="323" t="e">
        <f t="shared" ca="1" si="229"/>
        <v>#N/A</v>
      </c>
      <c r="AE455" s="324" t="e">
        <f t="shared" ca="1" si="208"/>
        <v>#N/A</v>
      </c>
      <c r="AG455" s="306">
        <f t="shared" ca="1" si="230"/>
        <v>6.2844152156730209</v>
      </c>
      <c r="AH455" s="304">
        <f t="shared" ca="1" si="231"/>
        <v>-3.2853793406786549</v>
      </c>
    </row>
    <row r="456" spans="1:34" x14ac:dyDescent="0.2">
      <c r="A456" s="347">
        <f t="shared" ca="1" si="209"/>
        <v>0.1</v>
      </c>
      <c r="B456" s="304">
        <f t="shared" ca="1" si="210"/>
        <v>27.20000000000012</v>
      </c>
      <c r="D456" s="306">
        <f t="shared" ca="1" si="211"/>
        <v>-0.72559705044127176</v>
      </c>
      <c r="E456" s="307">
        <f t="shared" ca="1" si="212"/>
        <v>-6.5557701568067683</v>
      </c>
      <c r="F456" s="304">
        <f t="shared" ca="1" si="213"/>
        <v>6.5958027129749199</v>
      </c>
      <c r="G456" s="306">
        <f t="shared" ca="1" si="214"/>
        <v>19.761438200576727</v>
      </c>
      <c r="H456" s="307">
        <f t="shared" ca="1" si="215"/>
        <v>-89.609064154376711</v>
      </c>
      <c r="I456" s="304">
        <f t="shared" ca="1" si="216"/>
        <v>91.762186211850988</v>
      </c>
      <c r="J456" s="306">
        <f t="shared" ca="1" si="217"/>
        <v>736.84818754783305</v>
      </c>
      <c r="K456" s="307">
        <f t="shared" ca="1" si="218"/>
        <v>1069.3180211248118</v>
      </c>
      <c r="L456" s="304">
        <f t="shared" ca="1" si="203"/>
        <v>1298.609364587677</v>
      </c>
      <c r="M456" s="306">
        <f t="shared" ca="1" si="219"/>
        <v>-1.3537410642916243</v>
      </c>
      <c r="N456" s="304">
        <f t="shared" ca="1" si="220"/>
        <v>-77.563649537458303</v>
      </c>
      <c r="P456" s="310">
        <f t="shared" ca="1" si="221"/>
        <v>23</v>
      </c>
      <c r="Q456" s="304">
        <f t="shared" ca="1" si="222"/>
        <v>0</v>
      </c>
      <c r="R456" s="306">
        <f t="shared" ca="1" si="223"/>
        <v>0</v>
      </c>
      <c r="S456" s="307">
        <f t="shared" ca="1" si="224"/>
        <v>7.150000000000003</v>
      </c>
      <c r="T456" s="304">
        <f t="shared" ca="1" si="204"/>
        <v>70.141500000000036</v>
      </c>
      <c r="U456" s="311">
        <f t="shared" ca="1" si="205"/>
        <v>0</v>
      </c>
      <c r="V456" s="306">
        <f t="shared" ca="1" si="206"/>
        <v>1.1006566705609999</v>
      </c>
      <c r="W456" s="304">
        <f t="shared" ca="1" si="207"/>
        <v>24.188492781557361</v>
      </c>
      <c r="Y456" s="314" t="str">
        <f t="shared" ca="1" si="225"/>
        <v/>
      </c>
      <c r="Z456" s="315" t="str">
        <f t="shared" ca="1" si="226"/>
        <v/>
      </c>
      <c r="AA456" s="316" t="str">
        <f t="shared" ca="1" si="227"/>
        <v/>
      </c>
      <c r="AC456" s="310" t="e">
        <f t="shared" ca="1" si="228"/>
        <v>#N/A</v>
      </c>
      <c r="AD456" s="323" t="e">
        <f t="shared" ca="1" si="229"/>
        <v>#N/A</v>
      </c>
      <c r="AE456" s="324" t="e">
        <f t="shared" ca="1" si="208"/>
        <v>#N/A</v>
      </c>
      <c r="AG456" s="306">
        <f t="shared" ca="1" si="230"/>
        <v>6.2407335197094174</v>
      </c>
      <c r="AH456" s="304">
        <f t="shared" ca="1" si="231"/>
        <v>-3.3341420113634217</v>
      </c>
    </row>
    <row r="457" spans="1:34" x14ac:dyDescent="0.2">
      <c r="A457" s="347">
        <f t="shared" ca="1" si="209"/>
        <v>0.1</v>
      </c>
      <c r="B457" s="304">
        <f t="shared" ca="1" si="210"/>
        <v>27.300000000000122</v>
      </c>
      <c r="D457" s="306">
        <f t="shared" ca="1" si="211"/>
        <v>-0.72854698033763787</v>
      </c>
      <c r="E457" s="307">
        <f t="shared" ca="1" si="212"/>
        <v>-6.5063733895315625</v>
      </c>
      <c r="F457" s="304">
        <f t="shared" ca="1" si="213"/>
        <v>6.5470356182446059</v>
      </c>
      <c r="G457" s="306">
        <f t="shared" ca="1" si="214"/>
        <v>19.688583502542961</v>
      </c>
      <c r="H457" s="307">
        <f t="shared" ca="1" si="215"/>
        <v>-90.259701493329871</v>
      </c>
      <c r="I457" s="304">
        <f t="shared" ca="1" si="216"/>
        <v>92.382108841493874</v>
      </c>
      <c r="J457" s="306">
        <f t="shared" ca="1" si="217"/>
        <v>738.820688632989</v>
      </c>
      <c r="K457" s="307">
        <f t="shared" ca="1" si="218"/>
        <v>1060.3245828424265</v>
      </c>
      <c r="L457" s="304">
        <f t="shared" ca="1" si="203"/>
        <v>1292.3406017502082</v>
      </c>
      <c r="M457" s="306">
        <f t="shared" ca="1" si="219"/>
        <v>-1.3560279070857406</v>
      </c>
      <c r="N457" s="304">
        <f t="shared" ca="1" si="220"/>
        <v>-77.694675977971073</v>
      </c>
      <c r="P457" s="310">
        <f t="shared" ca="1" si="221"/>
        <v>23</v>
      </c>
      <c r="Q457" s="304">
        <f t="shared" ca="1" si="222"/>
        <v>0</v>
      </c>
      <c r="R457" s="306">
        <f t="shared" ca="1" si="223"/>
        <v>0</v>
      </c>
      <c r="S457" s="307">
        <f t="shared" ca="1" si="224"/>
        <v>7.150000000000003</v>
      </c>
      <c r="T457" s="304">
        <f t="shared" ca="1" si="204"/>
        <v>70.141500000000036</v>
      </c>
      <c r="U457" s="311">
        <f t="shared" ca="1" si="205"/>
        <v>0</v>
      </c>
      <c r="V457" s="306">
        <f t="shared" ca="1" si="206"/>
        <v>1.1016498010158717</v>
      </c>
      <c r="W457" s="304">
        <f t="shared" ca="1" si="207"/>
        <v>24.538541038240165</v>
      </c>
      <c r="Y457" s="314" t="str">
        <f t="shared" ca="1" si="225"/>
        <v/>
      </c>
      <c r="Z457" s="315" t="str">
        <f t="shared" ca="1" si="226"/>
        <v/>
      </c>
      <c r="AA457" s="316" t="str">
        <f t="shared" ca="1" si="227"/>
        <v/>
      </c>
      <c r="AC457" s="310" t="e">
        <f t="shared" ca="1" si="228"/>
        <v>#N/A</v>
      </c>
      <c r="AD457" s="323" t="e">
        <f t="shared" ca="1" si="229"/>
        <v>#N/A</v>
      </c>
      <c r="AE457" s="324" t="e">
        <f t="shared" ca="1" si="208"/>
        <v>#N/A</v>
      </c>
      <c r="AG457" s="306">
        <f t="shared" ca="1" si="230"/>
        <v>6.1968106670203316</v>
      </c>
      <c r="AH457" s="304">
        <f t="shared" ca="1" si="231"/>
        <v>-3.3830059834345945</v>
      </c>
    </row>
    <row r="458" spans="1:34" x14ac:dyDescent="0.2">
      <c r="A458" s="347">
        <f t="shared" ca="1" si="209"/>
        <v>0.1</v>
      </c>
      <c r="B458" s="304">
        <f t="shared" ca="1" si="210"/>
        <v>27.400000000000123</v>
      </c>
      <c r="D458" s="306">
        <f t="shared" ca="1" si="211"/>
        <v>-0.73142415061253474</v>
      </c>
      <c r="E458" s="307">
        <f t="shared" ca="1" si="212"/>
        <v>-6.4568829263022955</v>
      </c>
      <c r="F458" s="304">
        <f t="shared" ca="1" si="213"/>
        <v>6.498178084053511</v>
      </c>
      <c r="G458" s="306">
        <f t="shared" ca="1" si="214"/>
        <v>19.61544108748171</v>
      </c>
      <c r="H458" s="307">
        <f t="shared" ca="1" si="215"/>
        <v>-90.905389785960097</v>
      </c>
      <c r="I458" s="304">
        <f t="shared" ca="1" si="216"/>
        <v>92.997609760648174</v>
      </c>
      <c r="J458" s="306">
        <f t="shared" ca="1" si="217"/>
        <v>740.78588986249019</v>
      </c>
      <c r="K458" s="307">
        <f t="shared" ca="1" si="218"/>
        <v>1051.266328278462</v>
      </c>
      <c r="L458" s="304">
        <f t="shared" ca="1" si="203"/>
        <v>1286.0500097552351</v>
      </c>
      <c r="M458" s="306">
        <f t="shared" ca="1" si="219"/>
        <v>-1.3582760514030858</v>
      </c>
      <c r="N458" s="304">
        <f t="shared" ca="1" si="220"/>
        <v>-77.823485159091277</v>
      </c>
      <c r="P458" s="310">
        <f t="shared" ca="1" si="221"/>
        <v>23</v>
      </c>
      <c r="Q458" s="304">
        <f t="shared" ca="1" si="222"/>
        <v>0</v>
      </c>
      <c r="R458" s="306">
        <f t="shared" ca="1" si="223"/>
        <v>0</v>
      </c>
      <c r="S458" s="307">
        <f t="shared" ca="1" si="224"/>
        <v>7.150000000000003</v>
      </c>
      <c r="T458" s="304">
        <f t="shared" ca="1" si="204"/>
        <v>70.141500000000036</v>
      </c>
      <c r="U458" s="311">
        <f t="shared" ca="1" si="205"/>
        <v>0</v>
      </c>
      <c r="V458" s="306">
        <f t="shared" ca="1" si="206"/>
        <v>1.1026509467830736</v>
      </c>
      <c r="W458" s="304">
        <f t="shared" ca="1" si="207"/>
        <v>24.889207090642632</v>
      </c>
      <c r="Y458" s="314" t="str">
        <f t="shared" ca="1" si="225"/>
        <v/>
      </c>
      <c r="Z458" s="315" t="str">
        <f t="shared" ca="1" si="226"/>
        <v/>
      </c>
      <c r="AA458" s="316" t="str">
        <f t="shared" ca="1" si="227"/>
        <v/>
      </c>
      <c r="AC458" s="310" t="e">
        <f t="shared" ca="1" si="228"/>
        <v>#N/A</v>
      </c>
      <c r="AD458" s="323" t="e">
        <f t="shared" ca="1" si="229"/>
        <v>#N/A</v>
      </c>
      <c r="AE458" s="324" t="e">
        <f t="shared" ca="1" si="208"/>
        <v>#N/A</v>
      </c>
      <c r="AG458" s="306">
        <f t="shared" ca="1" si="230"/>
        <v>6.1526590718506569</v>
      </c>
      <c r="AH458" s="304">
        <f t="shared" ca="1" si="231"/>
        <v>-3.4319637815720498</v>
      </c>
    </row>
    <row r="459" spans="1:34" x14ac:dyDescent="0.2">
      <c r="A459" s="347">
        <f t="shared" ca="1" si="209"/>
        <v>0.1</v>
      </c>
      <c r="B459" s="304">
        <f t="shared" ca="1" si="210"/>
        <v>27.500000000000124</v>
      </c>
      <c r="D459" s="306">
        <f t="shared" ca="1" si="211"/>
        <v>-0.73422862399128785</v>
      </c>
      <c r="E459" s="307">
        <f t="shared" ca="1" si="212"/>
        <v>-6.4073062263415999</v>
      </c>
      <c r="F459" s="304">
        <f t="shared" ca="1" si="213"/>
        <v>6.4492375324842834</v>
      </c>
      <c r="G459" s="306">
        <f t="shared" ca="1" si="214"/>
        <v>19.542018225082582</v>
      </c>
      <c r="H459" s="307">
        <f t="shared" ca="1" si="215"/>
        <v>-91.546120408594263</v>
      </c>
      <c r="I459" s="304">
        <f t="shared" ca="1" si="216"/>
        <v>93.608667537650049</v>
      </c>
      <c r="J459" s="306">
        <f t="shared" ca="1" si="217"/>
        <v>742.74376282811841</v>
      </c>
      <c r="K459" s="307">
        <f t="shared" ca="1" si="218"/>
        <v>1042.1437527687342</v>
      </c>
      <c r="L459" s="304">
        <f t="shared" ca="1" si="203"/>
        <v>1279.7389963015789</v>
      </c>
      <c r="M459" s="306">
        <f t="shared" ca="1" si="219"/>
        <v>-1.3604864957740532</v>
      </c>
      <c r="N459" s="304">
        <f t="shared" ca="1" si="220"/>
        <v>-77.950134292396157</v>
      </c>
      <c r="P459" s="310">
        <f t="shared" ca="1" si="221"/>
        <v>23</v>
      </c>
      <c r="Q459" s="304">
        <f t="shared" ca="1" si="222"/>
        <v>0</v>
      </c>
      <c r="R459" s="306">
        <f t="shared" ca="1" si="223"/>
        <v>0</v>
      </c>
      <c r="S459" s="307">
        <f t="shared" ca="1" si="224"/>
        <v>7.150000000000003</v>
      </c>
      <c r="T459" s="304">
        <f t="shared" ca="1" si="204"/>
        <v>70.141500000000036</v>
      </c>
      <c r="U459" s="311">
        <f t="shared" ca="1" si="205"/>
        <v>0</v>
      </c>
      <c r="V459" s="306">
        <f t="shared" ca="1" si="206"/>
        <v>1.1036600726483756</v>
      </c>
      <c r="W459" s="304">
        <f t="shared" ca="1" si="207"/>
        <v>25.24043827820276</v>
      </c>
      <c r="Y459" s="314" t="str">
        <f t="shared" ca="1" si="225"/>
        <v/>
      </c>
      <c r="Z459" s="315" t="str">
        <f t="shared" ca="1" si="226"/>
        <v/>
      </c>
      <c r="AA459" s="316" t="str">
        <f t="shared" ca="1" si="227"/>
        <v/>
      </c>
      <c r="AC459" s="310" t="e">
        <f t="shared" ca="1" si="228"/>
        <v>#N/A</v>
      </c>
      <c r="AD459" s="323" t="e">
        <f t="shared" ca="1" si="229"/>
        <v>#N/A</v>
      </c>
      <c r="AE459" s="324" t="e">
        <f t="shared" ca="1" si="208"/>
        <v>#N/A</v>
      </c>
      <c r="AG459" s="306">
        <f t="shared" ca="1" si="230"/>
        <v>6.1082908810987622</v>
      </c>
      <c r="AH459" s="304">
        <f t="shared" ca="1" si="231"/>
        <v>-3.4810079847052617</v>
      </c>
    </row>
    <row r="460" spans="1:34" x14ac:dyDescent="0.2">
      <c r="A460" s="347">
        <f t="shared" ca="1" si="209"/>
        <v>0.1</v>
      </c>
      <c r="B460" s="304">
        <f t="shared" ca="1" si="210"/>
        <v>27.600000000000126</v>
      </c>
      <c r="D460" s="306">
        <f t="shared" ca="1" si="211"/>
        <v>-0.73696048243933987</v>
      </c>
      <c r="E460" s="307">
        <f t="shared" ca="1" si="212"/>
        <v>-6.3576506937664359</v>
      </c>
      <c r="F460" s="304">
        <f t="shared" ca="1" si="213"/>
        <v>6.4002213318467405</v>
      </c>
      <c r="G460" s="306">
        <f t="shared" ca="1" si="214"/>
        <v>19.468322176838647</v>
      </c>
      <c r="H460" s="307">
        <f t="shared" ca="1" si="215"/>
        <v>-92.181885477970908</v>
      </c>
      <c r="I460" s="304">
        <f t="shared" ca="1" si="216"/>
        <v>94.215261920003869</v>
      </c>
      <c r="J460" s="306">
        <f t="shared" ca="1" si="217"/>
        <v>744.69427984821448</v>
      </c>
      <c r="K460" s="307">
        <f t="shared" ca="1" si="218"/>
        <v>1032.957352474406</v>
      </c>
      <c r="L460" s="304">
        <f t="shared" ca="1" si="203"/>
        <v>1273.4089926137576</v>
      </c>
      <c r="M460" s="306">
        <f t="shared" ca="1" si="219"/>
        <v>-1.3626602049575509</v>
      </c>
      <c r="N460" s="304">
        <f t="shared" ca="1" si="220"/>
        <v>-78.074678654499408</v>
      </c>
      <c r="P460" s="310">
        <f t="shared" ca="1" si="221"/>
        <v>23</v>
      </c>
      <c r="Q460" s="304">
        <f t="shared" ca="1" si="222"/>
        <v>0</v>
      </c>
      <c r="R460" s="306">
        <f t="shared" ca="1" si="223"/>
        <v>0</v>
      </c>
      <c r="S460" s="307">
        <f t="shared" ca="1" si="224"/>
        <v>7.150000000000003</v>
      </c>
      <c r="T460" s="304">
        <f t="shared" ca="1" si="204"/>
        <v>70.141500000000036</v>
      </c>
      <c r="U460" s="311">
        <f t="shared" ca="1" si="205"/>
        <v>0</v>
      </c>
      <c r="V460" s="306">
        <f t="shared" ca="1" si="206"/>
        <v>1.1046771432969904</v>
      </c>
      <c r="W460" s="304">
        <f t="shared" ca="1" si="207"/>
        <v>25.592182352333793</v>
      </c>
      <c r="Y460" s="314" t="str">
        <f t="shared" ca="1" si="225"/>
        <v/>
      </c>
      <c r="Z460" s="315" t="str">
        <f t="shared" ca="1" si="226"/>
        <v/>
      </c>
      <c r="AA460" s="316" t="str">
        <f t="shared" ca="1" si="227"/>
        <v/>
      </c>
      <c r="AC460" s="310" t="e">
        <f t="shared" ca="1" si="228"/>
        <v>#N/A</v>
      </c>
      <c r="AD460" s="323" t="e">
        <f t="shared" ca="1" si="229"/>
        <v>#N/A</v>
      </c>
      <c r="AE460" s="324" t="e">
        <f t="shared" ca="1" si="208"/>
        <v>#N/A</v>
      </c>
      <c r="AG460" s="306">
        <f t="shared" ca="1" si="230"/>
        <v>6.0637179833804442</v>
      </c>
      <c r="AH460" s="304">
        <f t="shared" ca="1" si="231"/>
        <v>-3.530131227720664</v>
      </c>
    </row>
    <row r="461" spans="1:34" x14ac:dyDescent="0.2">
      <c r="A461" s="347">
        <f t="shared" ca="1" si="209"/>
        <v>0.1</v>
      </c>
      <c r="B461" s="304">
        <f t="shared" ca="1" si="210"/>
        <v>27.700000000000127</v>
      </c>
      <c r="D461" s="306">
        <f t="shared" ca="1" si="211"/>
        <v>-0.73961982674927684</v>
      </c>
      <c r="E461" s="307">
        <f t="shared" ca="1" si="212"/>
        <v>-6.3079236758393433</v>
      </c>
      <c r="F461" s="304">
        <f t="shared" ca="1" si="213"/>
        <v>6.3511367949631792</v>
      </c>
      <c r="G461" s="306">
        <f t="shared" ca="1" si="214"/>
        <v>19.39436019416372</v>
      </c>
      <c r="H461" s="307">
        <f t="shared" ca="1" si="215"/>
        <v>-92.812677845554845</v>
      </c>
      <c r="I461" s="304">
        <f t="shared" ca="1" si="216"/>
        <v>94.817373809886277</v>
      </c>
      <c r="J461" s="306">
        <f t="shared" ca="1" si="217"/>
        <v>746.6374139667646</v>
      </c>
      <c r="K461" s="307">
        <f t="shared" ca="1" si="218"/>
        <v>1023.7076243082297</v>
      </c>
      <c r="L461" s="304">
        <f t="shared" ca="1" si="203"/>
        <v>1267.0614539168087</v>
      </c>
      <c r="M461" s="306">
        <f t="shared" ca="1" si="219"/>
        <v>-1.3647981113248568</v>
      </c>
      <c r="N461" s="304">
        <f t="shared" ca="1" si="220"/>
        <v>-78.197171666340182</v>
      </c>
      <c r="P461" s="310">
        <f t="shared" ca="1" si="221"/>
        <v>23</v>
      </c>
      <c r="Q461" s="304">
        <f t="shared" ca="1" si="222"/>
        <v>0</v>
      </c>
      <c r="R461" s="306">
        <f t="shared" ca="1" si="223"/>
        <v>0</v>
      </c>
      <c r="S461" s="307">
        <f t="shared" ca="1" si="224"/>
        <v>7.150000000000003</v>
      </c>
      <c r="T461" s="304">
        <f t="shared" ca="1" si="204"/>
        <v>70.141500000000036</v>
      </c>
      <c r="U461" s="311">
        <f t="shared" ca="1" si="205"/>
        <v>0</v>
      </c>
      <c r="V461" s="306">
        <f t="shared" ca="1" si="206"/>
        <v>1.1057021233183799</v>
      </c>
      <c r="W461" s="304">
        <f t="shared" ca="1" si="207"/>
        <v>25.944387487980425</v>
      </c>
      <c r="Y461" s="314" t="str">
        <f t="shared" ca="1" si="225"/>
        <v/>
      </c>
      <c r="Z461" s="315" t="str">
        <f t="shared" ca="1" si="226"/>
        <v/>
      </c>
      <c r="AA461" s="316" t="str">
        <f t="shared" ca="1" si="227"/>
        <v/>
      </c>
      <c r="AC461" s="310" t="e">
        <f t="shared" ca="1" si="228"/>
        <v>#N/A</v>
      </c>
      <c r="AD461" s="323" t="e">
        <f t="shared" ca="1" si="229"/>
        <v>#N/A</v>
      </c>
      <c r="AE461" s="324" t="e">
        <f t="shared" ca="1" si="208"/>
        <v>#N/A</v>
      </c>
      <c r="AG461" s="306">
        <f t="shared" ca="1" si="230"/>
        <v>6.018952017518818</v>
      </c>
      <c r="AH461" s="304">
        <f t="shared" ca="1" si="231"/>
        <v>-3.5793262031236059</v>
      </c>
    </row>
    <row r="462" spans="1:34" x14ac:dyDescent="0.2">
      <c r="A462" s="347">
        <f t="shared" ca="1" si="209"/>
        <v>0.1</v>
      </c>
      <c r="B462" s="304">
        <f t="shared" ca="1" si="210"/>
        <v>27.800000000000129</v>
      </c>
      <c r="D462" s="306">
        <f t="shared" ca="1" si="211"/>
        <v>-0.74220677613372132</v>
      </c>
      <c r="E462" s="307">
        <f t="shared" ca="1" si="212"/>
        <v>-6.2581324612700246</v>
      </c>
      <c r="F462" s="304">
        <f t="shared" ca="1" si="213"/>
        <v>6.3019911775041724</v>
      </c>
      <c r="G462" s="306">
        <f t="shared" ca="1" si="214"/>
        <v>19.320139516550348</v>
      </c>
      <c r="H462" s="307">
        <f t="shared" ca="1" si="215"/>
        <v>-93.438491091681854</v>
      </c>
      <c r="I462" s="304">
        <f t="shared" ca="1" si="216"/>
        <v>95.414985240418488</v>
      </c>
      <c r="J462" s="306">
        <f t="shared" ca="1" si="217"/>
        <v>748.57313895230027</v>
      </c>
      <c r="K462" s="307">
        <f t="shared" ca="1" si="218"/>
        <v>1014.3950658613678</v>
      </c>
      <c r="L462" s="304">
        <f t="shared" ca="1" si="203"/>
        <v>1260.6978599191752</v>
      </c>
      <c r="M462" s="306">
        <f t="shared" ca="1" si="219"/>
        <v>-1.3669011161775275</v>
      </c>
      <c r="N462" s="304">
        <f t="shared" ca="1" si="220"/>
        <v>-78.317664968693748</v>
      </c>
      <c r="P462" s="310">
        <f t="shared" ca="1" si="221"/>
        <v>23</v>
      </c>
      <c r="Q462" s="304">
        <f t="shared" ca="1" si="222"/>
        <v>0</v>
      </c>
      <c r="R462" s="306">
        <f t="shared" ca="1" si="223"/>
        <v>0</v>
      </c>
      <c r="S462" s="307">
        <f t="shared" ca="1" si="224"/>
        <v>7.150000000000003</v>
      </c>
      <c r="T462" s="304">
        <f t="shared" ca="1" si="204"/>
        <v>70.141500000000036</v>
      </c>
      <c r="U462" s="311">
        <f t="shared" ca="1" si="205"/>
        <v>0</v>
      </c>
      <c r="V462" s="306">
        <f t="shared" ca="1" si="206"/>
        <v>1.1067349772110378</v>
      </c>
      <c r="W462" s="304">
        <f t="shared" ca="1" si="207"/>
        <v>26.297002294846433</v>
      </c>
      <c r="Y462" s="314" t="str">
        <f t="shared" ca="1" si="225"/>
        <v/>
      </c>
      <c r="Z462" s="315" t="str">
        <f t="shared" ca="1" si="226"/>
        <v/>
      </c>
      <c r="AA462" s="316" t="str">
        <f t="shared" ca="1" si="227"/>
        <v/>
      </c>
      <c r="AC462" s="310" t="e">
        <f t="shared" ca="1" si="228"/>
        <v>#N/A</v>
      </c>
      <c r="AD462" s="323" t="e">
        <f t="shared" ca="1" si="229"/>
        <v>#N/A</v>
      </c>
      <c r="AE462" s="324" t="e">
        <f t="shared" ca="1" si="208"/>
        <v>#N/A</v>
      </c>
      <c r="AG462" s="306">
        <f t="shared" ca="1" si="230"/>
        <v>5.9740043805001166</v>
      </c>
      <c r="AH462" s="304">
        <f t="shared" ca="1" si="231"/>
        <v>-3.6285856626546034</v>
      </c>
    </row>
    <row r="463" spans="1:34" x14ac:dyDescent="0.2">
      <c r="A463" s="347">
        <f t="shared" ca="1" si="209"/>
        <v>0.1</v>
      </c>
      <c r="B463" s="304">
        <f t="shared" ca="1" si="210"/>
        <v>27.90000000000013</v>
      </c>
      <c r="D463" s="306">
        <f t="shared" ca="1" si="211"/>
        <v>-0.74472146782375337</v>
      </c>
      <c r="E463" s="307">
        <f t="shared" ca="1" si="212"/>
        <v>-6.2082842785672252</v>
      </c>
      <c r="F463" s="304">
        <f t="shared" ca="1" si="213"/>
        <v>6.2527916763748443</v>
      </c>
      <c r="G463" s="306">
        <f t="shared" ca="1" si="214"/>
        <v>19.245667369767972</v>
      </c>
      <c r="H463" s="307">
        <f t="shared" ca="1" si="215"/>
        <v>-94.059319519538576</v>
      </c>
      <c r="I463" s="304">
        <f t="shared" ca="1" si="216"/>
        <v>96.008079352658669</v>
      </c>
      <c r="J463" s="306">
        <f t="shared" ca="1" si="217"/>
        <v>750.50142929661615</v>
      </c>
      <c r="K463" s="307">
        <f t="shared" ca="1" si="218"/>
        <v>1005.0201753308068</v>
      </c>
      <c r="L463" s="304">
        <f t="shared" ca="1" si="203"/>
        <v>1254.3197153031715</v>
      </c>
      <c r="M463" s="306">
        <f t="shared" ca="1" si="219"/>
        <v>-1.3689700910029079</v>
      </c>
      <c r="N463" s="304">
        <f t="shared" ca="1" si="220"/>
        <v>-78.43620849410685</v>
      </c>
      <c r="P463" s="310">
        <f t="shared" ca="1" si="221"/>
        <v>23</v>
      </c>
      <c r="Q463" s="304">
        <f t="shared" ca="1" si="222"/>
        <v>0</v>
      </c>
      <c r="R463" s="306">
        <f t="shared" ca="1" si="223"/>
        <v>0</v>
      </c>
      <c r="S463" s="307">
        <f t="shared" ca="1" si="224"/>
        <v>7.150000000000003</v>
      </c>
      <c r="T463" s="304">
        <f t="shared" ca="1" si="204"/>
        <v>70.141500000000036</v>
      </c>
      <c r="U463" s="311">
        <f t="shared" ca="1" si="205"/>
        <v>0</v>
      </c>
      <c r="V463" s="306">
        <f t="shared" ca="1" si="206"/>
        <v>1.1077756693872494</v>
      </c>
      <c r="W463" s="304">
        <f t="shared" ca="1" si="207"/>
        <v>26.649975828292163</v>
      </c>
      <c r="Y463" s="314" t="str">
        <f t="shared" ca="1" si="225"/>
        <v/>
      </c>
      <c r="Z463" s="315" t="str">
        <f t="shared" ca="1" si="226"/>
        <v/>
      </c>
      <c r="AA463" s="316" t="str">
        <f t="shared" ca="1" si="227"/>
        <v/>
      </c>
      <c r="AC463" s="310" t="e">
        <f t="shared" ca="1" si="228"/>
        <v>#N/A</v>
      </c>
      <c r="AD463" s="323" t="e">
        <f t="shared" ca="1" si="229"/>
        <v>#N/A</v>
      </c>
      <c r="AE463" s="324" t="e">
        <f t="shared" ca="1" si="208"/>
        <v>#N/A</v>
      </c>
      <c r="AG463" s="306">
        <f t="shared" ca="1" si="230"/>
        <v>5.9288862349325218</v>
      </c>
      <c r="AH463" s="304">
        <f t="shared" ca="1" si="231"/>
        <v>-3.6779024188596394</v>
      </c>
    </row>
    <row r="464" spans="1:34" x14ac:dyDescent="0.2">
      <c r="A464" s="347">
        <f t="shared" ca="1" si="209"/>
        <v>0.1</v>
      </c>
      <c r="B464" s="304">
        <f t="shared" ca="1" si="210"/>
        <v>28.000000000000131</v>
      </c>
      <c r="D464" s="306">
        <f t="shared" ca="1" si="211"/>
        <v>-0.74716405667253394</v>
      </c>
      <c r="E464" s="307">
        <f t="shared" ca="1" si="212"/>
        <v>-6.1583862944408896</v>
      </c>
      <c r="F464" s="304">
        <f t="shared" ca="1" si="213"/>
        <v>6.2035454281516103</v>
      </c>
      <c r="G464" s="306">
        <f t="shared" ca="1" si="214"/>
        <v>19.170950964100719</v>
      </c>
      <c r="H464" s="307">
        <f t="shared" ca="1" si="215"/>
        <v>-94.675158148982661</v>
      </c>
      <c r="I464" s="304">
        <f t="shared" ca="1" si="216"/>
        <v>96.596640373269878</v>
      </c>
      <c r="J464" s="306">
        <f t="shared" ca="1" si="217"/>
        <v>752.42226021330964</v>
      </c>
      <c r="K464" s="307">
        <f t="shared" ca="1" si="218"/>
        <v>995.58345144738064</v>
      </c>
      <c r="L464" s="304">
        <f t="shared" ca="1" si="203"/>
        <v>1247.9285502224814</v>
      </c>
      <c r="M464" s="306">
        <f t="shared" ca="1" si="219"/>
        <v>-1.3710058786705772</v>
      </c>
      <c r="N464" s="304">
        <f t="shared" ca="1" si="220"/>
        <v>-78.552850535449082</v>
      </c>
      <c r="P464" s="310">
        <f t="shared" ca="1" si="221"/>
        <v>23</v>
      </c>
      <c r="Q464" s="304">
        <f t="shared" ca="1" si="222"/>
        <v>0</v>
      </c>
      <c r="R464" s="306">
        <f t="shared" ca="1" si="223"/>
        <v>0</v>
      </c>
      <c r="S464" s="307">
        <f t="shared" ca="1" si="224"/>
        <v>7.150000000000003</v>
      </c>
      <c r="T464" s="304">
        <f t="shared" ca="1" si="204"/>
        <v>70.141500000000036</v>
      </c>
      <c r="U464" s="311">
        <f t="shared" ca="1" si="205"/>
        <v>0</v>
      </c>
      <c r="V464" s="306">
        <f t="shared" ca="1" si="206"/>
        <v>1.1088241641778274</v>
      </c>
      <c r="W464" s="304">
        <f t="shared" ca="1" si="207"/>
        <v>27.003257599900738</v>
      </c>
      <c r="Y464" s="314" t="str">
        <f t="shared" ca="1" si="225"/>
        <v/>
      </c>
      <c r="Z464" s="315" t="str">
        <f t="shared" ca="1" si="226"/>
        <v/>
      </c>
      <c r="AA464" s="316" t="str">
        <f t="shared" ca="1" si="227"/>
        <v/>
      </c>
      <c r="AC464" s="310">
        <f t="shared" ca="1" si="228"/>
        <v>28.000000000000131</v>
      </c>
      <c r="AD464" s="323">
        <f t="shared" ca="1" si="229"/>
        <v>752.42226021330964</v>
      </c>
      <c r="AE464" s="324" t="e">
        <f t="shared" ca="1" si="208"/>
        <v>#N/A</v>
      </c>
      <c r="AG464" s="306">
        <f t="shared" ca="1" si="230"/>
        <v>5.8836085160426048</v>
      </c>
      <c r="AH464" s="304">
        <f t="shared" ca="1" si="231"/>
        <v>-3.7272693466142872</v>
      </c>
    </row>
    <row r="465" spans="1:34" x14ac:dyDescent="0.2">
      <c r="A465" s="347">
        <f t="shared" ca="1" si="209"/>
        <v>0.1</v>
      </c>
      <c r="B465" s="304">
        <f t="shared" ca="1" si="210"/>
        <v>28.100000000000133</v>
      </c>
      <c r="D465" s="306">
        <f t="shared" ca="1" si="211"/>
        <v>-0.74953471476385447</v>
      </c>
      <c r="E465" s="307">
        <f t="shared" ca="1" si="212"/>
        <v>-6.1084456122545179</v>
      </c>
      <c r="F465" s="304">
        <f t="shared" ca="1" si="213"/>
        <v>6.1542595075693391</v>
      </c>
      <c r="G465" s="306">
        <f t="shared" ca="1" si="214"/>
        <v>19.095997492624335</v>
      </c>
      <c r="H465" s="307">
        <f t="shared" ca="1" si="215"/>
        <v>-95.286002710208109</v>
      </c>
      <c r="I465" s="304">
        <f t="shared" ca="1" si="216"/>
        <v>97.180653592822182</v>
      </c>
      <c r="J465" s="306">
        <f t="shared" ca="1" si="217"/>
        <v>754.33560763614594</v>
      </c>
      <c r="K465" s="307">
        <f t="shared" ca="1" si="218"/>
        <v>986.0853934044211</v>
      </c>
      <c r="L465" s="304">
        <f t="shared" ca="1" si="203"/>
        <v>1241.5259208060641</v>
      </c>
      <c r="M465" s="306">
        <f t="shared" ca="1" si="219"/>
        <v>-1.3730092945728682</v>
      </c>
      <c r="N465" s="304">
        <f t="shared" ca="1" si="220"/>
        <v>-78.667637811259752</v>
      </c>
      <c r="P465" s="310">
        <f t="shared" ca="1" si="221"/>
        <v>23</v>
      </c>
      <c r="Q465" s="304">
        <f t="shared" ca="1" si="222"/>
        <v>0</v>
      </c>
      <c r="R465" s="306">
        <f t="shared" ca="1" si="223"/>
        <v>0</v>
      </c>
      <c r="S465" s="307">
        <f t="shared" ca="1" si="224"/>
        <v>7.150000000000003</v>
      </c>
      <c r="T465" s="304">
        <f t="shared" ca="1" si="204"/>
        <v>70.141500000000036</v>
      </c>
      <c r="U465" s="311">
        <f t="shared" ca="1" si="205"/>
        <v>0</v>
      </c>
      <c r="V465" s="306">
        <f t="shared" ca="1" si="206"/>
        <v>1.1098804258368209</v>
      </c>
      <c r="W465" s="304">
        <f t="shared" ca="1" si="207"/>
        <v>27.356797587711874</v>
      </c>
      <c r="Y465" s="314" t="str">
        <f t="shared" ca="1" si="225"/>
        <v/>
      </c>
      <c r="Z465" s="315" t="str">
        <f t="shared" ca="1" si="226"/>
        <v/>
      </c>
      <c r="AA465" s="316" t="str">
        <f t="shared" ca="1" si="227"/>
        <v/>
      </c>
      <c r="AC465" s="310" t="e">
        <f t="shared" ca="1" si="228"/>
        <v>#N/A</v>
      </c>
      <c r="AD465" s="323" t="e">
        <f t="shared" ca="1" si="229"/>
        <v>#N/A</v>
      </c>
      <c r="AE465" s="324" t="e">
        <f t="shared" ca="1" si="208"/>
        <v>#N/A</v>
      </c>
      <c r="AG465" s="306">
        <f t="shared" ca="1" si="230"/>
        <v>5.8381819382414246</v>
      </c>
      <c r="AH465" s="304">
        <f t="shared" ca="1" si="231"/>
        <v>-3.7766793846015001</v>
      </c>
    </row>
    <row r="466" spans="1:34" x14ac:dyDescent="0.2">
      <c r="A466" s="347">
        <f t="shared" ca="1" si="209"/>
        <v>0.1</v>
      </c>
      <c r="B466" s="304">
        <f t="shared" ca="1" si="210"/>
        <v>28.200000000000134</v>
      </c>
      <c r="D466" s="306">
        <f t="shared" ca="1" si="211"/>
        <v>-0.75183363102535461</v>
      </c>
      <c r="E466" s="307">
        <f t="shared" ca="1" si="212"/>
        <v>-6.0584692705276275</v>
      </c>
      <c r="F466" s="304">
        <f t="shared" ca="1" si="213"/>
        <v>6.1049409260588536</v>
      </c>
      <c r="G466" s="306">
        <f t="shared" ca="1" si="214"/>
        <v>19.020814129521799</v>
      </c>
      <c r="H466" s="307">
        <f t="shared" ca="1" si="215"/>
        <v>-95.891849637260876</v>
      </c>
      <c r="I466" s="304">
        <f t="shared" ca="1" si="216"/>
        <v>97.76010534468989</v>
      </c>
      <c r="J466" s="306">
        <f t="shared" ca="1" si="217"/>
        <v>756.24144821725326</v>
      </c>
      <c r="K466" s="307">
        <f t="shared" ca="1" si="218"/>
        <v>976.52650078704767</v>
      </c>
      <c r="L466" s="304">
        <f t="shared" ca="1" si="203"/>
        <v>1235.1134096677617</v>
      </c>
      <c r="M466" s="306">
        <f t="shared" ca="1" si="219"/>
        <v>-1.3749811277124162</v>
      </c>
      <c r="N466" s="304">
        <f t="shared" ca="1" si="220"/>
        <v>-78.780615528059883</v>
      </c>
      <c r="P466" s="310">
        <f t="shared" ca="1" si="221"/>
        <v>23</v>
      </c>
      <c r="Q466" s="304">
        <f t="shared" ca="1" si="222"/>
        <v>0</v>
      </c>
      <c r="R466" s="306">
        <f t="shared" ca="1" si="223"/>
        <v>0</v>
      </c>
      <c r="S466" s="307">
        <f t="shared" ca="1" si="224"/>
        <v>7.150000000000003</v>
      </c>
      <c r="T466" s="304">
        <f t="shared" ca="1" si="204"/>
        <v>70.141500000000036</v>
      </c>
      <c r="U466" s="311">
        <f t="shared" ca="1" si="205"/>
        <v>0</v>
      </c>
      <c r="V466" s="306">
        <f t="shared" ca="1" si="206"/>
        <v>1.1109444185462023</v>
      </c>
      <c r="W466" s="304">
        <f t="shared" ca="1" si="207"/>
        <v>27.710546246122508</v>
      </c>
      <c r="Y466" s="314" t="str">
        <f t="shared" ca="1" si="225"/>
        <v/>
      </c>
      <c r="Z466" s="315" t="str">
        <f t="shared" ca="1" si="226"/>
        <v/>
      </c>
      <c r="AA466" s="316" t="str">
        <f t="shared" ca="1" si="227"/>
        <v/>
      </c>
      <c r="AC466" s="310" t="e">
        <f t="shared" ca="1" si="228"/>
        <v>#N/A</v>
      </c>
      <c r="AD466" s="323" t="e">
        <f t="shared" ca="1" si="229"/>
        <v>#N/A</v>
      </c>
      <c r="AE466" s="324" t="e">
        <f t="shared" ca="1" si="208"/>
        <v>#N/A</v>
      </c>
      <c r="AG466" s="306">
        <f t="shared" ca="1" si="230"/>
        <v>5.7926170012902212</v>
      </c>
      <c r="AH466" s="304">
        <f t="shared" ca="1" si="231"/>
        <v>-3.8261255367429179</v>
      </c>
    </row>
    <row r="467" spans="1:34" x14ac:dyDescent="0.2">
      <c r="A467" s="347">
        <f t="shared" ca="1" si="209"/>
        <v>0.1</v>
      </c>
      <c r="B467" s="304">
        <f t="shared" ca="1" si="210"/>
        <v>28.300000000000136</v>
      </c>
      <c r="D467" s="306">
        <f t="shared" ca="1" si="211"/>
        <v>-0.75406101084617405</v>
      </c>
      <c r="E467" s="307">
        <f t="shared" ca="1" si="212"/>
        <v>-6.0084642414882712</v>
      </c>
      <c r="F467" s="304">
        <f t="shared" ca="1" si="213"/>
        <v>6.0555966303347502</v>
      </c>
      <c r="G467" s="306">
        <f t="shared" ca="1" si="214"/>
        <v>18.945408028437182</v>
      </c>
      <c r="H467" s="307">
        <f t="shared" ca="1" si="215"/>
        <v>-96.492696061409703</v>
      </c>
      <c r="I467" s="304">
        <f t="shared" ca="1" si="216"/>
        <v>98.334982984508443</v>
      </c>
      <c r="J467" s="306">
        <f t="shared" ca="1" si="217"/>
        <v>758.1397593251512</v>
      </c>
      <c r="K467" s="307">
        <f t="shared" ca="1" si="218"/>
        <v>966.90727350211409</v>
      </c>
      <c r="L467" s="304">
        <f t="shared" ca="1" si="203"/>
        <v>1228.6926264208189</v>
      </c>
      <c r="M467" s="306">
        <f t="shared" ca="1" si="219"/>
        <v>-1.3769221417395221</v>
      </c>
      <c r="N467" s="304">
        <f t="shared" ca="1" si="220"/>
        <v>-78.891827439788742</v>
      </c>
      <c r="P467" s="310">
        <f t="shared" ca="1" si="221"/>
        <v>23</v>
      </c>
      <c r="Q467" s="304">
        <f t="shared" ca="1" si="222"/>
        <v>0</v>
      </c>
      <c r="R467" s="306">
        <f t="shared" ca="1" si="223"/>
        <v>0</v>
      </c>
      <c r="S467" s="307">
        <f t="shared" ca="1" si="224"/>
        <v>7.150000000000003</v>
      </c>
      <c r="T467" s="304">
        <f t="shared" ca="1" si="204"/>
        <v>70.141500000000036</v>
      </c>
      <c r="U467" s="311">
        <f t="shared" ca="1" si="205"/>
        <v>0</v>
      </c>
      <c r="V467" s="306">
        <f t="shared" ca="1" si="206"/>
        <v>1.1120161064205203</v>
      </c>
      <c r="W467" s="304">
        <f t="shared" ca="1" si="207"/>
        <v>28.064454515453871</v>
      </c>
      <c r="Y467" s="314" t="str">
        <f t="shared" ca="1" si="225"/>
        <v/>
      </c>
      <c r="Z467" s="315" t="str">
        <f t="shared" ca="1" si="226"/>
        <v/>
      </c>
      <c r="AA467" s="316" t="str">
        <f t="shared" ca="1" si="227"/>
        <v/>
      </c>
      <c r="AC467" s="310" t="e">
        <f t="shared" ca="1" si="228"/>
        <v>#N/A</v>
      </c>
      <c r="AD467" s="323" t="e">
        <f t="shared" ca="1" si="229"/>
        <v>#N/A</v>
      </c>
      <c r="AE467" s="324" t="e">
        <f t="shared" ca="1" si="208"/>
        <v>#N/A</v>
      </c>
      <c r="AG467" s="306">
        <f t="shared" ca="1" si="230"/>
        <v>5.7469239960935097</v>
      </c>
      <c r="AH467" s="304">
        <f t="shared" ca="1" si="231"/>
        <v>-3.8756008735835659</v>
      </c>
    </row>
    <row r="468" spans="1:34" x14ac:dyDescent="0.2">
      <c r="A468" s="347">
        <f t="shared" ca="1" si="209"/>
        <v>0.1</v>
      </c>
      <c r="B468" s="304">
        <f t="shared" ca="1" si="210"/>
        <v>28.400000000000137</v>
      </c>
      <c r="D468" s="306">
        <f t="shared" ca="1" si="211"/>
        <v>-0.75621707569882923</v>
      </c>
      <c r="E468" s="307">
        <f t="shared" ca="1" si="212"/>
        <v>-5.9584374296754339</v>
      </c>
      <c r="F468" s="304">
        <f t="shared" ca="1" si="213"/>
        <v>6.0062335010333792</v>
      </c>
      <c r="G468" s="306">
        <f t="shared" ca="1" si="214"/>
        <v>18.869786320867298</v>
      </c>
      <c r="H468" s="307">
        <f t="shared" ca="1" si="215"/>
        <v>-97.088539804377248</v>
      </c>
      <c r="I468" s="304">
        <f t="shared" ca="1" si="216"/>
        <v>98.905274870157129</v>
      </c>
      <c r="J468" s="306">
        <f t="shared" ca="1" si="217"/>
        <v>760.03051904261645</v>
      </c>
      <c r="K468" s="307">
        <f t="shared" ca="1" si="218"/>
        <v>957.2282117088248</v>
      </c>
      <c r="L468" s="304">
        <f t="shared" ca="1" si="203"/>
        <v>1222.2652081964304</v>
      </c>
      <c r="M468" s="306">
        <f t="shared" ca="1" si="219"/>
        <v>-1.3788330759419476</v>
      </c>
      <c r="N468" s="304">
        <f t="shared" ca="1" si="220"/>
        <v>-79.001315904514925</v>
      </c>
      <c r="P468" s="310">
        <f t="shared" ca="1" si="221"/>
        <v>23</v>
      </c>
      <c r="Q468" s="304">
        <f t="shared" ca="1" si="222"/>
        <v>0</v>
      </c>
      <c r="R468" s="306">
        <f t="shared" ca="1" si="223"/>
        <v>0</v>
      </c>
      <c r="S468" s="307">
        <f t="shared" ca="1" si="224"/>
        <v>7.150000000000003</v>
      </c>
      <c r="T468" s="304">
        <f t="shared" ca="1" si="204"/>
        <v>70.141500000000036</v>
      </c>
      <c r="U468" s="311">
        <f t="shared" ca="1" si="205"/>
        <v>0</v>
      </c>
      <c r="V468" s="306">
        <f t="shared" ca="1" si="206"/>
        <v>1.1130954535115312</v>
      </c>
      <c r="W468" s="304">
        <f t="shared" ca="1" si="207"/>
        <v>28.418473831184567</v>
      </c>
      <c r="Y468" s="314" t="str">
        <f t="shared" ca="1" si="225"/>
        <v/>
      </c>
      <c r="Z468" s="315" t="str">
        <f t="shared" ca="1" si="226"/>
        <v/>
      </c>
      <c r="AA468" s="316" t="str">
        <f t="shared" ca="1" si="227"/>
        <v/>
      </c>
      <c r="AC468" s="310" t="e">
        <f t="shared" ca="1" si="228"/>
        <v>#N/A</v>
      </c>
      <c r="AD468" s="323" t="e">
        <f t="shared" ca="1" si="229"/>
        <v>#N/A</v>
      </c>
      <c r="AE468" s="324" t="e">
        <f t="shared" ca="1" si="208"/>
        <v>#N/A</v>
      </c>
      <c r="AG468" s="306">
        <f t="shared" ca="1" si="230"/>
        <v>5.7011130101454555</v>
      </c>
      <c r="AH468" s="304">
        <f t="shared" ca="1" si="231"/>
        <v>-3.9250985336299102</v>
      </c>
    </row>
    <row r="469" spans="1:34" x14ac:dyDescent="0.2">
      <c r="A469" s="347">
        <f t="shared" ca="1" si="209"/>
        <v>0.1</v>
      </c>
      <c r="B469" s="304">
        <f t="shared" ca="1" si="210"/>
        <v>28.500000000000139</v>
      </c>
      <c r="D469" s="306">
        <f t="shared" ca="1" si="211"/>
        <v>-0.75830206276513878</v>
      </c>
      <c r="E469" s="307">
        <f t="shared" ca="1" si="212"/>
        <v>-5.9083956705912115</v>
      </c>
      <c r="F469" s="304">
        <f t="shared" ca="1" si="213"/>
        <v>5.9568583514009159</v>
      </c>
      <c r="G469" s="306">
        <f t="shared" ca="1" si="214"/>
        <v>18.793956114590785</v>
      </c>
      <c r="H469" s="307">
        <f t="shared" ca="1" si="215"/>
        <v>-97.679379371436369</v>
      </c>
      <c r="I469" s="304">
        <f t="shared" ca="1" si="216"/>
        <v>99.470970342236811</v>
      </c>
      <c r="J469" s="306">
        <f t="shared" ca="1" si="217"/>
        <v>761.9137061643894</v>
      </c>
      <c r="K469" s="307">
        <f t="shared" ca="1" si="218"/>
        <v>947.48981575003415</v>
      </c>
      <c r="L469" s="304">
        <f t="shared" ca="1" si="203"/>
        <v>1215.8328201653339</v>
      </c>
      <c r="M469" s="306">
        <f t="shared" ca="1" si="219"/>
        <v>-1.3807146461896156</v>
      </c>
      <c r="N469" s="304">
        <f t="shared" ca="1" si="220"/>
        <v>-79.109121938563689</v>
      </c>
      <c r="P469" s="310">
        <f t="shared" ca="1" si="221"/>
        <v>23</v>
      </c>
      <c r="Q469" s="304">
        <f t="shared" ca="1" si="222"/>
        <v>0</v>
      </c>
      <c r="R469" s="306">
        <f t="shared" ca="1" si="223"/>
        <v>0</v>
      </c>
      <c r="S469" s="307">
        <f t="shared" ca="1" si="224"/>
        <v>7.150000000000003</v>
      </c>
      <c r="T469" s="304">
        <f t="shared" ca="1" si="204"/>
        <v>70.141500000000036</v>
      </c>
      <c r="U469" s="311">
        <f t="shared" ca="1" si="205"/>
        <v>0</v>
      </c>
      <c r="V469" s="306">
        <f t="shared" ca="1" si="206"/>
        <v>1.1141824238127946</v>
      </c>
      <c r="W469" s="304">
        <f t="shared" ca="1" si="207"/>
        <v>28.772556132849772</v>
      </c>
      <c r="Y469" s="314" t="str">
        <f t="shared" ca="1" si="225"/>
        <v/>
      </c>
      <c r="Z469" s="315" t="str">
        <f t="shared" ca="1" si="226"/>
        <v/>
      </c>
      <c r="AA469" s="316" t="str">
        <f t="shared" ca="1" si="227"/>
        <v/>
      </c>
      <c r="AC469" s="310" t="e">
        <f t="shared" ca="1" si="228"/>
        <v>#N/A</v>
      </c>
      <c r="AD469" s="323" t="e">
        <f t="shared" ca="1" si="229"/>
        <v>#N/A</v>
      </c>
      <c r="AE469" s="324" t="e">
        <f t="shared" ca="1" si="208"/>
        <v>#N/A</v>
      </c>
      <c r="AG469" s="306">
        <f t="shared" ca="1" si="230"/>
        <v>5.6551939326536491</v>
      </c>
      <c r="AH469" s="304">
        <f t="shared" ca="1" si="231"/>
        <v>-3.9746117246411967</v>
      </c>
    </row>
    <row r="470" spans="1:34" x14ac:dyDescent="0.2">
      <c r="A470" s="347">
        <f t="shared" ca="1" si="209"/>
        <v>0.1</v>
      </c>
      <c r="B470" s="304">
        <f t="shared" ca="1" si="210"/>
        <v>28.60000000000014</v>
      </c>
      <c r="D470" s="306">
        <f t="shared" ca="1" si="211"/>
        <v>-0.7603162245660241</v>
      </c>
      <c r="E470" s="307">
        <f t="shared" ca="1" si="212"/>
        <v>-5.858345729402596</v>
      </c>
      <c r="F470" s="304">
        <f t="shared" ca="1" si="213"/>
        <v>5.9074779260313761</v>
      </c>
      <c r="G470" s="306">
        <f t="shared" ca="1" si="214"/>
        <v>18.717924492134181</v>
      </c>
      <c r="H470" s="307">
        <f t="shared" ca="1" si="215"/>
        <v>-98.265213944376626</v>
      </c>
      <c r="I470" s="304">
        <f t="shared" ca="1" si="216"/>
        <v>100.0320597050133</v>
      </c>
      <c r="J470" s="306">
        <f t="shared" ca="1" si="217"/>
        <v>763.78930019472568</v>
      </c>
      <c r="K470" s="307">
        <f t="shared" ca="1" si="218"/>
        <v>937.69258608424354</v>
      </c>
      <c r="L470" s="304">
        <f t="shared" ca="1" si="203"/>
        <v>1209.3971560613597</v>
      </c>
      <c r="M470" s="306">
        <f t="shared" ca="1" si="219"/>
        <v>-1.3825675458365432</v>
      </c>
      <c r="N470" s="304">
        <f t="shared" ca="1" si="220"/>
        <v>-79.215285268193909</v>
      </c>
      <c r="P470" s="310">
        <f t="shared" ca="1" si="221"/>
        <v>23</v>
      </c>
      <c r="Q470" s="304">
        <f t="shared" ca="1" si="222"/>
        <v>0</v>
      </c>
      <c r="R470" s="306">
        <f t="shared" ca="1" si="223"/>
        <v>0</v>
      </c>
      <c r="S470" s="307">
        <f t="shared" ca="1" si="224"/>
        <v>7.150000000000003</v>
      </c>
      <c r="T470" s="304">
        <f t="shared" ca="1" si="204"/>
        <v>70.141500000000036</v>
      </c>
      <c r="U470" s="311">
        <f t="shared" ca="1" si="205"/>
        <v>0</v>
      </c>
      <c r="V470" s="306">
        <f t="shared" ca="1" si="206"/>
        <v>1.1152769812642453</v>
      </c>
      <c r="W470" s="304">
        <f t="shared" ca="1" si="207"/>
        <v>29.126653872606635</v>
      </c>
      <c r="Y470" s="314" t="str">
        <f t="shared" ca="1" si="225"/>
        <v/>
      </c>
      <c r="Z470" s="315" t="str">
        <f t="shared" ca="1" si="226"/>
        <v/>
      </c>
      <c r="AA470" s="316" t="str">
        <f t="shared" ca="1" si="227"/>
        <v/>
      </c>
      <c r="AC470" s="310" t="e">
        <f t="shared" ca="1" si="228"/>
        <v>#N/A</v>
      </c>
      <c r="AD470" s="323" t="e">
        <f t="shared" ca="1" si="229"/>
        <v>#N/A</v>
      </c>
      <c r="AE470" s="324" t="e">
        <f t="shared" ca="1" si="208"/>
        <v>#N/A</v>
      </c>
      <c r="AG470" s="306">
        <f t="shared" ca="1" si="230"/>
        <v>5.6091764593627538</v>
      </c>
      <c r="AH470" s="304">
        <f t="shared" ca="1" si="231"/>
        <v>-4.0241337248740923</v>
      </c>
    </row>
    <row r="471" spans="1:34" x14ac:dyDescent="0.2">
      <c r="A471" s="347">
        <f t="shared" ca="1" si="209"/>
        <v>0.1</v>
      </c>
      <c r="B471" s="304">
        <f t="shared" ca="1" si="210"/>
        <v>28.700000000000141</v>
      </c>
      <c r="D471" s="306">
        <f t="shared" ca="1" si="211"/>
        <v>-0.76225982859504016</v>
      </c>
      <c r="E471" s="307">
        <f t="shared" ca="1" si="212"/>
        <v>-5.8082942996926761</v>
      </c>
      <c r="F471" s="304">
        <f t="shared" ca="1" si="213"/>
        <v>5.858098899654407</v>
      </c>
      <c r="G471" s="306">
        <f t="shared" ca="1" si="214"/>
        <v>18.641698509274676</v>
      </c>
      <c r="H471" s="307">
        <f t="shared" ca="1" si="215"/>
        <v>-98.846043374345896</v>
      </c>
      <c r="I471" s="304">
        <f t="shared" ca="1" si="216"/>
        <v>100.58853420780007</v>
      </c>
      <c r="J471" s="306">
        <f t="shared" ca="1" si="217"/>
        <v>765.65728134479616</v>
      </c>
      <c r="K471" s="307">
        <f t="shared" ca="1" si="218"/>
        <v>927.83702321830742</v>
      </c>
      <c r="L471" s="304">
        <f t="shared" ca="1" si="203"/>
        <v>1202.9599387057385</v>
      </c>
      <c r="M471" s="306">
        <f t="shared" ca="1" si="219"/>
        <v>-1.3843924465822015</v>
      </c>
      <c r="N471" s="304">
        <f t="shared" ca="1" si="220"/>
        <v>-79.319844378950421</v>
      </c>
      <c r="P471" s="310">
        <f t="shared" ca="1" si="221"/>
        <v>23</v>
      </c>
      <c r="Q471" s="304">
        <f t="shared" ca="1" si="222"/>
        <v>0</v>
      </c>
      <c r="R471" s="306">
        <f t="shared" ca="1" si="223"/>
        <v>0</v>
      </c>
      <c r="S471" s="307">
        <f t="shared" ca="1" si="224"/>
        <v>7.150000000000003</v>
      </c>
      <c r="T471" s="304">
        <f t="shared" ca="1" si="204"/>
        <v>70.141500000000036</v>
      </c>
      <c r="U471" s="311">
        <f t="shared" ca="1" si="205"/>
        <v>0</v>
      </c>
      <c r="V471" s="306">
        <f t="shared" ca="1" si="206"/>
        <v>1.1163790897567263</v>
      </c>
      <c r="W471" s="304">
        <f t="shared" ca="1" si="207"/>
        <v>29.480720023466425</v>
      </c>
      <c r="Y471" s="314" t="str">
        <f t="shared" ca="1" si="225"/>
        <v/>
      </c>
      <c r="Z471" s="315" t="str">
        <f t="shared" ca="1" si="226"/>
        <v/>
      </c>
      <c r="AA471" s="316" t="str">
        <f t="shared" ca="1" si="227"/>
        <v/>
      </c>
      <c r="AC471" s="310" t="e">
        <f t="shared" ca="1" si="228"/>
        <v>#N/A</v>
      </c>
      <c r="AD471" s="323" t="e">
        <f t="shared" ca="1" si="229"/>
        <v>#N/A</v>
      </c>
      <c r="AE471" s="324" t="e">
        <f t="shared" ca="1" si="208"/>
        <v>#N/A</v>
      </c>
      <c r="AG471" s="306">
        <f t="shared" ca="1" si="230"/>
        <v>5.5630700970989357</v>
      </c>
      <c r="AH471" s="304">
        <f t="shared" ca="1" si="231"/>
        <v>-4.0736578842806468</v>
      </c>
    </row>
    <row r="472" spans="1:34" x14ac:dyDescent="0.2">
      <c r="A472" s="347">
        <f t="shared" ca="1" si="209"/>
        <v>0.1</v>
      </c>
      <c r="B472" s="304">
        <f t="shared" ca="1" si="210"/>
        <v>28.800000000000143</v>
      </c>
      <c r="D472" s="306">
        <f t="shared" ca="1" si="211"/>
        <v>-0.76413315695551387</v>
      </c>
      <c r="E472" s="307">
        <f t="shared" ca="1" si="212"/>
        <v>-5.758248002261066</v>
      </c>
      <c r="F472" s="304">
        <f t="shared" ca="1" si="213"/>
        <v>5.8087278759727043</v>
      </c>
      <c r="G472" s="306">
        <f t="shared" ca="1" si="214"/>
        <v>18.565285193579125</v>
      </c>
      <c r="H472" s="307">
        <f t="shared" ca="1" si="215"/>
        <v>-99.421868174571998</v>
      </c>
      <c r="I472" s="304">
        <f t="shared" ca="1" si="216"/>
        <v>101.14038602675441</v>
      </c>
      <c r="J472" s="306">
        <f t="shared" ca="1" si="217"/>
        <v>767.51763052993886</v>
      </c>
      <c r="K472" s="307">
        <f t="shared" ca="1" si="218"/>
        <v>917.92362764086158</v>
      </c>
      <c r="L472" s="304">
        <f t="shared" ca="1" si="203"/>
        <v>1196.5229205308399</v>
      </c>
      <c r="M472" s="306">
        <f t="shared" ca="1" si="219"/>
        <v>-1.3861899992943736</v>
      </c>
      <c r="N472" s="304">
        <f t="shared" ca="1" si="220"/>
        <v>-79.422836562810176</v>
      </c>
      <c r="P472" s="310">
        <f t="shared" ca="1" si="221"/>
        <v>23</v>
      </c>
      <c r="Q472" s="304">
        <f t="shared" ca="1" si="222"/>
        <v>0</v>
      </c>
      <c r="R472" s="306">
        <f t="shared" ca="1" si="223"/>
        <v>0</v>
      </c>
      <c r="S472" s="307">
        <f t="shared" ca="1" si="224"/>
        <v>7.150000000000003</v>
      </c>
      <c r="T472" s="304">
        <f t="shared" ca="1" si="204"/>
        <v>70.141500000000036</v>
      </c>
      <c r="U472" s="311">
        <f t="shared" ca="1" si="205"/>
        <v>0</v>
      </c>
      <c r="V472" s="306">
        <f t="shared" ca="1" si="206"/>
        <v>1.1174887131364986</v>
      </c>
      <c r="W472" s="304">
        <f t="shared" ca="1" si="207"/>
        <v>29.834708087193924</v>
      </c>
      <c r="Y472" s="314" t="str">
        <f t="shared" ca="1" si="225"/>
        <v/>
      </c>
      <c r="Z472" s="315" t="str">
        <f t="shared" ca="1" si="226"/>
        <v/>
      </c>
      <c r="AA472" s="316" t="str">
        <f t="shared" ca="1" si="227"/>
        <v/>
      </c>
      <c r="AC472" s="310" t="e">
        <f t="shared" ca="1" si="228"/>
        <v>#N/A</v>
      </c>
      <c r="AD472" s="323" t="e">
        <f t="shared" ca="1" si="229"/>
        <v>#N/A</v>
      </c>
      <c r="AE472" s="324" t="e">
        <f t="shared" ca="1" si="208"/>
        <v>#N/A</v>
      </c>
      <c r="AG472" s="306">
        <f t="shared" ca="1" si="230"/>
        <v>5.5168841680546237</v>
      </c>
      <c r="AH472" s="304">
        <f t="shared" ca="1" si="231"/>
        <v>-4.123177625659638</v>
      </c>
    </row>
    <row r="473" spans="1:34" x14ac:dyDescent="0.2">
      <c r="A473" s="347">
        <f t="shared" ca="1" si="209"/>
        <v>0.1</v>
      </c>
      <c r="B473" s="304">
        <f t="shared" ca="1" si="210"/>
        <v>28.900000000000144</v>
      </c>
      <c r="D473" s="306">
        <f t="shared" ca="1" si="211"/>
        <v>-0.76593650600117358</v>
      </c>
      <c r="E473" s="307">
        <f t="shared" ca="1" si="212"/>
        <v>-5.708213383973332</v>
      </c>
      <c r="F473" s="304">
        <f t="shared" ca="1" si="213"/>
        <v>5.7593713865488452</v>
      </c>
      <c r="G473" s="306">
        <f t="shared" ca="1" si="214"/>
        <v>18.488691542979009</v>
      </c>
      <c r="H473" s="307">
        <f t="shared" ca="1" si="215"/>
        <v>-99.992689512969335</v>
      </c>
      <c r="I473" s="304">
        <f t="shared" ca="1" si="216"/>
        <v>101.68760824706476</v>
      </c>
      <c r="J473" s="306">
        <f t="shared" ca="1" si="217"/>
        <v>769.37032936676678</v>
      </c>
      <c r="K473" s="307">
        <f t="shared" ca="1" si="218"/>
        <v>907.9528997564845</v>
      </c>
      <c r="L473" s="304">
        <f t="shared" ca="1" si="203"/>
        <v>1190.0878841018994</v>
      </c>
      <c r="M473" s="306">
        <f t="shared" ca="1" si="219"/>
        <v>-1.3879608347954653</v>
      </c>
      <c r="N473" s="304">
        <f t="shared" ca="1" si="220"/>
        <v>-79.524297963234659</v>
      </c>
      <c r="P473" s="310">
        <f t="shared" ca="1" si="221"/>
        <v>23</v>
      </c>
      <c r="Q473" s="304">
        <f t="shared" ca="1" si="222"/>
        <v>0</v>
      </c>
      <c r="R473" s="306">
        <f t="shared" ca="1" si="223"/>
        <v>0</v>
      </c>
      <c r="S473" s="307">
        <f t="shared" ca="1" si="224"/>
        <v>7.150000000000003</v>
      </c>
      <c r="T473" s="304">
        <f t="shared" ca="1" si="204"/>
        <v>70.141500000000036</v>
      </c>
      <c r="U473" s="311">
        <f t="shared" ca="1" si="205"/>
        <v>0</v>
      </c>
      <c r="V473" s="306">
        <f t="shared" ca="1" si="206"/>
        <v>1.1186058152097094</v>
      </c>
      <c r="W473" s="304">
        <f t="shared" ca="1" si="207"/>
        <v>30.188572101875142</v>
      </c>
      <c r="Y473" s="314" t="str">
        <f t="shared" ca="1" si="225"/>
        <v/>
      </c>
      <c r="Z473" s="315" t="str">
        <f t="shared" ca="1" si="226"/>
        <v/>
      </c>
      <c r="AA473" s="316" t="str">
        <f t="shared" ca="1" si="227"/>
        <v/>
      </c>
      <c r="AC473" s="310" t="e">
        <f t="shared" ca="1" si="228"/>
        <v>#N/A</v>
      </c>
      <c r="AD473" s="323" t="e">
        <f t="shared" ca="1" si="229"/>
        <v>#N/A</v>
      </c>
      <c r="AE473" s="324" t="e">
        <f t="shared" ca="1" si="208"/>
        <v>#N/A</v>
      </c>
      <c r="AG473" s="306">
        <f t="shared" ca="1" si="230"/>
        <v>5.4706278138317108</v>
      </c>
      <c r="AH473" s="304">
        <f t="shared" ca="1" si="231"/>
        <v>-4.1726864457613866</v>
      </c>
    </row>
    <row r="474" spans="1:34" x14ac:dyDescent="0.2">
      <c r="A474" s="347">
        <f t="shared" ca="1" si="209"/>
        <v>0.1</v>
      </c>
      <c r="B474" s="304">
        <f t="shared" ca="1" si="210"/>
        <v>29.000000000000146</v>
      </c>
      <c r="D474" s="306">
        <f t="shared" ca="1" si="211"/>
        <v>-0.76767018598016379</v>
      </c>
      <c r="E474" s="307">
        <f t="shared" ca="1" si="212"/>
        <v>-5.6581969166591639</v>
      </c>
      <c r="F474" s="304">
        <f t="shared" ca="1" si="213"/>
        <v>5.7100358897413326</v>
      </c>
      <c r="G474" s="306">
        <f t="shared" ca="1" si="214"/>
        <v>18.411924524380993</v>
      </c>
      <c r="H474" s="307">
        <f t="shared" ca="1" si="215"/>
        <v>-100.55850920463526</v>
      </c>
      <c r="I474" s="304">
        <f t="shared" ca="1" si="216"/>
        <v>102.23019484550646</v>
      </c>
      <c r="J474" s="306">
        <f t="shared" ca="1" si="217"/>
        <v>771.21536017013477</v>
      </c>
      <c r="K474" s="307">
        <f t="shared" ca="1" si="218"/>
        <v>897.92533982060422</v>
      </c>
      <c r="L474" s="304">
        <f t="shared" ca="1" si="203"/>
        <v>1183.6566426351428</v>
      </c>
      <c r="M474" s="306">
        <f t="shared" ca="1" si="219"/>
        <v>-1.3897055646141092</v>
      </c>
      <c r="N474" s="304">
        <f t="shared" ca="1" si="220"/>
        <v>-79.624263618233584</v>
      </c>
      <c r="P474" s="310">
        <f t="shared" ca="1" si="221"/>
        <v>23</v>
      </c>
      <c r="Q474" s="304">
        <f t="shared" ca="1" si="222"/>
        <v>0</v>
      </c>
      <c r="R474" s="306">
        <f t="shared" ca="1" si="223"/>
        <v>0</v>
      </c>
      <c r="S474" s="307">
        <f t="shared" ca="1" si="224"/>
        <v>7.150000000000003</v>
      </c>
      <c r="T474" s="304">
        <f t="shared" ca="1" si="204"/>
        <v>70.141500000000036</v>
      </c>
      <c r="U474" s="311">
        <f t="shared" ca="1" si="205"/>
        <v>0</v>
      </c>
      <c r="V474" s="306">
        <f t="shared" ca="1" si="206"/>
        <v>1.1197303597468318</v>
      </c>
      <c r="W474" s="304">
        <f t="shared" ca="1" si="207"/>
        <v>30.542266649154197</v>
      </c>
      <c r="Y474" s="314" t="str">
        <f t="shared" ca="1" si="225"/>
        <v/>
      </c>
      <c r="Z474" s="315" t="str">
        <f t="shared" ca="1" si="226"/>
        <v/>
      </c>
      <c r="AA474" s="316" t="str">
        <f t="shared" ca="1" si="227"/>
        <v/>
      </c>
      <c r="AC474" s="310">
        <f t="shared" ca="1" si="228"/>
        <v>29.000000000000146</v>
      </c>
      <c r="AD474" s="323">
        <f t="shared" ca="1" si="229"/>
        <v>771.21536017013477</v>
      </c>
      <c r="AE474" s="324" t="e">
        <f t="shared" ca="1" si="208"/>
        <v>#N/A</v>
      </c>
      <c r="AG474" s="306">
        <f t="shared" ca="1" si="230"/>
        <v>5.4243099992602426</v>
      </c>
      <c r="AH474" s="304">
        <f t="shared" ca="1" si="231"/>
        <v>-4.2221779163461717</v>
      </c>
    </row>
    <row r="475" spans="1:34" x14ac:dyDescent="0.2">
      <c r="A475" s="347">
        <f t="shared" ca="1" si="209"/>
        <v>0.1</v>
      </c>
      <c r="B475" s="304">
        <f t="shared" ca="1" si="210"/>
        <v>29.100000000000147</v>
      </c>
      <c r="D475" s="306">
        <f t="shared" ca="1" si="211"/>
        <v>-0.76933452068237651</v>
      </c>
      <c r="E475" s="307">
        <f t="shared" ca="1" si="212"/>
        <v>-5.6082049960590235</v>
      </c>
      <c r="F475" s="304">
        <f t="shared" ca="1" si="213"/>
        <v>5.6607277696895979</v>
      </c>
      <c r="G475" s="306">
        <f t="shared" ca="1" si="214"/>
        <v>18.334991072312754</v>
      </c>
      <c r="H475" s="307">
        <f t="shared" ca="1" si="215"/>
        <v>-101.11932970424115</v>
      </c>
      <c r="I475" s="304">
        <f t="shared" ca="1" si="216"/>
        <v>102.76814067334689</v>
      </c>
      <c r="J475" s="306">
        <f t="shared" ca="1" si="217"/>
        <v>773.05270594996944</v>
      </c>
      <c r="K475" s="307">
        <f t="shared" ca="1" si="218"/>
        <v>887.84144787516038</v>
      </c>
      <c r="L475" s="304">
        <f t="shared" ca="1" si="203"/>
        <v>1177.2310405105834</v>
      </c>
      <c r="M475" s="306">
        <f t="shared" ca="1" si="219"/>
        <v>-1.3914247817038048</v>
      </c>
      <c r="N475" s="304">
        <f t="shared" ca="1" si="220"/>
        <v>-79.722767501539906</v>
      </c>
      <c r="P475" s="310">
        <f t="shared" ca="1" si="221"/>
        <v>23</v>
      </c>
      <c r="Q475" s="304">
        <f t="shared" ca="1" si="222"/>
        <v>0</v>
      </c>
      <c r="R475" s="306">
        <f t="shared" ca="1" si="223"/>
        <v>0</v>
      </c>
      <c r="S475" s="307">
        <f t="shared" ca="1" si="224"/>
        <v>7.150000000000003</v>
      </c>
      <c r="T475" s="304">
        <f t="shared" ca="1" si="204"/>
        <v>70.141500000000036</v>
      </c>
      <c r="U475" s="311">
        <f t="shared" ca="1" si="205"/>
        <v>0</v>
      </c>
      <c r="V475" s="306">
        <f t="shared" ca="1" si="206"/>
        <v>1.1208623104870694</v>
      </c>
      <c r="W475" s="304">
        <f t="shared" ca="1" si="207"/>
        <v>30.895746861140996</v>
      </c>
      <c r="Y475" s="314" t="str">
        <f t="shared" ca="1" si="225"/>
        <v/>
      </c>
      <c r="Z475" s="315" t="str">
        <f t="shared" ca="1" si="226"/>
        <v/>
      </c>
      <c r="AA475" s="316" t="str">
        <f t="shared" ca="1" si="227"/>
        <v/>
      </c>
      <c r="AC475" s="310" t="e">
        <f t="shared" ca="1" si="228"/>
        <v>#N/A</v>
      </c>
      <c r="AD475" s="323" t="e">
        <f t="shared" ca="1" si="229"/>
        <v>#N/A</v>
      </c>
      <c r="AE475" s="324" t="e">
        <f t="shared" ca="1" si="208"/>
        <v>#N/A</v>
      </c>
      <c r="AG475" s="306">
        <f t="shared" ca="1" si="230"/>
        <v>5.3779395160083094</v>
      </c>
      <c r="AH475" s="304">
        <f t="shared" ca="1" si="231"/>
        <v>-4.2716456851963898</v>
      </c>
    </row>
    <row r="476" spans="1:34" x14ac:dyDescent="0.2">
      <c r="A476" s="347">
        <f t="shared" ca="1" si="209"/>
        <v>0.1</v>
      </c>
      <c r="B476" s="304">
        <f t="shared" ca="1" si="210"/>
        <v>29.200000000000149</v>
      </c>
      <c r="D476" s="306">
        <f t="shared" ca="1" si="211"/>
        <v>-0.77092984709001622</v>
      </c>
      <c r="E476" s="307">
        <f t="shared" ca="1" si="212"/>
        <v>-5.5582439408189837</v>
      </c>
      <c r="F476" s="304">
        <f t="shared" ca="1" si="213"/>
        <v>5.6114533353477318</v>
      </c>
      <c r="G476" s="306">
        <f t="shared" ca="1" si="214"/>
        <v>18.257898087603753</v>
      </c>
      <c r="H476" s="307">
        <f t="shared" ca="1" si="215"/>
        <v>-101.67515409832305</v>
      </c>
      <c r="I476" s="304">
        <f t="shared" ca="1" si="216"/>
        <v>103.30144143958043</v>
      </c>
      <c r="J476" s="306">
        <f t="shared" ca="1" si="217"/>
        <v>774.8823504079653</v>
      </c>
      <c r="K476" s="307">
        <f t="shared" ca="1" si="218"/>
        <v>877.70172368503222</v>
      </c>
      <c r="L476" s="304">
        <f t="shared" ca="1" si="203"/>
        <v>1170.8129537776088</v>
      </c>
      <c r="M476" s="306">
        <f t="shared" ca="1" si="219"/>
        <v>-1.3931190611302369</v>
      </c>
      <c r="N476" s="304">
        <f t="shared" ca="1" si="220"/>
        <v>-79.819842561990299</v>
      </c>
      <c r="P476" s="310">
        <f t="shared" ca="1" si="221"/>
        <v>23</v>
      </c>
      <c r="Q476" s="304">
        <f t="shared" ca="1" si="222"/>
        <v>0</v>
      </c>
      <c r="R476" s="306">
        <f t="shared" ca="1" si="223"/>
        <v>0</v>
      </c>
      <c r="S476" s="307">
        <f t="shared" ca="1" si="224"/>
        <v>7.150000000000003</v>
      </c>
      <c r="T476" s="304">
        <f t="shared" ca="1" si="204"/>
        <v>70.141500000000036</v>
      </c>
      <c r="U476" s="311">
        <f t="shared" ca="1" si="205"/>
        <v>0</v>
      </c>
      <c r="V476" s="306">
        <f t="shared" ca="1" si="206"/>
        <v>1.1220016311427226</v>
      </c>
      <c r="W476" s="304">
        <f t="shared" ca="1" si="207"/>
        <v>31.248968426990761</v>
      </c>
      <c r="Y476" s="314" t="str">
        <f t="shared" ca="1" si="225"/>
        <v/>
      </c>
      <c r="Z476" s="315" t="str">
        <f t="shared" ca="1" si="226"/>
        <v/>
      </c>
      <c r="AA476" s="316" t="str">
        <f t="shared" ca="1" si="227"/>
        <v/>
      </c>
      <c r="AC476" s="310" t="e">
        <f t="shared" ca="1" si="228"/>
        <v>#N/A</v>
      </c>
      <c r="AD476" s="323" t="e">
        <f t="shared" ca="1" si="229"/>
        <v>#N/A</v>
      </c>
      <c r="AE476" s="324" t="e">
        <f t="shared" ca="1" si="208"/>
        <v>#N/A</v>
      </c>
      <c r="AG476" s="306">
        <f t="shared" ca="1" si="230"/>
        <v>5.3315249859979454</v>
      </c>
      <c r="AH476" s="304">
        <f t="shared" ca="1" si="231"/>
        <v>-4.3210834770826549</v>
      </c>
    </row>
    <row r="477" spans="1:34" x14ac:dyDescent="0.2">
      <c r="A477" s="347">
        <f t="shared" ca="1" si="209"/>
        <v>0.1</v>
      </c>
      <c r="B477" s="304">
        <f t="shared" ca="1" si="210"/>
        <v>29.30000000000015</v>
      </c>
      <c r="D477" s="306">
        <f t="shared" ca="1" si="211"/>
        <v>-0.77245651503133805</v>
      </c>
      <c r="E477" s="307">
        <f t="shared" ca="1" si="212"/>
        <v>-5.5083199915334431</v>
      </c>
      <c r="F477" s="304">
        <f t="shared" ca="1" si="213"/>
        <v>5.5622188195666444</v>
      </c>
      <c r="G477" s="306">
        <f t="shared" ca="1" si="214"/>
        <v>18.180652436100619</v>
      </c>
      <c r="H477" s="307">
        <f t="shared" ca="1" si="215"/>
        <v>-102.22598609747639</v>
      </c>
      <c r="I477" s="304">
        <f t="shared" ca="1" si="216"/>
        <v>103.8300936944763</v>
      </c>
      <c r="J477" s="306">
        <f t="shared" ca="1" si="217"/>
        <v>776.70427793415047</v>
      </c>
      <c r="K477" s="307">
        <f t="shared" ca="1" si="218"/>
        <v>867.50666667524229</v>
      </c>
      <c r="L477" s="304">
        <f t="shared" ca="1" si="203"/>
        <v>1164.4042906513184</v>
      </c>
      <c r="M477" s="306">
        <f t="shared" ca="1" si="219"/>
        <v>-1.3947889607288264</v>
      </c>
      <c r="N477" s="304">
        <f t="shared" ca="1" si="220"/>
        <v>-79.915520761200071</v>
      </c>
      <c r="P477" s="310">
        <f t="shared" ca="1" si="221"/>
        <v>23</v>
      </c>
      <c r="Q477" s="304">
        <f t="shared" ca="1" si="222"/>
        <v>0</v>
      </c>
      <c r="R477" s="306">
        <f t="shared" ca="1" si="223"/>
        <v>0</v>
      </c>
      <c r="S477" s="307">
        <f t="shared" ca="1" si="224"/>
        <v>7.150000000000003</v>
      </c>
      <c r="T477" s="304">
        <f t="shared" ca="1" si="204"/>
        <v>70.141500000000036</v>
      </c>
      <c r="U477" s="311">
        <f t="shared" ca="1" si="205"/>
        <v>0</v>
      </c>
      <c r="V477" s="306">
        <f t="shared" ca="1" si="206"/>
        <v>1.1231482854035204</v>
      </c>
      <c r="W477" s="304">
        <f t="shared" ca="1" si="207"/>
        <v>31.601887599157511</v>
      </c>
      <c r="Y477" s="314" t="str">
        <f t="shared" ca="1" si="225"/>
        <v/>
      </c>
      <c r="Z477" s="315" t="str">
        <f t="shared" ca="1" si="226"/>
        <v/>
      </c>
      <c r="AA477" s="316" t="str">
        <f t="shared" ca="1" si="227"/>
        <v/>
      </c>
      <c r="AC477" s="310" t="e">
        <f t="shared" ca="1" si="228"/>
        <v>#N/A</v>
      </c>
      <c r="AD477" s="323" t="e">
        <f t="shared" ca="1" si="229"/>
        <v>#N/A</v>
      </c>
      <c r="AE477" s="324" t="e">
        <f t="shared" ca="1" si="208"/>
        <v>#N/A</v>
      </c>
      <c r="AG477" s="306">
        <f t="shared" ca="1" si="230"/>
        <v>5.2850748646407872</v>
      </c>
      <c r="AH477" s="304">
        <f t="shared" ca="1" si="231"/>
        <v>-4.370485094684021</v>
      </c>
    </row>
    <row r="478" spans="1:34" x14ac:dyDescent="0.2">
      <c r="A478" s="347">
        <f t="shared" ca="1" si="209"/>
        <v>0.1</v>
      </c>
      <c r="B478" s="304">
        <f t="shared" ca="1" si="210"/>
        <v>29.400000000000151</v>
      </c>
      <c r="D478" s="306">
        <f t="shared" ca="1" si="211"/>
        <v>-0.77391488683750509</v>
      </c>
      <c r="E478" s="307">
        <f t="shared" ca="1" si="212"/>
        <v>-5.4584393098353949</v>
      </c>
      <c r="F478" s="304">
        <f t="shared" ca="1" si="213"/>
        <v>5.5130303782243946</v>
      </c>
      <c r="G478" s="306">
        <f t="shared" ca="1" si="214"/>
        <v>18.103260947416867</v>
      </c>
      <c r="H478" s="307">
        <f t="shared" ca="1" si="215"/>
        <v>-102.77183002845993</v>
      </c>
      <c r="I478" s="304">
        <f t="shared" ca="1" si="216"/>
        <v>104.35409481342325</v>
      </c>
      <c r="J478" s="306">
        <f t="shared" ca="1" si="217"/>
        <v>778.51847360332636</v>
      </c>
      <c r="K478" s="307">
        <f t="shared" ca="1" si="218"/>
        <v>857.25677586894551</v>
      </c>
      <c r="L478" s="304">
        <f t="shared" ca="1" si="203"/>
        <v>1158.0069919974028</v>
      </c>
      <c r="M478" s="306">
        <f t="shared" ca="1" si="219"/>
        <v>-1.3964350217339763</v>
      </c>
      <c r="N478" s="304">
        <f t="shared" ca="1" si="220"/>
        <v>-80.009833109616224</v>
      </c>
      <c r="P478" s="310">
        <f t="shared" ca="1" si="221"/>
        <v>23</v>
      </c>
      <c r="Q478" s="304">
        <f t="shared" ca="1" si="222"/>
        <v>0</v>
      </c>
      <c r="R478" s="306">
        <f t="shared" ca="1" si="223"/>
        <v>0</v>
      </c>
      <c r="S478" s="307">
        <f t="shared" ca="1" si="224"/>
        <v>7.150000000000003</v>
      </c>
      <c r="T478" s="304">
        <f t="shared" ca="1" si="204"/>
        <v>70.141500000000036</v>
      </c>
      <c r="U478" s="311">
        <f t="shared" ca="1" si="205"/>
        <v>0</v>
      </c>
      <c r="V478" s="306">
        <f t="shared" ca="1" si="206"/>
        <v>1.1243022369409168</v>
      </c>
      <c r="W478" s="304">
        <f t="shared" ca="1" si="207"/>
        <v>31.954461199323219</v>
      </c>
      <c r="Y478" s="314" t="str">
        <f t="shared" ca="1" si="225"/>
        <v/>
      </c>
      <c r="Z478" s="315" t="str">
        <f t="shared" ca="1" si="226"/>
        <v/>
      </c>
      <c r="AA478" s="316" t="str">
        <f t="shared" ca="1" si="227"/>
        <v/>
      </c>
      <c r="AC478" s="310" t="e">
        <f t="shared" ca="1" si="228"/>
        <v>#N/A</v>
      </c>
      <c r="AD478" s="323" t="e">
        <f t="shared" ca="1" si="229"/>
        <v>#N/A</v>
      </c>
      <c r="AE478" s="324" t="e">
        <f t="shared" ca="1" si="208"/>
        <v>#N/A</v>
      </c>
      <c r="AG478" s="306">
        <f t="shared" ca="1" si="230"/>
        <v>5.2385974439062952</v>
      </c>
      <c r="AH478" s="304">
        <f t="shared" ca="1" si="231"/>
        <v>-4.4198444194625868</v>
      </c>
    </row>
    <row r="479" spans="1:34" x14ac:dyDescent="0.2">
      <c r="A479" s="347">
        <f t="shared" ca="1" si="209"/>
        <v>0.1</v>
      </c>
      <c r="B479" s="304">
        <f t="shared" ca="1" si="210"/>
        <v>29.500000000000153</v>
      </c>
      <c r="D479" s="306">
        <f t="shared" ca="1" si="211"/>
        <v>-0.77530533700254667</v>
      </c>
      <c r="E479" s="307">
        <f t="shared" ca="1" si="212"/>
        <v>-5.4086079775338511</v>
      </c>
      <c r="F479" s="304">
        <f t="shared" ca="1" si="213"/>
        <v>5.4638940894043184</v>
      </c>
      <c r="G479" s="306">
        <f t="shared" ca="1" si="214"/>
        <v>18.025730413716612</v>
      </c>
      <c r="H479" s="307">
        <f t="shared" ca="1" si="215"/>
        <v>-103.31269082621331</v>
      </c>
      <c r="I479" s="304">
        <f t="shared" ca="1" si="216"/>
        <v>104.87344298105563</v>
      </c>
      <c r="J479" s="306">
        <f t="shared" ca="1" si="217"/>
        <v>780.32492317138303</v>
      </c>
      <c r="K479" s="307">
        <f t="shared" ca="1" si="218"/>
        <v>846.95254982621179</v>
      </c>
      <c r="L479" s="304">
        <f t="shared" ca="1" si="203"/>
        <v>1151.6230318031794</v>
      </c>
      <c r="M479" s="306">
        <f t="shared" ca="1" si="219"/>
        <v>-1.3980577693814047</v>
      </c>
      <c r="N479" s="304">
        <f t="shared" ca="1" si="220"/>
        <v>-80.102809701028661</v>
      </c>
      <c r="P479" s="310">
        <f t="shared" ca="1" si="221"/>
        <v>23</v>
      </c>
      <c r="Q479" s="304">
        <f t="shared" ca="1" si="222"/>
        <v>0</v>
      </c>
      <c r="R479" s="306">
        <f t="shared" ca="1" si="223"/>
        <v>0</v>
      </c>
      <c r="S479" s="307">
        <f t="shared" ca="1" si="224"/>
        <v>7.150000000000003</v>
      </c>
      <c r="T479" s="304">
        <f t="shared" ca="1" si="204"/>
        <v>70.141500000000036</v>
      </c>
      <c r="U479" s="311">
        <f t="shared" ca="1" si="205"/>
        <v>0</v>
      </c>
      <c r="V479" s="306">
        <f t="shared" ca="1" si="206"/>
        <v>1.1254634494123452</v>
      </c>
      <c r="W479" s="304">
        <f t="shared" ca="1" si="207"/>
        <v>32.306646624004621</v>
      </c>
      <c r="Y479" s="314" t="str">
        <f t="shared" ca="1" si="225"/>
        <v/>
      </c>
      <c r="Z479" s="315" t="str">
        <f t="shared" ca="1" si="226"/>
        <v/>
      </c>
      <c r="AA479" s="316" t="str">
        <f t="shared" ca="1" si="227"/>
        <v/>
      </c>
      <c r="AC479" s="310" t="e">
        <f t="shared" ca="1" si="228"/>
        <v>#N/A</v>
      </c>
      <c r="AD479" s="323" t="e">
        <f t="shared" ca="1" si="229"/>
        <v>#N/A</v>
      </c>
      <c r="AE479" s="324" t="e">
        <f t="shared" ca="1" si="208"/>
        <v>#N/A</v>
      </c>
      <c r="AG479" s="306">
        <f t="shared" ca="1" si="230"/>
        <v>5.192100855234524</v>
      </c>
      <c r="AH479" s="304">
        <f t="shared" ca="1" si="231"/>
        <v>-4.4691554124927562</v>
      </c>
    </row>
    <row r="480" spans="1:34" x14ac:dyDescent="0.2">
      <c r="A480" s="347">
        <f t="shared" ca="1" si="209"/>
        <v>0.1</v>
      </c>
      <c r="B480" s="304">
        <f t="shared" ca="1" si="210"/>
        <v>29.600000000000154</v>
      </c>
      <c r="D480" s="306">
        <f t="shared" ca="1" si="211"/>
        <v>-0.77662825184634543</v>
      </c>
      <c r="E480" s="307">
        <f t="shared" ca="1" si="212"/>
        <v>-5.3588319957981261</v>
      </c>
      <c r="F480" s="304">
        <f t="shared" ca="1" si="213"/>
        <v>5.4148159526207014</v>
      </c>
      <c r="G480" s="306">
        <f t="shared" ca="1" si="214"/>
        <v>17.948067588531977</v>
      </c>
      <c r="H480" s="307">
        <f t="shared" ca="1" si="215"/>
        <v>-103.84857402579313</v>
      </c>
      <c r="I480" s="304">
        <f t="shared" ca="1" si="216"/>
        <v>105.38813717564776</v>
      </c>
      <c r="J480" s="306">
        <f t="shared" ca="1" si="217"/>
        <v>782.12361307149547</v>
      </c>
      <c r="K480" s="307">
        <f t="shared" ca="1" si="218"/>
        <v>836.59448658361146</v>
      </c>
      <c r="L480" s="304">
        <f t="shared" ca="1" si="203"/>
        <v>1145.2544176322162</v>
      </c>
      <c r="M480" s="306">
        <f t="shared" ca="1" si="219"/>
        <v>-1.3996577134848727</v>
      </c>
      <c r="N480" s="304">
        <f t="shared" ca="1" si="220"/>
        <v>-80.194479745614217</v>
      </c>
      <c r="P480" s="310">
        <f t="shared" ca="1" si="221"/>
        <v>23</v>
      </c>
      <c r="Q480" s="304">
        <f t="shared" ca="1" si="222"/>
        <v>0</v>
      </c>
      <c r="R480" s="306">
        <f t="shared" ca="1" si="223"/>
        <v>0</v>
      </c>
      <c r="S480" s="307">
        <f t="shared" ca="1" si="224"/>
        <v>7.150000000000003</v>
      </c>
      <c r="T480" s="304">
        <f t="shared" ca="1" si="204"/>
        <v>70.141500000000036</v>
      </c>
      <c r="U480" s="311">
        <f t="shared" ca="1" si="205"/>
        <v>0</v>
      </c>
      <c r="V480" s="306">
        <f t="shared" ca="1" si="206"/>
        <v>1.1266318864654401</v>
      </c>
      <c r="W480" s="304">
        <f t="shared" ca="1" si="207"/>
        <v>32.658401849840274</v>
      </c>
      <c r="Y480" s="314" t="str">
        <f t="shared" ca="1" si="225"/>
        <v/>
      </c>
      <c r="Z480" s="315" t="str">
        <f t="shared" ca="1" si="226"/>
        <v/>
      </c>
      <c r="AA480" s="316" t="str">
        <f t="shared" ca="1" si="227"/>
        <v/>
      </c>
      <c r="AC480" s="310" t="e">
        <f t="shared" ca="1" si="228"/>
        <v>#N/A</v>
      </c>
      <c r="AD480" s="323" t="e">
        <f t="shared" ca="1" si="229"/>
        <v>#N/A</v>
      </c>
      <c r="AE480" s="324" t="e">
        <f t="shared" ca="1" si="208"/>
        <v>#N/A</v>
      </c>
      <c r="AG480" s="306">
        <f t="shared" ca="1" si="230"/>
        <v>5.1455930723046182</v>
      </c>
      <c r="AH480" s="304">
        <f t="shared" ca="1" si="231"/>
        <v>-4.5184121152453995</v>
      </c>
    </row>
    <row r="481" spans="1:34" x14ac:dyDescent="0.2">
      <c r="A481" s="347">
        <f t="shared" ca="1" si="209"/>
        <v>0.1</v>
      </c>
      <c r="B481" s="304">
        <f t="shared" ca="1" si="210"/>
        <v>29.700000000000156</v>
      </c>
      <c r="D481" s="306">
        <f t="shared" ca="1" si="211"/>
        <v>-0.77788402918066801</v>
      </c>
      <c r="E481" s="307">
        <f t="shared" ca="1" si="212"/>
        <v>-5.3091172843884822</v>
      </c>
      <c r="F481" s="304">
        <f t="shared" ca="1" si="213"/>
        <v>5.3658018880915535</v>
      </c>
      <c r="G481" s="306">
        <f t="shared" ca="1" si="214"/>
        <v>17.87027918561391</v>
      </c>
      <c r="H481" s="307">
        <f t="shared" ca="1" si="215"/>
        <v>-104.37948575423198</v>
      </c>
      <c r="I481" s="304">
        <f t="shared" ca="1" si="216"/>
        <v>105.89817715376267</v>
      </c>
      <c r="J481" s="306">
        <f t="shared" ca="1" si="217"/>
        <v>783.91453041020281</v>
      </c>
      <c r="K481" s="307">
        <f t="shared" ca="1" si="218"/>
        <v>826.18308359461025</v>
      </c>
      <c r="L481" s="304">
        <f t="shared" ca="1" si="203"/>
        <v>1138.9031910597791</v>
      </c>
      <c r="M481" s="306">
        <f t="shared" ca="1" si="219"/>
        <v>-1.4012353489885452</v>
      </c>
      <c r="N481" s="304">
        <f t="shared" ca="1" si="220"/>
        <v>-80.284871601584641</v>
      </c>
      <c r="P481" s="310">
        <f t="shared" ca="1" si="221"/>
        <v>23</v>
      </c>
      <c r="Q481" s="304">
        <f t="shared" ca="1" si="222"/>
        <v>0</v>
      </c>
      <c r="R481" s="306">
        <f t="shared" ca="1" si="223"/>
        <v>0</v>
      </c>
      <c r="S481" s="307">
        <f t="shared" ca="1" si="224"/>
        <v>7.150000000000003</v>
      </c>
      <c r="T481" s="304">
        <f t="shared" ca="1" si="204"/>
        <v>70.141500000000036</v>
      </c>
      <c r="U481" s="311">
        <f t="shared" ca="1" si="205"/>
        <v>0</v>
      </c>
      <c r="V481" s="306">
        <f t="shared" ca="1" si="206"/>
        <v>1.1278075117422131</v>
      </c>
      <c r="W481" s="304">
        <f t="shared" ca="1" si="207"/>
        <v>33.009685438559735</v>
      </c>
      <c r="Y481" s="314" t="str">
        <f t="shared" ca="1" si="225"/>
        <v/>
      </c>
      <c r="Z481" s="315" t="str">
        <f t="shared" ca="1" si="226"/>
        <v/>
      </c>
      <c r="AA481" s="316" t="str">
        <f t="shared" ca="1" si="227"/>
        <v/>
      </c>
      <c r="AC481" s="310" t="e">
        <f t="shared" ca="1" si="228"/>
        <v>#N/A</v>
      </c>
      <c r="AD481" s="323" t="e">
        <f t="shared" ca="1" si="229"/>
        <v>#N/A</v>
      </c>
      <c r="AE481" s="324" t="e">
        <f t="shared" ca="1" si="208"/>
        <v>#N/A</v>
      </c>
      <c r="AG481" s="306">
        <f t="shared" ca="1" si="230"/>
        <v>5.0990819136694556</v>
      </c>
      <c r="AH481" s="304">
        <f t="shared" ca="1" si="231"/>
        <v>-4.5676086503273092</v>
      </c>
    </row>
    <row r="482" spans="1:34" x14ac:dyDescent="0.2">
      <c r="A482" s="347">
        <f t="shared" ca="1" si="209"/>
        <v>0.1</v>
      </c>
      <c r="B482" s="304">
        <f t="shared" ca="1" si="210"/>
        <v>29.800000000000157</v>
      </c>
      <c r="D482" s="306">
        <f t="shared" ca="1" si="211"/>
        <v>-0.77907307797819825</v>
      </c>
      <c r="E482" s="307">
        <f t="shared" ca="1" si="212"/>
        <v>-5.259469680932833</v>
      </c>
      <c r="F482" s="304">
        <f t="shared" ca="1" si="213"/>
        <v>5.3168577360582194</v>
      </c>
      <c r="G482" s="306">
        <f t="shared" ca="1" si="214"/>
        <v>17.792371877816091</v>
      </c>
      <c r="H482" s="307">
        <f t="shared" ca="1" si="215"/>
        <v>-104.90543272232526</v>
      </c>
      <c r="I482" s="304">
        <f t="shared" ca="1" si="216"/>
        <v>106.40356343514446</v>
      </c>
      <c r="J482" s="306">
        <f t="shared" ca="1" si="217"/>
        <v>785.69766296337434</v>
      </c>
      <c r="K482" s="307">
        <f t="shared" ca="1" si="218"/>
        <v>815.71883767078236</v>
      </c>
      <c r="L482" s="304">
        <f t="shared" ca="1" si="203"/>
        <v>1132.5714280861409</v>
      </c>
      <c r="M482" s="306">
        <f t="shared" ca="1" si="219"/>
        <v>-1.4027911564961635</v>
      </c>
      <c r="N482" s="304">
        <f t="shared" ca="1" si="220"/>
        <v>-80.374012805505942</v>
      </c>
      <c r="P482" s="310">
        <f t="shared" ca="1" si="221"/>
        <v>23</v>
      </c>
      <c r="Q482" s="304">
        <f t="shared" ca="1" si="222"/>
        <v>0</v>
      </c>
      <c r="R482" s="306">
        <f t="shared" ca="1" si="223"/>
        <v>0</v>
      </c>
      <c r="S482" s="307">
        <f t="shared" ca="1" si="224"/>
        <v>7.150000000000003</v>
      </c>
      <c r="T482" s="304">
        <f t="shared" ca="1" si="204"/>
        <v>70.141500000000036</v>
      </c>
      <c r="U482" s="311">
        <f t="shared" ca="1" si="205"/>
        <v>0</v>
      </c>
      <c r="V482" s="306">
        <f t="shared" ca="1" si="206"/>
        <v>1.1289902888831949</v>
      </c>
      <c r="W482" s="304">
        <f t="shared" ca="1" si="207"/>
        <v>33.360456541638172</v>
      </c>
      <c r="Y482" s="314" t="str">
        <f t="shared" ca="1" si="225"/>
        <v/>
      </c>
      <c r="Z482" s="315" t="str">
        <f t="shared" ca="1" si="226"/>
        <v/>
      </c>
      <c r="AA482" s="316" t="str">
        <f t="shared" ca="1" si="227"/>
        <v/>
      </c>
      <c r="AC482" s="310" t="e">
        <f t="shared" ca="1" si="228"/>
        <v>#N/A</v>
      </c>
      <c r="AD482" s="323" t="e">
        <f t="shared" ca="1" si="229"/>
        <v>#N/A</v>
      </c>
      <c r="AE482" s="324" t="e">
        <f t="shared" ca="1" si="208"/>
        <v>#N/A</v>
      </c>
      <c r="AG482" s="306">
        <f t="shared" ca="1" si="230"/>
        <v>5.0525750452661731</v>
      </c>
      <c r="AH482" s="304">
        <f t="shared" ca="1" si="231"/>
        <v>-4.6167392221761849</v>
      </c>
    </row>
    <row r="483" spans="1:34" x14ac:dyDescent="0.2">
      <c r="A483" s="347">
        <f t="shared" ca="1" si="209"/>
        <v>0.1</v>
      </c>
      <c r="B483" s="304">
        <f t="shared" ca="1" si="210"/>
        <v>29.900000000000158</v>
      </c>
      <c r="D483" s="306">
        <f t="shared" ca="1" si="211"/>
        <v>-0.78019581804456828</v>
      </c>
      <c r="E483" s="307">
        <f t="shared" ca="1" si="212"/>
        <v>-5.2098949402489563</v>
      </c>
      <c r="F483" s="304">
        <f t="shared" ca="1" si="213"/>
        <v>5.2679892561513366</v>
      </c>
      <c r="G483" s="306">
        <f t="shared" ca="1" si="214"/>
        <v>17.714352296011633</v>
      </c>
      <c r="H483" s="307">
        <f t="shared" ca="1" si="215"/>
        <v>-105.42642221635015</v>
      </c>
      <c r="I483" s="304">
        <f t="shared" ca="1" si="216"/>
        <v>106.90429728784218</v>
      </c>
      <c r="J483" s="306">
        <f t="shared" ca="1" si="217"/>
        <v>787.47299917206578</v>
      </c>
      <c r="K483" s="307">
        <f t="shared" ca="1" si="218"/>
        <v>805.20224492384864</v>
      </c>
      <c r="L483" s="304">
        <f t="shared" ca="1" si="203"/>
        <v>1126.2612395245847</v>
      </c>
      <c r="M483" s="306">
        <f t="shared" ca="1" si="219"/>
        <v>-1.4043256027781332</v>
      </c>
      <c r="N483" s="304">
        <f t="shared" ca="1" si="220"/>
        <v>-80.461930101352351</v>
      </c>
      <c r="P483" s="310">
        <f t="shared" ca="1" si="221"/>
        <v>23</v>
      </c>
      <c r="Q483" s="304">
        <f t="shared" ca="1" si="222"/>
        <v>0</v>
      </c>
      <c r="R483" s="306">
        <f t="shared" ca="1" si="223"/>
        <v>0</v>
      </c>
      <c r="S483" s="307">
        <f t="shared" ca="1" si="224"/>
        <v>7.150000000000003</v>
      </c>
      <c r="T483" s="304">
        <f t="shared" ca="1" si="204"/>
        <v>70.141500000000036</v>
      </c>
      <c r="U483" s="311">
        <f t="shared" ca="1" si="205"/>
        <v>0</v>
      </c>
      <c r="V483" s="306">
        <f t="shared" ca="1" si="206"/>
        <v>1.1301801815315324</v>
      </c>
      <c r="W483" s="304">
        <f t="shared" ca="1" si="207"/>
        <v>33.710674904638573</v>
      </c>
      <c r="Y483" s="314" t="str">
        <f t="shared" ca="1" si="225"/>
        <v/>
      </c>
      <c r="Z483" s="315" t="str">
        <f t="shared" ca="1" si="226"/>
        <v/>
      </c>
      <c r="AA483" s="316" t="str">
        <f t="shared" ca="1" si="227"/>
        <v/>
      </c>
      <c r="AC483" s="310" t="e">
        <f t="shared" ca="1" si="228"/>
        <v>#N/A</v>
      </c>
      <c r="AD483" s="323" t="e">
        <f t="shared" ca="1" si="229"/>
        <v>#N/A</v>
      </c>
      <c r="AE483" s="324" t="e">
        <f t="shared" ca="1" si="208"/>
        <v>#N/A</v>
      </c>
      <c r="AG483" s="306">
        <f t="shared" ca="1" si="230"/>
        <v>5.0060799828116265</v>
      </c>
      <c r="AH483" s="304">
        <f t="shared" ca="1" si="231"/>
        <v>-4.6657981177116303</v>
      </c>
    </row>
    <row r="484" spans="1:34" x14ac:dyDescent="0.2">
      <c r="A484" s="347">
        <f t="shared" ca="1" si="209"/>
        <v>0.1</v>
      </c>
      <c r="B484" s="304">
        <f t="shared" ca="1" si="210"/>
        <v>30.00000000000016</v>
      </c>
      <c r="D484" s="306">
        <f t="shared" ca="1" si="211"/>
        <v>-0.78125267969338674</v>
      </c>
      <c r="E484" s="307">
        <f t="shared" ca="1" si="212"/>
        <v>-5.1603987337118591</v>
      </c>
      <c r="F484" s="304">
        <f t="shared" ca="1" si="213"/>
        <v>5.2192021268028173</v>
      </c>
      <c r="G484" s="306">
        <f t="shared" ca="1" si="214"/>
        <v>17.636227028042295</v>
      </c>
      <c r="H484" s="307">
        <f t="shared" ca="1" si="215"/>
        <v>-105.94246208972133</v>
      </c>
      <c r="I484" s="304">
        <f t="shared" ca="1" si="216"/>
        <v>107.40038071355563</v>
      </c>
      <c r="J484" s="306">
        <f t="shared" ca="1" si="217"/>
        <v>789.24052813826847</v>
      </c>
      <c r="K484" s="307">
        <f t="shared" ca="1" si="218"/>
        <v>794.6338007085451</v>
      </c>
      <c r="L484" s="304">
        <f t="shared" ca="1" si="203"/>
        <v>1119.9747713607128</v>
      </c>
      <c r="M484" s="306">
        <f t="shared" ca="1" si="219"/>
        <v>-1.4058391412575826</v>
      </c>
      <c r="N484" s="304">
        <f t="shared" ca="1" si="220"/>
        <v>-80.54864946835545</v>
      </c>
      <c r="P484" s="310">
        <f t="shared" ca="1" si="221"/>
        <v>23</v>
      </c>
      <c r="Q484" s="304">
        <f t="shared" ca="1" si="222"/>
        <v>0</v>
      </c>
      <c r="R484" s="306">
        <f t="shared" ca="1" si="223"/>
        <v>0</v>
      </c>
      <c r="S484" s="307">
        <f t="shared" ca="1" si="224"/>
        <v>7.150000000000003</v>
      </c>
      <c r="T484" s="304">
        <f t="shared" ca="1" si="204"/>
        <v>70.141500000000036</v>
      </c>
      <c r="U484" s="311">
        <f t="shared" ca="1" si="205"/>
        <v>0</v>
      </c>
      <c r="V484" s="306">
        <f t="shared" ca="1" si="206"/>
        <v>1.13137715333705</v>
      </c>
      <c r="W484" s="304">
        <f t="shared" ca="1" si="207"/>
        <v>34.060300871244898</v>
      </c>
      <c r="Y484" s="314" t="str">
        <f t="shared" ca="1" si="225"/>
        <v/>
      </c>
      <c r="Z484" s="315" t="str">
        <f t="shared" ca="1" si="226"/>
        <v/>
      </c>
      <c r="AA484" s="316" t="str">
        <f t="shared" ca="1" si="227"/>
        <v/>
      </c>
      <c r="AC484" s="310">
        <f t="shared" ca="1" si="228"/>
        <v>30.00000000000016</v>
      </c>
      <c r="AD484" s="323">
        <f t="shared" ca="1" si="229"/>
        <v>789.24052813826847</v>
      </c>
      <c r="AE484" s="324" t="e">
        <f t="shared" ca="1" si="208"/>
        <v>#N/A</v>
      </c>
      <c r="AG484" s="306">
        <f t="shared" ca="1" si="230"/>
        <v>4.9596040940912802</v>
      </c>
      <c r="AH484" s="304">
        <f t="shared" ca="1" si="231"/>
        <v>-4.7147797069424557</v>
      </c>
    </row>
    <row r="485" spans="1:34" x14ac:dyDescent="0.2">
      <c r="A485" s="347">
        <f t="shared" ca="1" si="209"/>
        <v>0.1</v>
      </c>
      <c r="B485" s="304">
        <f t="shared" ca="1" si="210"/>
        <v>30.100000000000161</v>
      </c>
      <c r="D485" s="306">
        <f t="shared" ca="1" si="211"/>
        <v>-0.78224410342425976</v>
      </c>
      <c r="E485" s="307">
        <f t="shared" ca="1" si="212"/>
        <v>-5.1109866486657483</v>
      </c>
      <c r="F485" s="304">
        <f t="shared" ca="1" si="213"/>
        <v>5.1705019447033926</v>
      </c>
      <c r="G485" s="306">
        <f t="shared" ca="1" si="214"/>
        <v>17.55800261769987</v>
      </c>
      <c r="H485" s="307">
        <f t="shared" ca="1" si="215"/>
        <v>-106.45356075458791</v>
      </c>
      <c r="I485" s="304">
        <f t="shared" ca="1" si="216"/>
        <v>107.89181643319337</v>
      </c>
      <c r="J485" s="306">
        <f t="shared" ca="1" si="217"/>
        <v>791.00023962055559</v>
      </c>
      <c r="K485" s="307">
        <f t="shared" ca="1" si="218"/>
        <v>784.01399956632963</v>
      </c>
      <c r="L485" s="304">
        <f t="shared" ca="1" si="203"/>
        <v>1113.714205079458</v>
      </c>
      <c r="M485" s="306">
        <f t="shared" ca="1" si="219"/>
        <v>-1.4073322124763838</v>
      </c>
      <c r="N485" s="304">
        <f t="shared" ca="1" si="220"/>
        <v>-80.634196147705211</v>
      </c>
      <c r="P485" s="310">
        <f t="shared" ca="1" si="221"/>
        <v>23</v>
      </c>
      <c r="Q485" s="304">
        <f t="shared" ca="1" si="222"/>
        <v>0</v>
      </c>
      <c r="R485" s="306">
        <f t="shared" ca="1" si="223"/>
        <v>0</v>
      </c>
      <c r="S485" s="307">
        <f t="shared" ca="1" si="224"/>
        <v>7.150000000000003</v>
      </c>
      <c r="T485" s="304">
        <f t="shared" ca="1" si="204"/>
        <v>70.141500000000036</v>
      </c>
      <c r="U485" s="311">
        <f t="shared" ca="1" si="205"/>
        <v>0</v>
      </c>
      <c r="V485" s="306">
        <f t="shared" ca="1" si="206"/>
        <v>1.1325811679602609</v>
      </c>
      <c r="W485" s="304">
        <f t="shared" ca="1" si="207"/>
        <v>34.409295386988866</v>
      </c>
      <c r="Y485" s="314" t="str">
        <f t="shared" ca="1" si="225"/>
        <v/>
      </c>
      <c r="Z485" s="315" t="str">
        <f t="shared" ca="1" si="226"/>
        <v/>
      </c>
      <c r="AA485" s="316" t="str">
        <f t="shared" ca="1" si="227"/>
        <v/>
      </c>
      <c r="AC485" s="310" t="e">
        <f t="shared" ca="1" si="228"/>
        <v>#N/A</v>
      </c>
      <c r="AD485" s="323" t="e">
        <f t="shared" ca="1" si="229"/>
        <v>#N/A</v>
      </c>
      <c r="AE485" s="324" t="e">
        <f t="shared" ca="1" si="208"/>
        <v>#N/A</v>
      </c>
      <c r="AG485" s="306">
        <f t="shared" ca="1" si="230"/>
        <v>4.9131546011494214</v>
      </c>
      <c r="AH485" s="304">
        <f t="shared" ca="1" si="231"/>
        <v>-4.7636784435307531</v>
      </c>
    </row>
    <row r="486" spans="1:34" x14ac:dyDescent="0.2">
      <c r="A486" s="347">
        <f t="shared" ca="1" si="209"/>
        <v>0.1</v>
      </c>
      <c r="B486" s="304">
        <f t="shared" ca="1" si="210"/>
        <v>30.200000000000163</v>
      </c>
      <c r="D486" s="306">
        <f t="shared" ca="1" si="211"/>
        <v>-0.78317053960381089</v>
      </c>
      <c r="E486" s="307">
        <f t="shared" ca="1" si="212"/>
        <v>-5.0616641878801909</v>
      </c>
      <c r="F486" s="304">
        <f t="shared" ca="1" si="213"/>
        <v>5.1218942243053158</v>
      </c>
      <c r="G486" s="306">
        <f t="shared" ca="1" si="214"/>
        <v>17.479685563739491</v>
      </c>
      <c r="H486" s="307">
        <f t="shared" ca="1" si="215"/>
        <v>-106.95972717337592</v>
      </c>
      <c r="I486" s="304">
        <f t="shared" ca="1" si="216"/>
        <v>108.37860787263423</v>
      </c>
      <c r="J486" s="306">
        <f t="shared" ca="1" si="217"/>
        <v>792.75212402962757</v>
      </c>
      <c r="K486" s="307">
        <f t="shared" ca="1" si="218"/>
        <v>773.34333516993149</v>
      </c>
      <c r="L486" s="304">
        <f t="shared" ca="1" si="203"/>
        <v>1107.4817579559669</v>
      </c>
      <c r="M486" s="306">
        <f t="shared" ca="1" si="219"/>
        <v>-1.4088052445420833</v>
      </c>
      <c r="N486" s="304">
        <f t="shared" ca="1" si="220"/>
        <v>-80.718594668157223</v>
      </c>
      <c r="P486" s="310">
        <f t="shared" ca="1" si="221"/>
        <v>23</v>
      </c>
      <c r="Q486" s="304">
        <f t="shared" ca="1" si="222"/>
        <v>0</v>
      </c>
      <c r="R486" s="306">
        <f t="shared" ca="1" si="223"/>
        <v>0</v>
      </c>
      <c r="S486" s="307">
        <f t="shared" ca="1" si="224"/>
        <v>7.150000000000003</v>
      </c>
      <c r="T486" s="304">
        <f t="shared" ca="1" si="204"/>
        <v>70.141500000000036</v>
      </c>
      <c r="U486" s="311">
        <f t="shared" ca="1" si="205"/>
        <v>0</v>
      </c>
      <c r="V486" s="306">
        <f t="shared" ca="1" si="206"/>
        <v>1.1337921890763458</v>
      </c>
      <c r="W486" s="304">
        <f t="shared" ca="1" si="207"/>
        <v>34.757620002674173</v>
      </c>
      <c r="Y486" s="314" t="str">
        <f t="shared" ca="1" si="225"/>
        <v/>
      </c>
      <c r="Z486" s="315" t="str">
        <f t="shared" ca="1" si="226"/>
        <v/>
      </c>
      <c r="AA486" s="316" t="str">
        <f t="shared" ca="1" si="227"/>
        <v/>
      </c>
      <c r="AC486" s="310" t="e">
        <f t="shared" ca="1" si="228"/>
        <v>#N/A</v>
      </c>
      <c r="AD486" s="323" t="e">
        <f t="shared" ca="1" si="229"/>
        <v>#N/A</v>
      </c>
      <c r="AE486" s="324" t="e">
        <f t="shared" ca="1" si="208"/>
        <v>#N/A</v>
      </c>
      <c r="AG486" s="306">
        <f t="shared" ca="1" si="230"/>
        <v>4.8667385823880984</v>
      </c>
      <c r="AH486" s="304">
        <f t="shared" ca="1" si="231"/>
        <v>-4.8124888653131261</v>
      </c>
    </row>
    <row r="487" spans="1:34" x14ac:dyDescent="0.2">
      <c r="A487" s="347">
        <f t="shared" ca="1" si="209"/>
        <v>0.1</v>
      </c>
      <c r="B487" s="304">
        <f t="shared" ca="1" si="210"/>
        <v>30.300000000000164</v>
      </c>
      <c r="D487" s="306">
        <f t="shared" ca="1" si="211"/>
        <v>-0.78403244814970785</v>
      </c>
      <c r="E487" s="307">
        <f t="shared" ca="1" si="212"/>
        <v>-5.0124367690498461</v>
      </c>
      <c r="F487" s="304">
        <f t="shared" ca="1" si="213"/>
        <v>5.0733843973697166</v>
      </c>
      <c r="G487" s="306">
        <f t="shared" ca="1" si="214"/>
        <v>17.401282318924519</v>
      </c>
      <c r="H487" s="307">
        <f t="shared" ca="1" si="215"/>
        <v>-107.46097085028092</v>
      </c>
      <c r="I487" s="304">
        <f t="shared" ca="1" si="216"/>
        <v>108.86075914868424</v>
      </c>
      <c r="J487" s="306">
        <f t="shared" ca="1" si="217"/>
        <v>794.49617242376075</v>
      </c>
      <c r="K487" s="307">
        <f t="shared" ca="1" si="218"/>
        <v>762.62230026874863</v>
      </c>
      <c r="L487" s="304">
        <f t="shared" ca="1" si="203"/>
        <v>1101.2796833062905</v>
      </c>
      <c r="M487" s="306">
        <f t="shared" ca="1" si="219"/>
        <v>-1.4102586535566282</v>
      </c>
      <c r="N487" s="304">
        <f t="shared" ca="1" si="220"/>
        <v>-80.80186887059692</v>
      </c>
      <c r="P487" s="310">
        <f t="shared" ca="1" si="221"/>
        <v>23</v>
      </c>
      <c r="Q487" s="304">
        <f t="shared" ca="1" si="222"/>
        <v>0</v>
      </c>
      <c r="R487" s="306">
        <f t="shared" ca="1" si="223"/>
        <v>0</v>
      </c>
      <c r="S487" s="307">
        <f t="shared" ca="1" si="224"/>
        <v>7.150000000000003</v>
      </c>
      <c r="T487" s="304">
        <f t="shared" ca="1" si="204"/>
        <v>70.141500000000036</v>
      </c>
      <c r="U487" s="311">
        <f t="shared" ca="1" si="205"/>
        <v>0</v>
      </c>
      <c r="V487" s="306">
        <f t="shared" ca="1" si="206"/>
        <v>1.1350101803790822</v>
      </c>
      <c r="W487" s="304">
        <f t="shared" ca="1" si="207"/>
        <v>35.1052368775009</v>
      </c>
      <c r="Y487" s="314" t="str">
        <f t="shared" ca="1" si="225"/>
        <v/>
      </c>
      <c r="Z487" s="315" t="str">
        <f t="shared" ca="1" si="226"/>
        <v/>
      </c>
      <c r="AA487" s="316" t="str">
        <f t="shared" ca="1" si="227"/>
        <v/>
      </c>
      <c r="AC487" s="310" t="e">
        <f t="shared" ca="1" si="228"/>
        <v>#N/A</v>
      </c>
      <c r="AD487" s="323" t="e">
        <f t="shared" ca="1" si="229"/>
        <v>#N/A</v>
      </c>
      <c r="AE487" s="324" t="e">
        <f t="shared" ca="1" si="208"/>
        <v>#N/A</v>
      </c>
      <c r="AG487" s="306">
        <f t="shared" ca="1" si="230"/>
        <v>4.8203629745815979</v>
      </c>
      <c r="AH487" s="304">
        <f t="shared" ca="1" si="231"/>
        <v>-4.8612055947796025</v>
      </c>
    </row>
    <row r="488" spans="1:34" x14ac:dyDescent="0.2">
      <c r="A488" s="347">
        <f t="shared" ca="1" si="209"/>
        <v>0.1</v>
      </c>
      <c r="B488" s="304">
        <f t="shared" ca="1" si="210"/>
        <v>30.400000000000166</v>
      </c>
      <c r="D488" s="306">
        <f t="shared" ca="1" si="211"/>
        <v>-0.78483029821771766</v>
      </c>
      <c r="E488" s="307">
        <f t="shared" ca="1" si="212"/>
        <v>-4.9633097243373765</v>
      </c>
      <c r="F488" s="304">
        <f t="shared" ca="1" si="213"/>
        <v>5.0249778125582276</v>
      </c>
      <c r="G488" s="306">
        <f t="shared" ca="1" si="214"/>
        <v>17.322799289102747</v>
      </c>
      <c r="H488" s="307">
        <f t="shared" ca="1" si="215"/>
        <v>-107.95730182271465</v>
      </c>
      <c r="I488" s="304">
        <f t="shared" ca="1" si="216"/>
        <v>109.33827505522139</v>
      </c>
      <c r="J488" s="306">
        <f t="shared" ca="1" si="217"/>
        <v>796.23237650416206</v>
      </c>
      <c r="K488" s="307">
        <f t="shared" ca="1" si="218"/>
        <v>751.85138663509883</v>
      </c>
      <c r="L488" s="304">
        <f t="shared" ca="1" si="203"/>
        <v>1095.1102706935892</v>
      </c>
      <c r="M488" s="306">
        <f t="shared" ca="1" si="219"/>
        <v>-1.4116928440277419</v>
      </c>
      <c r="N488" s="304">
        <f t="shared" ca="1" si="220"/>
        <v>-80.884041931609616</v>
      </c>
      <c r="P488" s="310">
        <f t="shared" ca="1" si="221"/>
        <v>23</v>
      </c>
      <c r="Q488" s="304">
        <f t="shared" ca="1" si="222"/>
        <v>0</v>
      </c>
      <c r="R488" s="306">
        <f t="shared" ca="1" si="223"/>
        <v>0</v>
      </c>
      <c r="S488" s="307">
        <f t="shared" ca="1" si="224"/>
        <v>7.150000000000003</v>
      </c>
      <c r="T488" s="304">
        <f t="shared" ca="1" si="204"/>
        <v>70.141500000000036</v>
      </c>
      <c r="U488" s="311">
        <f t="shared" ca="1" si="205"/>
        <v>0</v>
      </c>
      <c r="V488" s="306">
        <f t="shared" ca="1" si="206"/>
        <v>1.1362351055847322</v>
      </c>
      <c r="W488" s="304">
        <f t="shared" ca="1" si="207"/>
        <v>35.45210878189409</v>
      </c>
      <c r="Y488" s="314" t="str">
        <f t="shared" ca="1" si="225"/>
        <v/>
      </c>
      <c r="Z488" s="315" t="str">
        <f t="shared" ca="1" si="226"/>
        <v/>
      </c>
      <c r="AA488" s="316" t="str">
        <f t="shared" ca="1" si="227"/>
        <v/>
      </c>
      <c r="AC488" s="310" t="e">
        <f t="shared" ca="1" si="228"/>
        <v>#N/A</v>
      </c>
      <c r="AD488" s="323" t="e">
        <f t="shared" ca="1" si="229"/>
        <v>#N/A</v>
      </c>
      <c r="AE488" s="324" t="e">
        <f t="shared" ca="1" si="208"/>
        <v>#N/A</v>
      </c>
      <c r="AG488" s="306">
        <f t="shared" ca="1" si="230"/>
        <v>4.7740345748129398</v>
      </c>
      <c r="AH488" s="304">
        <f t="shared" ca="1" si="231"/>
        <v>-4.9098233395106137</v>
      </c>
    </row>
    <row r="489" spans="1:34" x14ac:dyDescent="0.2">
      <c r="A489" s="347">
        <f t="shared" ca="1" si="209"/>
        <v>0.1</v>
      </c>
      <c r="B489" s="304">
        <f t="shared" ca="1" si="210"/>
        <v>30.500000000000167</v>
      </c>
      <c r="D489" s="306">
        <f t="shared" ca="1" si="211"/>
        <v>-0.78556456789178908</v>
      </c>
      <c r="E489" s="307">
        <f t="shared" ca="1" si="212"/>
        <v>-4.9142882999588844</v>
      </c>
      <c r="F489" s="304">
        <f t="shared" ca="1" si="213"/>
        <v>4.9766797350683314</v>
      </c>
      <c r="G489" s="306">
        <f t="shared" ca="1" si="214"/>
        <v>17.244242832313567</v>
      </c>
      <c r="H489" s="307">
        <f t="shared" ca="1" si="215"/>
        <v>-108.44873065271054</v>
      </c>
      <c r="I489" s="304">
        <f t="shared" ca="1" si="216"/>
        <v>109.81116104952153</v>
      </c>
      <c r="J489" s="306">
        <f t="shared" ca="1" si="217"/>
        <v>797.96072861023288</v>
      </c>
      <c r="K489" s="307">
        <f t="shared" ca="1" si="218"/>
        <v>741.0310850113276</v>
      </c>
      <c r="L489" s="304">
        <f t="shared" ca="1" si="203"/>
        <v>1088.9758460853202</v>
      </c>
      <c r="M489" s="306">
        <f t="shared" ca="1" si="219"/>
        <v>-1.413108209263747</v>
      </c>
      <c r="N489" s="304">
        <f t="shared" ca="1" si="220"/>
        <v>-80.965136386102245</v>
      </c>
      <c r="P489" s="310">
        <f t="shared" ca="1" si="221"/>
        <v>23</v>
      </c>
      <c r="Q489" s="304">
        <f t="shared" ca="1" si="222"/>
        <v>0</v>
      </c>
      <c r="R489" s="306">
        <f t="shared" ca="1" si="223"/>
        <v>0</v>
      </c>
      <c r="S489" s="307">
        <f t="shared" ca="1" si="224"/>
        <v>7.150000000000003</v>
      </c>
      <c r="T489" s="304">
        <f t="shared" ca="1" si="204"/>
        <v>70.141500000000036</v>
      </c>
      <c r="U489" s="311">
        <f t="shared" ca="1" si="205"/>
        <v>0</v>
      </c>
      <c r="V489" s="306">
        <f t="shared" ca="1" si="206"/>
        <v>1.1374669284358889</v>
      </c>
      <c r="W489" s="304">
        <f t="shared" ca="1" si="207"/>
        <v>35.798199100039874</v>
      </c>
      <c r="Y489" s="314" t="str">
        <f t="shared" ca="1" si="225"/>
        <v/>
      </c>
      <c r="Z489" s="315" t="str">
        <f t="shared" ca="1" si="226"/>
        <v/>
      </c>
      <c r="AA489" s="316" t="str">
        <f t="shared" ca="1" si="227"/>
        <v/>
      </c>
      <c r="AC489" s="310" t="e">
        <f t="shared" ca="1" si="228"/>
        <v>#N/A</v>
      </c>
      <c r="AD489" s="323" t="e">
        <f t="shared" ca="1" si="229"/>
        <v>#N/A</v>
      </c>
      <c r="AE489" s="324" t="e">
        <f t="shared" ca="1" si="208"/>
        <v>#N/A</v>
      </c>
      <c r="AG489" s="306">
        <f t="shared" ca="1" si="230"/>
        <v>4.7277600423383568</v>
      </c>
      <c r="AH489" s="304">
        <f t="shared" ca="1" si="231"/>
        <v>-4.9583368925725981</v>
      </c>
    </row>
    <row r="490" spans="1:34" x14ac:dyDescent="0.2">
      <c r="A490" s="347">
        <f t="shared" ca="1" si="209"/>
        <v>0.1</v>
      </c>
      <c r="B490" s="304">
        <f t="shared" ca="1" si="210"/>
        <v>30.600000000000168</v>
      </c>
      <c r="D490" s="306">
        <f t="shared" ca="1" si="211"/>
        <v>-0.78623574387720119</v>
      </c>
      <c r="E490" s="307">
        <f t="shared" ca="1" si="212"/>
        <v>-4.8653776558113826</v>
      </c>
      <c r="F490" s="304">
        <f t="shared" ca="1" si="213"/>
        <v>4.9284953463119754</v>
      </c>
      <c r="G490" s="306">
        <f t="shared" ca="1" si="214"/>
        <v>17.165619257925847</v>
      </c>
      <c r="H490" s="307">
        <f t="shared" ca="1" si="215"/>
        <v>-108.93526841829167</v>
      </c>
      <c r="I490" s="304">
        <f t="shared" ca="1" si="216"/>
        <v>110.27942323875895</v>
      </c>
      <c r="J490" s="306">
        <f t="shared" ca="1" si="217"/>
        <v>799.68122171474488</v>
      </c>
      <c r="K490" s="307">
        <f t="shared" ca="1" si="218"/>
        <v>730.16188505777745</v>
      </c>
      <c r="L490" s="304">
        <f t="shared" ca="1" si="203"/>
        <v>1082.8787719566369</v>
      </c>
      <c r="M490" s="306">
        <f t="shared" ca="1" si="219"/>
        <v>-1.414505131752597</v>
      </c>
      <c r="N490" s="304">
        <f t="shared" ca="1" si="220"/>
        <v>-81.045174149020255</v>
      </c>
      <c r="P490" s="310">
        <f t="shared" ca="1" si="221"/>
        <v>23</v>
      </c>
      <c r="Q490" s="304">
        <f t="shared" ca="1" si="222"/>
        <v>0</v>
      </c>
      <c r="R490" s="306">
        <f t="shared" ca="1" si="223"/>
        <v>0</v>
      </c>
      <c r="S490" s="307">
        <f t="shared" ca="1" si="224"/>
        <v>7.150000000000003</v>
      </c>
      <c r="T490" s="304">
        <f t="shared" ca="1" si="204"/>
        <v>70.141500000000036</v>
      </c>
      <c r="U490" s="311">
        <f t="shared" ca="1" si="205"/>
        <v>0</v>
      </c>
      <c r="V490" s="306">
        <f t="shared" ca="1" si="206"/>
        <v>1.1387056127052737</v>
      </c>
      <c r="W490" s="304">
        <f t="shared" ca="1" si="207"/>
        <v>36.143471832133088</v>
      </c>
      <c r="Y490" s="314" t="str">
        <f t="shared" ca="1" si="225"/>
        <v/>
      </c>
      <c r="Z490" s="315" t="str">
        <f t="shared" ca="1" si="226"/>
        <v/>
      </c>
      <c r="AA490" s="316" t="str">
        <f t="shared" ca="1" si="227"/>
        <v/>
      </c>
      <c r="AC490" s="310" t="e">
        <f t="shared" ca="1" si="228"/>
        <v>#N/A</v>
      </c>
      <c r="AD490" s="323" t="e">
        <f t="shared" ca="1" si="229"/>
        <v>#N/A</v>
      </c>
      <c r="AE490" s="324" t="e">
        <f t="shared" ca="1" si="208"/>
        <v>#N/A</v>
      </c>
      <c r="AG490" s="306">
        <f t="shared" ca="1" si="230"/>
        <v>4.6815459003853368</v>
      </c>
      <c r="AH490" s="304">
        <f t="shared" ca="1" si="231"/>
        <v>-5.0067411328727074</v>
      </c>
    </row>
    <row r="491" spans="1:34" x14ac:dyDescent="0.2">
      <c r="A491" s="347">
        <f t="shared" ca="1" si="209"/>
        <v>0.1</v>
      </c>
      <c r="B491" s="304">
        <f t="shared" ca="1" si="210"/>
        <v>30.70000000000017</v>
      </c>
      <c r="D491" s="306">
        <f t="shared" ca="1" si="211"/>
        <v>-0.78684432119678893</v>
      </c>
      <c r="E491" s="307">
        <f t="shared" ca="1" si="212"/>
        <v>-4.8165828651416911</v>
      </c>
      <c r="F491" s="304">
        <f t="shared" ca="1" si="213"/>
        <v>4.8804297436369453</v>
      </c>
      <c r="G491" s="306">
        <f t="shared" ca="1" si="214"/>
        <v>17.086934825806168</v>
      </c>
      <c r="H491" s="307">
        <f t="shared" ca="1" si="215"/>
        <v>-109.41692670480585</v>
      </c>
      <c r="I491" s="304">
        <f t="shared" ca="1" si="216"/>
        <v>110.74306836667567</v>
      </c>
      <c r="J491" s="306">
        <f t="shared" ca="1" si="217"/>
        <v>801.3938494189315</v>
      </c>
      <c r="K491" s="307">
        <f t="shared" ca="1" si="218"/>
        <v>719.24427530162257</v>
      </c>
      <c r="L491" s="304">
        <f t="shared" ca="1" si="203"/>
        <v>1076.8214473350024</v>
      </c>
      <c r="M491" s="306">
        <f t="shared" ca="1" si="219"/>
        <v>-1.4158839835258403</v>
      </c>
      <c r="N491" s="304">
        <f t="shared" ca="1" si="220"/>
        <v>-81.124176536201233</v>
      </c>
      <c r="P491" s="310">
        <f t="shared" ca="1" si="221"/>
        <v>23</v>
      </c>
      <c r="Q491" s="304">
        <f t="shared" ca="1" si="222"/>
        <v>0</v>
      </c>
      <c r="R491" s="306">
        <f t="shared" ca="1" si="223"/>
        <v>0</v>
      </c>
      <c r="S491" s="307">
        <f t="shared" ca="1" si="224"/>
        <v>7.150000000000003</v>
      </c>
      <c r="T491" s="304">
        <f t="shared" ca="1" si="204"/>
        <v>70.141500000000036</v>
      </c>
      <c r="U491" s="311">
        <f t="shared" ca="1" si="205"/>
        <v>0</v>
      </c>
      <c r="V491" s="306">
        <f t="shared" ca="1" si="206"/>
        <v>1.1399511221994936</v>
      </c>
      <c r="W491" s="304">
        <f t="shared" ca="1" si="207"/>
        <v>36.487891596340141</v>
      </c>
      <c r="Y491" s="314" t="str">
        <f t="shared" ca="1" si="225"/>
        <v/>
      </c>
      <c r="Z491" s="315" t="str">
        <f t="shared" ca="1" si="226"/>
        <v/>
      </c>
      <c r="AA491" s="316" t="str">
        <f t="shared" ca="1" si="227"/>
        <v/>
      </c>
      <c r="AC491" s="310" t="e">
        <f t="shared" ca="1" si="228"/>
        <v>#N/A</v>
      </c>
      <c r="AD491" s="323" t="e">
        <f t="shared" ca="1" si="229"/>
        <v>#N/A</v>
      </c>
      <c r="AE491" s="324" t="e">
        <f t="shared" ca="1" si="208"/>
        <v>#N/A</v>
      </c>
      <c r="AG491" s="306">
        <f t="shared" ca="1" si="230"/>
        <v>4.6353985378893974</v>
      </c>
      <c r="AH491" s="304">
        <f t="shared" ca="1" si="231"/>
        <v>-5.0550310254731574</v>
      </c>
    </row>
    <row r="492" spans="1:34" x14ac:dyDescent="0.2">
      <c r="A492" s="347">
        <f t="shared" ca="1" si="209"/>
        <v>0.1</v>
      </c>
      <c r="B492" s="304">
        <f t="shared" ca="1" si="210"/>
        <v>30.800000000000171</v>
      </c>
      <c r="D492" s="306">
        <f t="shared" ca="1" si="211"/>
        <v>-0.78739080289026653</v>
      </c>
      <c r="E492" s="307">
        <f t="shared" ca="1" si="212"/>
        <v>-4.7679089142562034</v>
      </c>
      <c r="F492" s="304">
        <f t="shared" ca="1" si="213"/>
        <v>4.8324879400904814</v>
      </c>
      <c r="G492" s="306">
        <f t="shared" ca="1" si="214"/>
        <v>17.008195745517142</v>
      </c>
      <c r="H492" s="307">
        <f t="shared" ca="1" si="215"/>
        <v>-109.89371759623147</v>
      </c>
      <c r="I492" s="304">
        <f t="shared" ca="1" si="216"/>
        <v>111.20210380041424</v>
      </c>
      <c r="J492" s="306">
        <f t="shared" ca="1" si="217"/>
        <v>803.09860594749762</v>
      </c>
      <c r="K492" s="307">
        <f t="shared" ca="1" si="218"/>
        <v>708.27874308657067</v>
      </c>
      <c r="L492" s="304">
        <f t="shared" ca="1" si="203"/>
        <v>1070.8063077807799</v>
      </c>
      <c r="M492" s="306">
        <f t="shared" ca="1" si="219"/>
        <v>-1.4172451265082004</v>
      </c>
      <c r="N492" s="304">
        <f t="shared" ca="1" si="220"/>
        <v>-81.202164284404319</v>
      </c>
      <c r="P492" s="310">
        <f t="shared" ca="1" si="221"/>
        <v>23</v>
      </c>
      <c r="Q492" s="304">
        <f t="shared" ca="1" si="222"/>
        <v>0</v>
      </c>
      <c r="R492" s="306">
        <f t="shared" ca="1" si="223"/>
        <v>0</v>
      </c>
      <c r="S492" s="307">
        <f t="shared" ca="1" si="224"/>
        <v>7.150000000000003</v>
      </c>
      <c r="T492" s="304">
        <f t="shared" ca="1" si="204"/>
        <v>70.141500000000036</v>
      </c>
      <c r="U492" s="311">
        <f t="shared" ca="1" si="205"/>
        <v>0</v>
      </c>
      <c r="V492" s="306">
        <f t="shared" ca="1" si="206"/>
        <v>1.1412034207627508</v>
      </c>
      <c r="W492" s="304">
        <f t="shared" ca="1" si="207"/>
        <v>36.83142363048119</v>
      </c>
      <c r="Y492" s="314" t="str">
        <f t="shared" ca="1" si="225"/>
        <v/>
      </c>
      <c r="Z492" s="315" t="str">
        <f t="shared" ca="1" si="226"/>
        <v/>
      </c>
      <c r="AA492" s="316" t="str">
        <f t="shared" ca="1" si="227"/>
        <v/>
      </c>
      <c r="AC492" s="310" t="e">
        <f t="shared" ca="1" si="228"/>
        <v>#N/A</v>
      </c>
      <c r="AD492" s="323" t="e">
        <f t="shared" ca="1" si="229"/>
        <v>#N/A</v>
      </c>
      <c r="AE492" s="324" t="e">
        <f t="shared" ca="1" si="208"/>
        <v>#N/A</v>
      </c>
      <c r="AG492" s="306">
        <f t="shared" ca="1" si="230"/>
        <v>4.589324211174489</v>
      </c>
      <c r="AH492" s="304">
        <f t="shared" ca="1" si="231"/>
        <v>-5.1032016218657521</v>
      </c>
    </row>
    <row r="493" spans="1:34" x14ac:dyDescent="0.2">
      <c r="A493" s="347">
        <f t="shared" ca="1" si="209"/>
        <v>0.1</v>
      </c>
      <c r="B493" s="304">
        <f t="shared" ca="1" si="210"/>
        <v>30.900000000000173</v>
      </c>
      <c r="D493" s="306">
        <f t="shared" ca="1" si="211"/>
        <v>-0.78787569971668536</v>
      </c>
      <c r="E493" s="307">
        <f t="shared" ca="1" si="212"/>
        <v>-4.7193607022708886</v>
      </c>
      <c r="F493" s="304">
        <f t="shared" ca="1" si="213"/>
        <v>4.7846748642246144</v>
      </c>
      <c r="G493" s="306">
        <f t="shared" ca="1" si="214"/>
        <v>16.929408175545472</v>
      </c>
      <c r="H493" s="307">
        <f t="shared" ca="1" si="215"/>
        <v>-110.36565366645856</v>
      </c>
      <c r="I493" s="304">
        <f t="shared" ca="1" si="216"/>
        <v>111.65653751750904</v>
      </c>
      <c r="J493" s="306">
        <f t="shared" ca="1" si="217"/>
        <v>804.79548614355076</v>
      </c>
      <c r="K493" s="307">
        <f t="shared" ca="1" si="218"/>
        <v>697.26577452343622</v>
      </c>
      <c r="L493" s="304">
        <f t="shared" ca="1" si="203"/>
        <v>1064.8358252983421</v>
      </c>
      <c r="M493" s="306">
        <f t="shared" ca="1" si="219"/>
        <v>-1.4185889128534224</v>
      </c>
      <c r="N493" s="304">
        <f t="shared" ca="1" si="220"/>
        <v>-81.27915757055284</v>
      </c>
      <c r="P493" s="310">
        <f t="shared" ca="1" si="221"/>
        <v>23</v>
      </c>
      <c r="Q493" s="304">
        <f t="shared" ca="1" si="222"/>
        <v>0</v>
      </c>
      <c r="R493" s="306">
        <f t="shared" ca="1" si="223"/>
        <v>0</v>
      </c>
      <c r="S493" s="307">
        <f t="shared" ca="1" si="224"/>
        <v>7.150000000000003</v>
      </c>
      <c r="T493" s="304">
        <f t="shared" ca="1" si="204"/>
        <v>70.141500000000036</v>
      </c>
      <c r="U493" s="311">
        <f t="shared" ca="1" si="205"/>
        <v>0</v>
      </c>
      <c r="V493" s="306">
        <f t="shared" ca="1" si="206"/>
        <v>1.1424624722805081</v>
      </c>
      <c r="W493" s="304">
        <f t="shared" ca="1" si="207"/>
        <v>37.17403379343574</v>
      </c>
      <c r="Y493" s="314" t="str">
        <f t="shared" ca="1" si="225"/>
        <v/>
      </c>
      <c r="Z493" s="315" t="str">
        <f t="shared" ca="1" si="226"/>
        <v/>
      </c>
      <c r="AA493" s="316" t="str">
        <f t="shared" ca="1" si="227"/>
        <v/>
      </c>
      <c r="AC493" s="310" t="e">
        <f t="shared" ca="1" si="228"/>
        <v>#N/A</v>
      </c>
      <c r="AD493" s="323" t="e">
        <f t="shared" ca="1" si="229"/>
        <v>#N/A</v>
      </c>
      <c r="AE493" s="324" t="e">
        <f t="shared" ca="1" si="208"/>
        <v>#N/A</v>
      </c>
      <c r="AG493" s="306">
        <f t="shared" ca="1" si="230"/>
        <v>4.5433290455815101</v>
      </c>
      <c r="AH493" s="304">
        <f t="shared" ca="1" si="231"/>
        <v>-5.1512480602071573</v>
      </c>
    </row>
    <row r="494" spans="1:34" x14ac:dyDescent="0.2">
      <c r="A494" s="347">
        <f t="shared" ca="1" si="209"/>
        <v>0.1</v>
      </c>
      <c r="B494" s="304">
        <f t="shared" ca="1" si="210"/>
        <v>31.000000000000174</v>
      </c>
      <c r="D494" s="306">
        <f t="shared" ca="1" si="211"/>
        <v>-0.78829952986004048</v>
      </c>
      <c r="E494" s="307">
        <f t="shared" ca="1" si="212"/>
        <v>-4.6709430409009478</v>
      </c>
      <c r="F494" s="304">
        <f t="shared" ca="1" si="213"/>
        <v>4.7369953599426875</v>
      </c>
      <c r="G494" s="306">
        <f t="shared" ca="1" si="214"/>
        <v>16.850578222559466</v>
      </c>
      <c r="H494" s="307">
        <f t="shared" ca="1" si="215"/>
        <v>-110.83274797054865</v>
      </c>
      <c r="I494" s="304">
        <f t="shared" ca="1" si="216"/>
        <v>112.10637809303158</v>
      </c>
      <c r="J494" s="306">
        <f t="shared" ca="1" si="217"/>
        <v>806.48448546345605</v>
      </c>
      <c r="K494" s="307">
        <f t="shared" ca="1" si="218"/>
        <v>686.20585444158587</v>
      </c>
      <c r="L494" s="304">
        <f t="shared" ca="1" si="203"/>
        <v>1058.9125081720219</v>
      </c>
      <c r="M494" s="306">
        <f t="shared" ca="1" si="219"/>
        <v>-1.4199156852670018</v>
      </c>
      <c r="N494" s="304">
        <f t="shared" ca="1" si="220"/>
        <v>-81.355176030225337</v>
      </c>
      <c r="P494" s="310">
        <f t="shared" ca="1" si="221"/>
        <v>23</v>
      </c>
      <c r="Q494" s="304">
        <f t="shared" ca="1" si="222"/>
        <v>0</v>
      </c>
      <c r="R494" s="306">
        <f t="shared" ca="1" si="223"/>
        <v>0</v>
      </c>
      <c r="S494" s="307">
        <f t="shared" ca="1" si="224"/>
        <v>7.150000000000003</v>
      </c>
      <c r="T494" s="304">
        <f t="shared" ca="1" si="204"/>
        <v>70.141500000000036</v>
      </c>
      <c r="U494" s="311">
        <f t="shared" ca="1" si="205"/>
        <v>0</v>
      </c>
      <c r="V494" s="306">
        <f t="shared" ca="1" si="206"/>
        <v>1.1437282406831071</v>
      </c>
      <c r="W494" s="304">
        <f t="shared" ca="1" si="207"/>
        <v>37.515688566275983</v>
      </c>
      <c r="Y494" s="314" t="str">
        <f t="shared" ca="1" si="225"/>
        <v/>
      </c>
      <c r="Z494" s="315" t="str">
        <f t="shared" ca="1" si="226"/>
        <v/>
      </c>
      <c r="AA494" s="316" t="str">
        <f t="shared" ca="1" si="227"/>
        <v/>
      </c>
      <c r="AC494" s="310">
        <f t="shared" ca="1" si="228"/>
        <v>31.000000000000174</v>
      </c>
      <c r="AD494" s="323">
        <f t="shared" ca="1" si="229"/>
        <v>806.48448546345605</v>
      </c>
      <c r="AE494" s="324" t="e">
        <f t="shared" ca="1" si="208"/>
        <v>#N/A</v>
      </c>
      <c r="AG494" s="306">
        <f t="shared" ca="1" si="230"/>
        <v>4.4974190370491502</v>
      </c>
      <c r="AH494" s="304">
        <f t="shared" ca="1" si="231"/>
        <v>-5.1991655655154858</v>
      </c>
    </row>
    <row r="495" spans="1:34" x14ac:dyDescent="0.2">
      <c r="A495" s="347">
        <f t="shared" ca="1" si="209"/>
        <v>0.1</v>
      </c>
      <c r="B495" s="304">
        <f t="shared" ca="1" si="210"/>
        <v>31.100000000000176</v>
      </c>
      <c r="D495" s="306">
        <f t="shared" ca="1" si="211"/>
        <v>-0.78866281863807175</v>
      </c>
      <c r="E495" s="307">
        <f t="shared" ca="1" si="212"/>
        <v>-4.6226606542894588</v>
      </c>
      <c r="F495" s="304">
        <f t="shared" ca="1" si="213"/>
        <v>4.6894541863865129</v>
      </c>
      <c r="G495" s="306">
        <f t="shared" ca="1" si="214"/>
        <v>16.77171194069566</v>
      </c>
      <c r="H495" s="307">
        <f t="shared" ca="1" si="215"/>
        <v>-111.2950140359776</v>
      </c>
      <c r="I495" s="304">
        <f t="shared" ca="1" si="216"/>
        <v>112.55163468688549</v>
      </c>
      <c r="J495" s="306">
        <f t="shared" ca="1" si="217"/>
        <v>808.1655999716188</v>
      </c>
      <c r="K495" s="307">
        <f t="shared" ca="1" si="218"/>
        <v>675.09946634125959</v>
      </c>
      <c r="L495" s="304">
        <f t="shared" ca="1" si="203"/>
        <v>1053.0389007210229</v>
      </c>
      <c r="M495" s="306">
        <f t="shared" ca="1" si="219"/>
        <v>-1.4212257773163863</v>
      </c>
      <c r="N495" s="304">
        <f t="shared" ca="1" si="220"/>
        <v>-81.430238775428705</v>
      </c>
      <c r="P495" s="310">
        <f t="shared" ca="1" si="221"/>
        <v>23</v>
      </c>
      <c r="Q495" s="304">
        <f t="shared" ca="1" si="222"/>
        <v>0</v>
      </c>
      <c r="R495" s="306">
        <f t="shared" ca="1" si="223"/>
        <v>0</v>
      </c>
      <c r="S495" s="307">
        <f t="shared" ca="1" si="224"/>
        <v>7.150000000000003</v>
      </c>
      <c r="T495" s="304">
        <f t="shared" ca="1" si="204"/>
        <v>70.141500000000036</v>
      </c>
      <c r="U495" s="311">
        <f t="shared" ca="1" si="205"/>
        <v>0</v>
      </c>
      <c r="V495" s="306">
        <f t="shared" ca="1" si="206"/>
        <v>1.1450006899493392</v>
      </c>
      <c r="W495" s="304">
        <f t="shared" ca="1" si="207"/>
        <v>37.856355053131878</v>
      </c>
      <c r="Y495" s="314" t="str">
        <f t="shared" ca="1" si="225"/>
        <v/>
      </c>
      <c r="Z495" s="315" t="str">
        <f t="shared" ca="1" si="226"/>
        <v/>
      </c>
      <c r="AA495" s="316" t="str">
        <f t="shared" ca="1" si="227"/>
        <v/>
      </c>
      <c r="AC495" s="310" t="e">
        <f t="shared" ca="1" si="228"/>
        <v>#N/A</v>
      </c>
      <c r="AD495" s="323" t="e">
        <f t="shared" ca="1" si="229"/>
        <v>#N/A</v>
      </c>
      <c r="AE495" s="324" t="e">
        <f t="shared" ca="1" si="208"/>
        <v>#N/A</v>
      </c>
      <c r="AG495" s="306">
        <f t="shared" ca="1" si="230"/>
        <v>4.4516000536509237</v>
      </c>
      <c r="AH495" s="304">
        <f t="shared" ca="1" si="231"/>
        <v>-5.246949449828807</v>
      </c>
    </row>
    <row r="496" spans="1:34" x14ac:dyDescent="0.2">
      <c r="A496" s="347">
        <f t="shared" ca="1" si="209"/>
        <v>0.1</v>
      </c>
      <c r="B496" s="304">
        <f t="shared" ca="1" si="210"/>
        <v>31.200000000000177</v>
      </c>
      <c r="D496" s="306">
        <f t="shared" ca="1" si="211"/>
        <v>-0.78896609821426233</v>
      </c>
      <c r="E496" s="307">
        <f t="shared" ca="1" si="212"/>
        <v>-4.5745181788744267</v>
      </c>
      <c r="F496" s="304">
        <f t="shared" ca="1" si="213"/>
        <v>4.6420560178636405</v>
      </c>
      <c r="G496" s="306">
        <f t="shared" ca="1" si="214"/>
        <v>16.692815330874232</v>
      </c>
      <c r="H496" s="307">
        <f t="shared" ca="1" si="215"/>
        <v>-111.75246585386505</v>
      </c>
      <c r="I496" s="304">
        <f t="shared" ca="1" si="216"/>
        <v>112.9923170312475</v>
      </c>
      <c r="J496" s="306">
        <f t="shared" ca="1" si="217"/>
        <v>809.83882633519727</v>
      </c>
      <c r="K496" s="307">
        <f t="shared" ca="1" si="218"/>
        <v>663.94709234676748</v>
      </c>
      <c r="L496" s="304">
        <f t="shared" ca="1" si="203"/>
        <v>1047.2175829672153</v>
      </c>
      <c r="M496" s="306">
        <f t="shared" ca="1" si="219"/>
        <v>-1.4225195137292008</v>
      </c>
      <c r="N496" s="304">
        <f t="shared" ca="1" si="220"/>
        <v>-81.504364411685373</v>
      </c>
      <c r="P496" s="310">
        <f t="shared" ca="1" si="221"/>
        <v>23</v>
      </c>
      <c r="Q496" s="304">
        <f t="shared" ca="1" si="222"/>
        <v>0</v>
      </c>
      <c r="R496" s="306">
        <f t="shared" ca="1" si="223"/>
        <v>0</v>
      </c>
      <c r="S496" s="307">
        <f t="shared" ca="1" si="224"/>
        <v>7.150000000000003</v>
      </c>
      <c r="T496" s="304">
        <f t="shared" ca="1" si="204"/>
        <v>70.141500000000036</v>
      </c>
      <c r="U496" s="311">
        <f t="shared" ca="1" si="205"/>
        <v>0</v>
      </c>
      <c r="V496" s="306">
        <f t="shared" ca="1" si="206"/>
        <v>1.1462797841099757</v>
      </c>
      <c r="W496" s="304">
        <f t="shared" ca="1" si="207"/>
        <v>38.196000981792785</v>
      </c>
      <c r="Y496" s="314" t="str">
        <f t="shared" ca="1" si="225"/>
        <v/>
      </c>
      <c r="Z496" s="315" t="str">
        <f t="shared" ca="1" si="226"/>
        <v/>
      </c>
      <c r="AA496" s="316" t="str">
        <f t="shared" ca="1" si="227"/>
        <v/>
      </c>
      <c r="AC496" s="310" t="e">
        <f t="shared" ca="1" si="228"/>
        <v>#N/A</v>
      </c>
      <c r="AD496" s="323" t="e">
        <f t="shared" ca="1" si="229"/>
        <v>#N/A</v>
      </c>
      <c r="AE496" s="324" t="e">
        <f t="shared" ca="1" si="208"/>
        <v>#N/A</v>
      </c>
      <c r="AG496" s="306">
        <f t="shared" ca="1" si="230"/>
        <v>4.4058778370921425</v>
      </c>
      <c r="AH496" s="304">
        <f t="shared" ca="1" si="231"/>
        <v>-5.2945951123261343</v>
      </c>
    </row>
    <row r="497" spans="1:34" x14ac:dyDescent="0.2">
      <c r="A497" s="347">
        <f t="shared" ca="1" si="209"/>
        <v>0.1</v>
      </c>
      <c r="B497" s="304">
        <f t="shared" ca="1" si="210"/>
        <v>31.300000000000178</v>
      </c>
      <c r="D497" s="306">
        <f t="shared" ca="1" si="211"/>
        <v>-0.78920990731309559</v>
      </c>
      <c r="E497" s="307">
        <f t="shared" ca="1" si="212"/>
        <v>-4.5265201632935277</v>
      </c>
      <c r="F497" s="304">
        <f t="shared" ca="1" si="213"/>
        <v>4.5948054438141348</v>
      </c>
      <c r="G497" s="306">
        <f t="shared" ca="1" si="214"/>
        <v>16.613894340142924</v>
      </c>
      <c r="H497" s="307">
        <f t="shared" ca="1" si="215"/>
        <v>-112.2051178701944</v>
      </c>
      <c r="I497" s="304">
        <f t="shared" ca="1" si="216"/>
        <v>113.428435418151</v>
      </c>
      <c r="J497" s="306">
        <f t="shared" ca="1" si="217"/>
        <v>811.50416181874812</v>
      </c>
      <c r="K497" s="307">
        <f t="shared" ca="1" si="218"/>
        <v>652.74921316056452</v>
      </c>
      <c r="L497" s="304">
        <f t="shared" ca="1" si="203"/>
        <v>1041.451170209571</v>
      </c>
      <c r="M497" s="306">
        <f t="shared" ca="1" si="219"/>
        <v>-1.4237972106800307</v>
      </c>
      <c r="N497" s="304">
        <f t="shared" ca="1" si="220"/>
        <v>-81.577571054464656</v>
      </c>
      <c r="P497" s="310">
        <f t="shared" ca="1" si="221"/>
        <v>23</v>
      </c>
      <c r="Q497" s="304">
        <f t="shared" ca="1" si="222"/>
        <v>0</v>
      </c>
      <c r="R497" s="306">
        <f t="shared" ca="1" si="223"/>
        <v>0</v>
      </c>
      <c r="S497" s="307">
        <f t="shared" ca="1" si="224"/>
        <v>7.150000000000003</v>
      </c>
      <c r="T497" s="304">
        <f t="shared" ca="1" si="204"/>
        <v>70.141500000000036</v>
      </c>
      <c r="U497" s="311">
        <f t="shared" ca="1" si="205"/>
        <v>0</v>
      </c>
      <c r="V497" s="306">
        <f t="shared" ca="1" si="206"/>
        <v>1.1475654872512422</v>
      </c>
      <c r="W497" s="304">
        <f t="shared" ca="1" si="207"/>
        <v>38.534594704049809</v>
      </c>
      <c r="Y497" s="314" t="str">
        <f t="shared" ca="1" si="225"/>
        <v/>
      </c>
      <c r="Z497" s="315" t="str">
        <f t="shared" ca="1" si="226"/>
        <v/>
      </c>
      <c r="AA497" s="316" t="str">
        <f t="shared" ca="1" si="227"/>
        <v/>
      </c>
      <c r="AC497" s="310" t="e">
        <f t="shared" ca="1" si="228"/>
        <v>#N/A</v>
      </c>
      <c r="AD497" s="323" t="e">
        <f t="shared" ca="1" si="229"/>
        <v>#N/A</v>
      </c>
      <c r="AE497" s="324" t="e">
        <f t="shared" ca="1" si="208"/>
        <v>#N/A</v>
      </c>
      <c r="AG497" s="306">
        <f t="shared" ca="1" si="230"/>
        <v>4.360258004170058</v>
      </c>
      <c r="AH497" s="304">
        <f t="shared" ca="1" si="231"/>
        <v>-5.3420980394115762</v>
      </c>
    </row>
    <row r="498" spans="1:34" x14ac:dyDescent="0.2">
      <c r="A498" s="347">
        <f t="shared" ca="1" si="209"/>
        <v>0.1</v>
      </c>
      <c r="B498" s="304">
        <f t="shared" ca="1" si="210"/>
        <v>31.40000000000018</v>
      </c>
      <c r="D498" s="306">
        <f t="shared" ca="1" si="211"/>
        <v>-0.78939479093857245</v>
      </c>
      <c r="E498" s="307">
        <f t="shared" ca="1" si="212"/>
        <v>-4.478671068325939</v>
      </c>
      <c r="F498" s="304">
        <f t="shared" ca="1" si="213"/>
        <v>4.5477069688163461</v>
      </c>
      <c r="G498" s="306">
        <f t="shared" ca="1" si="214"/>
        <v>16.534954861049066</v>
      </c>
      <c r="H498" s="307">
        <f t="shared" ca="1" si="215"/>
        <v>-112.65298497702699</v>
      </c>
      <c r="I498" s="304">
        <f t="shared" ca="1" si="216"/>
        <v>113.86000068720884</v>
      </c>
      <c r="J498" s="306">
        <f t="shared" ca="1" si="217"/>
        <v>813.16160427880777</v>
      </c>
      <c r="K498" s="307">
        <f t="shared" ca="1" si="218"/>
        <v>641.50630801820341</v>
      </c>
      <c r="L498" s="304">
        <f t="shared" ca="1" si="203"/>
        <v>1035.7423124988331</v>
      </c>
      <c r="M498" s="306">
        <f t="shared" ca="1" si="219"/>
        <v>-1.4250591760662632</v>
      </c>
      <c r="N498" s="304">
        <f t="shared" ca="1" si="220"/>
        <v>-81.649876344987376</v>
      </c>
      <c r="P498" s="310">
        <f t="shared" ca="1" si="221"/>
        <v>23</v>
      </c>
      <c r="Q498" s="304">
        <f t="shared" ca="1" si="222"/>
        <v>0</v>
      </c>
      <c r="R498" s="306">
        <f t="shared" ca="1" si="223"/>
        <v>0</v>
      </c>
      <c r="S498" s="307">
        <f t="shared" ca="1" si="224"/>
        <v>7.150000000000003</v>
      </c>
      <c r="T498" s="304">
        <f t="shared" ca="1" si="204"/>
        <v>70.141500000000036</v>
      </c>
      <c r="U498" s="311">
        <f t="shared" ca="1" si="205"/>
        <v>0</v>
      </c>
      <c r="V498" s="306">
        <f t="shared" ca="1" si="206"/>
        <v>1.1488577635182529</v>
      </c>
      <c r="W498" s="304">
        <f t="shared" ca="1" si="207"/>
        <v>38.872105195783604</v>
      </c>
      <c r="Y498" s="314" t="str">
        <f t="shared" ca="1" si="225"/>
        <v/>
      </c>
      <c r="Z498" s="315" t="str">
        <f t="shared" ca="1" si="226"/>
        <v/>
      </c>
      <c r="AA498" s="316" t="str">
        <f t="shared" ca="1" si="227"/>
        <v/>
      </c>
      <c r="AC498" s="310" t="e">
        <f t="shared" ca="1" si="228"/>
        <v>#N/A</v>
      </c>
      <c r="AD498" s="323" t="e">
        <f t="shared" ca="1" si="229"/>
        <v>#N/A</v>
      </c>
      <c r="AE498" s="324" t="e">
        <f t="shared" ca="1" si="208"/>
        <v>#N/A</v>
      </c>
      <c r="AG498" s="306">
        <f t="shared" ca="1" si="230"/>
        <v>4.3147460482004671</v>
      </c>
      <c r="AH498" s="304">
        <f t="shared" ca="1" si="231"/>
        <v>-5.3894538047622085</v>
      </c>
    </row>
    <row r="499" spans="1:34" x14ac:dyDescent="0.2">
      <c r="A499" s="347">
        <f t="shared" ca="1" si="209"/>
        <v>0.1</v>
      </c>
      <c r="B499" s="304">
        <f t="shared" ca="1" si="210"/>
        <v>31.500000000000181</v>
      </c>
      <c r="D499" s="306">
        <f t="shared" ca="1" si="211"/>
        <v>-0.7895213000960396</v>
      </c>
      <c r="E499" s="307">
        <f t="shared" ca="1" si="212"/>
        <v>-4.4309752668705533</v>
      </c>
      <c r="F499" s="304">
        <f t="shared" ca="1" si="213"/>
        <v>4.5007650126310654</v>
      </c>
      <c r="G499" s="306">
        <f t="shared" ca="1" si="214"/>
        <v>16.456002731039462</v>
      </c>
      <c r="H499" s="307">
        <f t="shared" ca="1" si="215"/>
        <v>-113.09608250371404</v>
      </c>
      <c r="I499" s="304">
        <f t="shared" ca="1" si="216"/>
        <v>114.28702421347261</v>
      </c>
      <c r="J499" s="306">
        <f t="shared" ca="1" si="217"/>
        <v>814.81115215841214</v>
      </c>
      <c r="K499" s="307">
        <f t="shared" ca="1" si="218"/>
        <v>630.21885464416641</v>
      </c>
      <c r="L499" s="304">
        <f t="shared" ca="1" si="203"/>
        <v>1030.0936940059016</v>
      </c>
      <c r="M499" s="306">
        <f t="shared" ca="1" si="219"/>
        <v>-1.4263057097734648</v>
      </c>
      <c r="N499" s="304">
        <f t="shared" ca="1" si="220"/>
        <v>-81.721297465430823</v>
      </c>
      <c r="P499" s="310">
        <f t="shared" ca="1" si="221"/>
        <v>23</v>
      </c>
      <c r="Q499" s="304">
        <f t="shared" ca="1" si="222"/>
        <v>0</v>
      </c>
      <c r="R499" s="306">
        <f t="shared" ca="1" si="223"/>
        <v>0</v>
      </c>
      <c r="S499" s="307">
        <f t="shared" ca="1" si="224"/>
        <v>7.150000000000003</v>
      </c>
      <c r="T499" s="304">
        <f t="shared" ca="1" si="204"/>
        <v>70.141500000000036</v>
      </c>
      <c r="U499" s="311">
        <f t="shared" ca="1" si="205"/>
        <v>0</v>
      </c>
      <c r="V499" s="306">
        <f t="shared" ca="1" si="206"/>
        <v>1.1501565771183946</v>
      </c>
      <c r="W499" s="304">
        <f t="shared" ca="1" si="207"/>
        <v>39.208502056802224</v>
      </c>
      <c r="Y499" s="314" t="str">
        <f t="shared" ca="1" si="225"/>
        <v/>
      </c>
      <c r="Z499" s="315" t="str">
        <f t="shared" ca="1" si="226"/>
        <v/>
      </c>
      <c r="AA499" s="316" t="str">
        <f t="shared" ca="1" si="227"/>
        <v/>
      </c>
      <c r="AC499" s="310" t="e">
        <f t="shared" ca="1" si="228"/>
        <v>#N/A</v>
      </c>
      <c r="AD499" s="323" t="e">
        <f t="shared" ca="1" si="229"/>
        <v>#N/A</v>
      </c>
      <c r="AE499" s="324" t="e">
        <f t="shared" ca="1" si="208"/>
        <v>#N/A</v>
      </c>
      <c r="AG499" s="306">
        <f t="shared" ca="1" si="230"/>
        <v>4.2693473404135647</v>
      </c>
      <c r="AH499" s="304">
        <f t="shared" ca="1" si="231"/>
        <v>-5.4366580693403614</v>
      </c>
    </row>
    <row r="500" spans="1:34" x14ac:dyDescent="0.2">
      <c r="A500" s="347">
        <f t="shared" ca="1" si="209"/>
        <v>0.1</v>
      </c>
      <c r="B500" s="304">
        <f t="shared" ca="1" si="210"/>
        <v>31.600000000000183</v>
      </c>
      <c r="D500" s="306">
        <f t="shared" ca="1" si="211"/>
        <v>-0.78958999151735165</v>
      </c>
      <c r="E500" s="307">
        <f t="shared" ca="1" si="212"/>
        <v>-4.3834370439599102</v>
      </c>
      <c r="F500" s="304">
        <f t="shared" ca="1" si="213"/>
        <v>4.4539839102835082</v>
      </c>
      <c r="G500" s="306">
        <f t="shared" ca="1" si="214"/>
        <v>16.377043731887728</v>
      </c>
      <c r="H500" s="307">
        <f t="shared" ca="1" si="215"/>
        <v>-113.53442620811003</v>
      </c>
      <c r="I500" s="304">
        <f t="shared" ca="1" si="216"/>
        <v>114.70951789542551</v>
      </c>
      <c r="J500" s="306">
        <f t="shared" ca="1" si="217"/>
        <v>816.45280448155847</v>
      </c>
      <c r="K500" s="307">
        <f t="shared" ca="1" si="218"/>
        <v>618.88732920857524</v>
      </c>
      <c r="L500" s="304">
        <f t="shared" ca="1" si="203"/>
        <v>1024.5080322773099</v>
      </c>
      <c r="M500" s="306">
        <f t="shared" ca="1" si="219"/>
        <v>-1.4275371039307516</v>
      </c>
      <c r="N500" s="304">
        <f t="shared" ca="1" si="220"/>
        <v>-81.79185115356043</v>
      </c>
      <c r="P500" s="310">
        <f t="shared" ca="1" si="221"/>
        <v>23</v>
      </c>
      <c r="Q500" s="304">
        <f t="shared" ca="1" si="222"/>
        <v>0</v>
      </c>
      <c r="R500" s="306">
        <f t="shared" ca="1" si="223"/>
        <v>0</v>
      </c>
      <c r="S500" s="307">
        <f t="shared" ca="1" si="224"/>
        <v>7.150000000000003</v>
      </c>
      <c r="T500" s="304">
        <f t="shared" ca="1" si="204"/>
        <v>70.141500000000036</v>
      </c>
      <c r="U500" s="311">
        <f t="shared" ca="1" si="205"/>
        <v>0</v>
      </c>
      <c r="V500" s="306">
        <f t="shared" ca="1" si="206"/>
        <v>1.151461892324662</v>
      </c>
      <c r="W500" s="304">
        <f t="shared" ca="1" si="207"/>
        <v>39.543755510433677</v>
      </c>
      <c r="Y500" s="314" t="str">
        <f t="shared" ca="1" si="225"/>
        <v/>
      </c>
      <c r="Z500" s="315" t="str">
        <f t="shared" ca="1" si="226"/>
        <v/>
      </c>
      <c r="AA500" s="316" t="str">
        <f t="shared" ca="1" si="227"/>
        <v/>
      </c>
      <c r="AC500" s="310" t="e">
        <f t="shared" ca="1" si="228"/>
        <v>#N/A</v>
      </c>
      <c r="AD500" s="323" t="e">
        <f t="shared" ca="1" si="229"/>
        <v>#N/A</v>
      </c>
      <c r="AE500" s="324" t="e">
        <f t="shared" ca="1" si="208"/>
        <v>#N/A</v>
      </c>
      <c r="AG500" s="306">
        <f t="shared" ca="1" si="230"/>
        <v>4.2240671313218625</v>
      </c>
      <c r="AH500" s="304">
        <f t="shared" ca="1" si="231"/>
        <v>-5.4837065813709378</v>
      </c>
    </row>
    <row r="501" spans="1:34" x14ac:dyDescent="0.2">
      <c r="A501" s="347">
        <f t="shared" ca="1" si="209"/>
        <v>0.1</v>
      </c>
      <c r="B501" s="304">
        <f t="shared" ca="1" si="210"/>
        <v>31.700000000000184</v>
      </c>
      <c r="D501" s="306">
        <f t="shared" ca="1" si="211"/>
        <v>-0.78960142738939532</v>
      </c>
      <c r="E501" s="307">
        <f t="shared" ca="1" si="212"/>
        <v>-4.3360605968091681</v>
      </c>
      <c r="F501" s="304">
        <f t="shared" ca="1" si="213"/>
        <v>4.4073679121825586</v>
      </c>
      <c r="G501" s="306">
        <f t="shared" ca="1" si="214"/>
        <v>16.298083589148789</v>
      </c>
      <c r="H501" s="307">
        <f t="shared" ca="1" si="215"/>
        <v>-113.96803226779095</v>
      </c>
      <c r="I501" s="304">
        <f t="shared" ca="1" si="216"/>
        <v>115.12749414310693</v>
      </c>
      <c r="J501" s="306">
        <f t="shared" ca="1" si="217"/>
        <v>818.08656084761026</v>
      </c>
      <c r="K501" s="307">
        <f t="shared" ca="1" si="218"/>
        <v>607.51220628478018</v>
      </c>
      <c r="L501" s="304">
        <f t="shared" ca="1" si="203"/>
        <v>1018.9880773711104</v>
      </c>
      <c r="M501" s="306">
        <f t="shared" ca="1" si="219"/>
        <v>-1.4287536431565839</v>
      </c>
      <c r="N501" s="304">
        <f t="shared" ca="1" si="220"/>
        <v>-81.861553716812736</v>
      </c>
      <c r="P501" s="310">
        <f t="shared" ca="1" si="221"/>
        <v>23</v>
      </c>
      <c r="Q501" s="304">
        <f t="shared" ca="1" si="222"/>
        <v>0</v>
      </c>
      <c r="R501" s="306">
        <f t="shared" ca="1" si="223"/>
        <v>0</v>
      </c>
      <c r="S501" s="307">
        <f t="shared" ca="1" si="224"/>
        <v>7.150000000000003</v>
      </c>
      <c r="T501" s="304">
        <f t="shared" ca="1" si="204"/>
        <v>70.141500000000036</v>
      </c>
      <c r="U501" s="311">
        <f t="shared" ca="1" si="205"/>
        <v>0</v>
      </c>
      <c r="V501" s="306">
        <f t="shared" ca="1" si="206"/>
        <v>1.1527736734789471</v>
      </c>
      <c r="W501" s="304">
        <f t="shared" ca="1" si="207"/>
        <v>39.87783640287816</v>
      </c>
      <c r="Y501" s="314" t="str">
        <f t="shared" ca="1" si="225"/>
        <v/>
      </c>
      <c r="Z501" s="315" t="str">
        <f t="shared" ca="1" si="226"/>
        <v/>
      </c>
      <c r="AA501" s="316" t="str">
        <f t="shared" ca="1" si="227"/>
        <v/>
      </c>
      <c r="AC501" s="310" t="e">
        <f t="shared" ca="1" si="228"/>
        <v>#N/A</v>
      </c>
      <c r="AD501" s="323" t="e">
        <f t="shared" ca="1" si="229"/>
        <v>#N/A</v>
      </c>
      <c r="AE501" s="324" t="e">
        <f t="shared" ca="1" si="208"/>
        <v>#N/A</v>
      </c>
      <c r="AG501" s="306">
        <f t="shared" ca="1" si="230"/>
        <v>4.1789105520625975</v>
      </c>
      <c r="AH501" s="304">
        <f t="shared" ca="1" si="231"/>
        <v>-5.5305951762844279</v>
      </c>
    </row>
    <row r="502" spans="1:34" x14ac:dyDescent="0.2">
      <c r="A502" s="347">
        <f t="shared" ca="1" si="209"/>
        <v>0.1</v>
      </c>
      <c r="B502" s="304">
        <f t="shared" ca="1" si="210"/>
        <v>31.800000000000185</v>
      </c>
      <c r="D502" s="306">
        <f t="shared" ca="1" si="211"/>
        <v>-0.78955617508600828</v>
      </c>
      <c r="E502" s="307">
        <f t="shared" ca="1" si="212"/>
        <v>-4.2888500348993839</v>
      </c>
      <c r="F502" s="304">
        <f t="shared" ca="1" si="213"/>
        <v>4.3609211842766538</v>
      </c>
      <c r="G502" s="306">
        <f t="shared" ca="1" si="214"/>
        <v>16.219127971640187</v>
      </c>
      <c r="H502" s="307">
        <f t="shared" ca="1" si="215"/>
        <v>-114.39691727128088</v>
      </c>
      <c r="I502" s="304">
        <f t="shared" ca="1" si="216"/>
        <v>115.54096586636587</v>
      </c>
      <c r="J502" s="306">
        <f t="shared" ca="1" si="217"/>
        <v>819.71242142564972</v>
      </c>
      <c r="K502" s="307">
        <f t="shared" ca="1" si="218"/>
        <v>596.09395880782654</v>
      </c>
      <c r="L502" s="304">
        <f t="shared" ca="1" si="203"/>
        <v>1013.5366108664692</v>
      </c>
      <c r="M502" s="306">
        <f t="shared" ca="1" si="219"/>
        <v>-1.4299556047953961</v>
      </c>
      <c r="N502" s="304">
        <f t="shared" ca="1" si="220"/>
        <v>-81.930421045853294</v>
      </c>
      <c r="P502" s="310">
        <f t="shared" ca="1" si="221"/>
        <v>23</v>
      </c>
      <c r="Q502" s="304">
        <f t="shared" ca="1" si="222"/>
        <v>0</v>
      </c>
      <c r="R502" s="306">
        <f t="shared" ca="1" si="223"/>
        <v>0</v>
      </c>
      <c r="S502" s="307">
        <f t="shared" ca="1" si="224"/>
        <v>7.150000000000003</v>
      </c>
      <c r="T502" s="304">
        <f t="shared" ca="1" si="204"/>
        <v>70.141500000000036</v>
      </c>
      <c r="U502" s="311">
        <f t="shared" ca="1" si="205"/>
        <v>0</v>
      </c>
      <c r="V502" s="306">
        <f t="shared" ca="1" si="206"/>
        <v>1.1540918849952797</v>
      </c>
      <c r="W502" s="304">
        <f t="shared" ca="1" si="207"/>
        <v>40.210716202324427</v>
      </c>
      <c r="Y502" s="314" t="str">
        <f t="shared" ca="1" si="225"/>
        <v/>
      </c>
      <c r="Z502" s="315" t="str">
        <f t="shared" ca="1" si="226"/>
        <v/>
      </c>
      <c r="AA502" s="316" t="str">
        <f t="shared" ca="1" si="227"/>
        <v/>
      </c>
      <c r="AC502" s="310" t="e">
        <f t="shared" ca="1" si="228"/>
        <v>#N/A</v>
      </c>
      <c r="AD502" s="323" t="e">
        <f t="shared" ca="1" si="229"/>
        <v>#N/A</v>
      </c>
      <c r="AE502" s="324" t="e">
        <f t="shared" ca="1" si="208"/>
        <v>#N/A</v>
      </c>
      <c r="AG502" s="306">
        <f t="shared" ca="1" si="230"/>
        <v>4.1338826157169875</v>
      </c>
      <c r="AH502" s="304">
        <f t="shared" ca="1" si="231"/>
        <v>-5.5773197766263136</v>
      </c>
    </row>
    <row r="503" spans="1:34" x14ac:dyDescent="0.2">
      <c r="A503" s="347">
        <f t="shared" ca="1" si="209"/>
        <v>0.1</v>
      </c>
      <c r="B503" s="304">
        <f t="shared" ca="1" si="210"/>
        <v>31.900000000000187</v>
      </c>
      <c r="D503" s="306">
        <f t="shared" ca="1" si="211"/>
        <v>-0.78945480690332204</v>
      </c>
      <c r="E503" s="307">
        <f t="shared" ca="1" si="212"/>
        <v>-4.2418093800944625</v>
      </c>
      <c r="F503" s="304">
        <f t="shared" ca="1" si="213"/>
        <v>4.3146478082457822</v>
      </c>
      <c r="G503" s="306">
        <f t="shared" ca="1" si="214"/>
        <v>16.140182490949854</v>
      </c>
      <c r="H503" s="307">
        <f t="shared" ca="1" si="215"/>
        <v>-114.82109820929033</v>
      </c>
      <c r="I503" s="304">
        <f t="shared" ca="1" si="216"/>
        <v>115.94994646324187</v>
      </c>
      <c r="J503" s="306">
        <f t="shared" ca="1" si="217"/>
        <v>821.33038694877928</v>
      </c>
      <c r="K503" s="307">
        <f t="shared" ca="1" si="218"/>
        <v>584.63305803379797</v>
      </c>
      <c r="L503" s="304">
        <f t="shared" ca="1" si="203"/>
        <v>1008.1564447402901</v>
      </c>
      <c r="M503" s="306">
        <f t="shared" ca="1" si="219"/>
        <v>-1.4311432591454534</v>
      </c>
      <c r="N503" s="304">
        <f t="shared" ca="1" si="220"/>
        <v>-81.998468627631937</v>
      </c>
      <c r="P503" s="310">
        <f t="shared" ca="1" si="221"/>
        <v>23</v>
      </c>
      <c r="Q503" s="304">
        <f t="shared" ca="1" si="222"/>
        <v>0</v>
      </c>
      <c r="R503" s="306">
        <f t="shared" ca="1" si="223"/>
        <v>0</v>
      </c>
      <c r="S503" s="307">
        <f t="shared" ca="1" si="224"/>
        <v>7.150000000000003</v>
      </c>
      <c r="T503" s="304">
        <f t="shared" ca="1" si="204"/>
        <v>70.141500000000036</v>
      </c>
      <c r="U503" s="311">
        <f t="shared" ca="1" si="205"/>
        <v>0</v>
      </c>
      <c r="V503" s="306">
        <f t="shared" ca="1" si="206"/>
        <v>1.1554164913630181</v>
      </c>
      <c r="W503" s="304">
        <f t="shared" ca="1" si="207"/>
        <v>40.542366997835742</v>
      </c>
      <c r="Y503" s="314" t="str">
        <f t="shared" ca="1" si="225"/>
        <v/>
      </c>
      <c r="Z503" s="315" t="str">
        <f t="shared" ca="1" si="226"/>
        <v/>
      </c>
      <c r="AA503" s="316" t="str">
        <f t="shared" ca="1" si="227"/>
        <v/>
      </c>
      <c r="AC503" s="310" t="e">
        <f t="shared" ca="1" si="228"/>
        <v>#N/A</v>
      </c>
      <c r="AD503" s="323" t="e">
        <f t="shared" ca="1" si="229"/>
        <v>#N/A</v>
      </c>
      <c r="AE503" s="324" t="e">
        <f t="shared" ca="1" si="208"/>
        <v>#N/A</v>
      </c>
      <c r="AG503" s="306">
        <f t="shared" ca="1" si="230"/>
        <v>4.0889882186085096</v>
      </c>
      <c r="AH503" s="304">
        <f t="shared" ca="1" si="231"/>
        <v>-5.623876391933484</v>
      </c>
    </row>
    <row r="504" spans="1:34" x14ac:dyDescent="0.2">
      <c r="A504" s="347">
        <f t="shared" ca="1" si="209"/>
        <v>0.1</v>
      </c>
      <c r="B504" s="304">
        <f t="shared" ca="1" si="210"/>
        <v>32.000000000000185</v>
      </c>
      <c r="D504" s="306">
        <f t="shared" ca="1" si="211"/>
        <v>-0.78929789979856813</v>
      </c>
      <c r="E504" s="307">
        <f t="shared" ca="1" si="212"/>
        <v>-4.1949425667909859</v>
      </c>
      <c r="F504" s="304">
        <f t="shared" ca="1" si="213"/>
        <v>4.2685517817289478</v>
      </c>
      <c r="G504" s="306">
        <f t="shared" ca="1" si="214"/>
        <v>16.061252700969998</v>
      </c>
      <c r="H504" s="307">
        <f t="shared" ca="1" si="215"/>
        <v>-115.24059246596943</v>
      </c>
      <c r="I504" s="304">
        <f t="shared" ca="1" si="216"/>
        <v>116.35444980847129</v>
      </c>
      <c r="J504" s="306">
        <f t="shared" ca="1" si="217"/>
        <v>822.94045870837522</v>
      </c>
      <c r="K504" s="307">
        <f t="shared" ca="1" si="218"/>
        <v>573.12997350003502</v>
      </c>
      <c r="L504" s="304">
        <f t="shared" ca="1" si="203"/>
        <v>1002.8504201042656</v>
      </c>
      <c r="M504" s="306">
        <f t="shared" ca="1" si="219"/>
        <v>-1.4323168696783122</v>
      </c>
      <c r="N504" s="304">
        <f t="shared" ca="1" si="220"/>
        <v>-82.065711557956845</v>
      </c>
      <c r="P504" s="310">
        <f t="shared" ca="1" si="221"/>
        <v>23</v>
      </c>
      <c r="Q504" s="304">
        <f t="shared" ca="1" si="222"/>
        <v>0</v>
      </c>
      <c r="R504" s="306">
        <f t="shared" ca="1" si="223"/>
        <v>0</v>
      </c>
      <c r="S504" s="307">
        <f t="shared" ca="1" si="224"/>
        <v>7.150000000000003</v>
      </c>
      <c r="T504" s="304">
        <f t="shared" ca="1" si="204"/>
        <v>70.141500000000036</v>
      </c>
      <c r="U504" s="311">
        <f t="shared" ca="1" si="205"/>
        <v>0</v>
      </c>
      <c r="V504" s="306">
        <f t="shared" ca="1" si="206"/>
        <v>1.1567474571499923</v>
      </c>
      <c r="W504" s="304">
        <f t="shared" ca="1" si="207"/>
        <v>40.872761498009631</v>
      </c>
      <c r="Y504" s="314" t="str">
        <f t="shared" ca="1" si="225"/>
        <v/>
      </c>
      <c r="Z504" s="315" t="str">
        <f t="shared" ca="1" si="226"/>
        <v/>
      </c>
      <c r="AA504" s="316" t="str">
        <f t="shared" ca="1" si="227"/>
        <v/>
      </c>
      <c r="AC504" s="310">
        <f t="shared" ca="1" si="228"/>
        <v>32.000000000000185</v>
      </c>
      <c r="AD504" s="323">
        <f t="shared" ca="1" si="229"/>
        <v>822.94045870837522</v>
      </c>
      <c r="AE504" s="324" t="e">
        <f t="shared" ca="1" si="208"/>
        <v>#N/A</v>
      </c>
      <c r="AG504" s="306">
        <f t="shared" ca="1" si="230"/>
        <v>4.0442321415821123</v>
      </c>
      <c r="AH504" s="304">
        <f t="shared" ca="1" si="231"/>
        <v>-5.6702611185784235</v>
      </c>
    </row>
    <row r="505" spans="1:34" x14ac:dyDescent="0.2">
      <c r="A505" s="347">
        <f t="shared" ca="1" si="209"/>
        <v>0.1</v>
      </c>
      <c r="B505" s="304">
        <f t="shared" ca="1" si="210"/>
        <v>32.100000000000186</v>
      </c>
      <c r="D505" s="306">
        <f t="shared" ca="1" si="211"/>
        <v>-0.78908603513234366</v>
      </c>
      <c r="E505" s="307">
        <f t="shared" ca="1" si="212"/>
        <v>-4.1482534421003026</v>
      </c>
      <c r="F505" s="304">
        <f t="shared" ca="1" si="213"/>
        <v>4.222637018586596</v>
      </c>
      <c r="G505" s="306">
        <f t="shared" ca="1" si="214"/>
        <v>15.982344097456764</v>
      </c>
      <c r="H505" s="307">
        <f t="shared" ca="1" si="215"/>
        <v>-115.65541781017946</v>
      </c>
      <c r="I505" s="304">
        <f t="shared" ca="1" si="216"/>
        <v>116.7544902421174</v>
      </c>
      <c r="J505" s="306">
        <f t="shared" ca="1" si="217"/>
        <v>824.54263854829651</v>
      </c>
      <c r="K505" s="307">
        <f t="shared" ca="1" si="218"/>
        <v>561.58517298622758</v>
      </c>
      <c r="L505" s="304">
        <f t="shared" ca="1" si="203"/>
        <v>997.62140579588504</v>
      </c>
      <c r="M505" s="306">
        <f t="shared" ca="1" si="219"/>
        <v>-1.4334766932502321</v>
      </c>
      <c r="N505" s="304">
        <f t="shared" ca="1" si="220"/>
        <v>-82.132164553607637</v>
      </c>
      <c r="P505" s="310">
        <f t="shared" ca="1" si="221"/>
        <v>23</v>
      </c>
      <c r="Q505" s="304">
        <f t="shared" ca="1" si="222"/>
        <v>0</v>
      </c>
      <c r="R505" s="306">
        <f t="shared" ca="1" si="223"/>
        <v>0</v>
      </c>
      <c r="S505" s="307">
        <f t="shared" ca="1" si="224"/>
        <v>7.150000000000003</v>
      </c>
      <c r="T505" s="304">
        <f t="shared" ca="1" si="204"/>
        <v>70.141500000000036</v>
      </c>
      <c r="U505" s="311">
        <f t="shared" ca="1" si="205"/>
        <v>0</v>
      </c>
      <c r="V505" s="306">
        <f t="shared" ca="1" si="206"/>
        <v>1.1580847470056013</v>
      </c>
      <c r="W505" s="304">
        <f t="shared" ca="1" si="207"/>
        <v>41.201873029417222</v>
      </c>
      <c r="Y505" s="314" t="str">
        <f t="shared" ca="1" si="225"/>
        <v/>
      </c>
      <c r="Z505" s="315" t="str">
        <f t="shared" ca="1" si="226"/>
        <v/>
      </c>
      <c r="AA505" s="316" t="str">
        <f t="shared" ca="1" si="227"/>
        <v/>
      </c>
      <c r="AC505" s="310" t="e">
        <f t="shared" ca="1" si="228"/>
        <v>#N/A</v>
      </c>
      <c r="AD505" s="323" t="e">
        <f t="shared" ca="1" si="229"/>
        <v>#N/A</v>
      </c>
      <c r="AE505" s="324" t="e">
        <f t="shared" ca="1" si="208"/>
        <v>#N/A</v>
      </c>
      <c r="AG505" s="306">
        <f t="shared" ca="1" si="230"/>
        <v>3.9996190512662881</v>
      </c>
      <c r="AH505" s="304">
        <f t="shared" ca="1" si="231"/>
        <v>-5.7164701395817641</v>
      </c>
    </row>
    <row r="506" spans="1:34" x14ac:dyDescent="0.2">
      <c r="A506" s="347">
        <f t="shared" ca="1" si="209"/>
        <v>0.1</v>
      </c>
      <c r="B506" s="304">
        <f t="shared" ca="1" si="210"/>
        <v>32.200000000000188</v>
      </c>
      <c r="D506" s="306">
        <f t="shared" ca="1" si="211"/>
        <v>-0.78881979841441563</v>
      </c>
      <c r="E506" s="307">
        <f t="shared" ca="1" si="212"/>
        <v>-4.1017457660620504</v>
      </c>
      <c r="F506" s="304">
        <f t="shared" ca="1" si="213"/>
        <v>4.1769073491973119</v>
      </c>
      <c r="G506" s="306">
        <f t="shared" ca="1" si="214"/>
        <v>15.903462117615323</v>
      </c>
      <c r="H506" s="307">
        <f t="shared" ca="1" si="215"/>
        <v>-116.06559238678567</v>
      </c>
      <c r="I506" s="304">
        <f t="shared" ca="1" si="216"/>
        <v>117.15008255832304</v>
      </c>
      <c r="J506" s="306">
        <f t="shared" ca="1" si="217"/>
        <v>826.13692885905016</v>
      </c>
      <c r="K506" s="307">
        <f t="shared" ca="1" si="218"/>
        <v>549.99912247637928</v>
      </c>
      <c r="L506" s="304">
        <f t="shared" ca="1" si="203"/>
        <v>992.47229681712054</v>
      </c>
      <c r="M506" s="306">
        <f t="shared" ca="1" si="219"/>
        <v>-1.4346229803058859</v>
      </c>
      <c r="N506" s="304">
        <f t="shared" ca="1" si="220"/>
        <v>-82.197841964007083</v>
      </c>
      <c r="P506" s="310">
        <f t="shared" ca="1" si="221"/>
        <v>23</v>
      </c>
      <c r="Q506" s="304">
        <f t="shared" ca="1" si="222"/>
        <v>0</v>
      </c>
      <c r="R506" s="306">
        <f t="shared" ca="1" si="223"/>
        <v>0</v>
      </c>
      <c r="S506" s="307">
        <f t="shared" ca="1" si="224"/>
        <v>7.150000000000003</v>
      </c>
      <c r="T506" s="304">
        <f t="shared" ca="1" si="204"/>
        <v>70.141500000000036</v>
      </c>
      <c r="U506" s="311">
        <f t="shared" ca="1" si="205"/>
        <v>0</v>
      </c>
      <c r="V506" s="306">
        <f t="shared" ca="1" si="206"/>
        <v>1.1594283256638529</v>
      </c>
      <c r="W506" s="304">
        <f t="shared" ca="1" si="207"/>
        <v>41.52967553482631</v>
      </c>
      <c r="Y506" s="314" t="str">
        <f t="shared" ca="1" si="225"/>
        <v/>
      </c>
      <c r="Z506" s="315" t="str">
        <f t="shared" ca="1" si="226"/>
        <v/>
      </c>
      <c r="AA506" s="316" t="str">
        <f t="shared" ca="1" si="227"/>
        <v/>
      </c>
      <c r="AC506" s="310" t="e">
        <f t="shared" ca="1" si="228"/>
        <v>#N/A</v>
      </c>
      <c r="AD506" s="323" t="e">
        <f t="shared" ca="1" si="229"/>
        <v>#N/A</v>
      </c>
      <c r="AE506" s="324" t="e">
        <f t="shared" ca="1" si="208"/>
        <v>#N/A</v>
      </c>
      <c r="AG506" s="306">
        <f t="shared" ca="1" si="230"/>
        <v>3.9551535013195993</v>
      </c>
      <c r="AH506" s="304">
        <f t="shared" ca="1" si="231"/>
        <v>-5.7624997243940141</v>
      </c>
    </row>
    <row r="507" spans="1:34" x14ac:dyDescent="0.2">
      <c r="A507" s="347">
        <f t="shared" ca="1" si="209"/>
        <v>0.1</v>
      </c>
      <c r="B507" s="304">
        <f t="shared" ca="1" si="210"/>
        <v>32.300000000000189</v>
      </c>
      <c r="D507" s="306">
        <f t="shared" ca="1" si="211"/>
        <v>-0.78849977905302959</v>
      </c>
      <c r="E507" s="307">
        <f t="shared" ca="1" si="212"/>
        <v>-4.0554232118885114</v>
      </c>
      <c r="F507" s="304">
        <f t="shared" ca="1" si="213"/>
        <v>4.1313665207883465</v>
      </c>
      <c r="G507" s="306">
        <f t="shared" ca="1" si="214"/>
        <v>15.82461213971002</v>
      </c>
      <c r="H507" s="307">
        <f t="shared" ca="1" si="215"/>
        <v>-116.47113470797451</v>
      </c>
      <c r="I507" s="304">
        <f t="shared" ca="1" si="216"/>
        <v>117.54124199418433</v>
      </c>
      <c r="J507" s="306">
        <f t="shared" ca="1" si="217"/>
        <v>827.72333257191644</v>
      </c>
      <c r="K507" s="307">
        <f t="shared" ca="1" si="218"/>
        <v>538.37228612164131</v>
      </c>
      <c r="L507" s="304">
        <f t="shared" ca="1" si="203"/>
        <v>987.40601261477127</v>
      </c>
      <c r="M507" s="306">
        <f t="shared" ca="1" si="219"/>
        <v>-1.4357559750746827</v>
      </c>
      <c r="N507" s="304">
        <f t="shared" ca="1" si="220"/>
        <v>-82.262757782469535</v>
      </c>
      <c r="P507" s="310">
        <f t="shared" ca="1" si="221"/>
        <v>23</v>
      </c>
      <c r="Q507" s="304">
        <f t="shared" ca="1" si="222"/>
        <v>0</v>
      </c>
      <c r="R507" s="306">
        <f t="shared" ca="1" si="223"/>
        <v>0</v>
      </c>
      <c r="S507" s="307">
        <f t="shared" ca="1" si="224"/>
        <v>7.150000000000003</v>
      </c>
      <c r="T507" s="304">
        <f t="shared" ca="1" si="204"/>
        <v>70.141500000000036</v>
      </c>
      <c r="U507" s="311">
        <f t="shared" ca="1" si="205"/>
        <v>0</v>
      </c>
      <c r="V507" s="306">
        <f t="shared" ca="1" si="206"/>
        <v>1.160778157946367</v>
      </c>
      <c r="W507" s="304">
        <f t="shared" ca="1" si="207"/>
        <v>41.856143571214247</v>
      </c>
      <c r="Y507" s="314" t="str">
        <f t="shared" ca="1" si="225"/>
        <v/>
      </c>
      <c r="Z507" s="315" t="str">
        <f t="shared" ca="1" si="226"/>
        <v/>
      </c>
      <c r="AA507" s="316" t="str">
        <f t="shared" ca="1" si="227"/>
        <v/>
      </c>
      <c r="AC507" s="310" t="e">
        <f t="shared" ca="1" si="228"/>
        <v>#N/A</v>
      </c>
      <c r="AD507" s="323" t="e">
        <f t="shared" ca="1" si="229"/>
        <v>#N/A</v>
      </c>
      <c r="AE507" s="324" t="e">
        <f t="shared" ca="1" si="208"/>
        <v>#N/A</v>
      </c>
      <c r="AG507" s="306">
        <f t="shared" ca="1" si="230"/>
        <v>3.9108399336633077</v>
      </c>
      <c r="AH507" s="304">
        <f t="shared" ca="1" si="231"/>
        <v>-5.808346228647034</v>
      </c>
    </row>
    <row r="508" spans="1:34" x14ac:dyDescent="0.2">
      <c r="A508" s="347">
        <f t="shared" ca="1" si="209"/>
        <v>0.1</v>
      </c>
      <c r="B508" s="304">
        <f t="shared" ca="1" si="210"/>
        <v>32.40000000000019</v>
      </c>
      <c r="D508" s="306">
        <f t="shared" ca="1" si="211"/>
        <v>-0.78812657010780873</v>
      </c>
      <c r="E508" s="307">
        <f t="shared" ca="1" si="212"/>
        <v>-4.0092893662389271</v>
      </c>
      <c r="F508" s="304">
        <f t="shared" ca="1" si="213"/>
        <v>4.086018197799226</v>
      </c>
      <c r="G508" s="306">
        <f t="shared" ca="1" si="214"/>
        <v>15.745799482699239</v>
      </c>
      <c r="H508" s="307">
        <f t="shared" ca="1" si="215"/>
        <v>-116.87206364459841</v>
      </c>
      <c r="I508" s="304">
        <f t="shared" ca="1" si="216"/>
        <v>117.92798421874441</v>
      </c>
      <c r="J508" s="306">
        <f t="shared" ca="1" si="217"/>
        <v>829.30185315303686</v>
      </c>
      <c r="K508" s="307">
        <f t="shared" ca="1" si="218"/>
        <v>526.70512620401269</v>
      </c>
      <c r="L508" s="304">
        <f t="shared" ca="1" si="203"/>
        <v>982.42549519678391</v>
      </c>
      <c r="M508" s="306">
        <f t="shared" ca="1" si="219"/>
        <v>-1.4368759157600175</v>
      </c>
      <c r="N508" s="304">
        <f t="shared" ca="1" si="220"/>
        <v>-82.326925657044214</v>
      </c>
      <c r="P508" s="310">
        <f t="shared" ca="1" si="221"/>
        <v>23</v>
      </c>
      <c r="Q508" s="304">
        <f t="shared" ca="1" si="222"/>
        <v>0</v>
      </c>
      <c r="R508" s="306">
        <f t="shared" ca="1" si="223"/>
        <v>0</v>
      </c>
      <c r="S508" s="307">
        <f t="shared" ca="1" si="224"/>
        <v>7.150000000000003</v>
      </c>
      <c r="T508" s="304">
        <f t="shared" ca="1" si="204"/>
        <v>70.141500000000036</v>
      </c>
      <c r="U508" s="311">
        <f t="shared" ca="1" si="205"/>
        <v>0</v>
      </c>
      <c r="V508" s="306">
        <f t="shared" ca="1" si="206"/>
        <v>1.1621342087653177</v>
      </c>
      <c r="W508" s="304">
        <f t="shared" ca="1" si="207"/>
        <v>42.18125230757456</v>
      </c>
      <c r="Y508" s="314" t="str">
        <f t="shared" ca="1" si="225"/>
        <v/>
      </c>
      <c r="Z508" s="315" t="str">
        <f t="shared" ca="1" si="226"/>
        <v/>
      </c>
      <c r="AA508" s="316" t="str">
        <f t="shared" ca="1" si="227"/>
        <v/>
      </c>
      <c r="AC508" s="310" t="e">
        <f t="shared" ca="1" si="228"/>
        <v>#N/A</v>
      </c>
      <c r="AD508" s="323" t="e">
        <f t="shared" ca="1" si="229"/>
        <v>#N/A</v>
      </c>
      <c r="AE508" s="324" t="e">
        <f t="shared" ca="1" si="208"/>
        <v>#N/A</v>
      </c>
      <c r="AG508" s="306">
        <f t="shared" ca="1" si="230"/>
        <v>3.8666826797014373</v>
      </c>
      <c r="AH508" s="304">
        <f t="shared" ca="1" si="231"/>
        <v>-5.8540060938761158</v>
      </c>
    </row>
    <row r="509" spans="1:34" x14ac:dyDescent="0.2">
      <c r="A509" s="347">
        <f t="shared" ca="1" si="209"/>
        <v>0.1</v>
      </c>
      <c r="B509" s="304">
        <f t="shared" ca="1" si="210"/>
        <v>32.500000000000192</v>
      </c>
      <c r="D509" s="306">
        <f t="shared" ca="1" si="211"/>
        <v>-0.78770076804621258</v>
      </c>
      <c r="E509" s="307">
        <f t="shared" ca="1" si="212"/>
        <v>-3.9633477295231954</v>
      </c>
      <c r="F509" s="304">
        <f t="shared" ca="1" si="213"/>
        <v>4.0408659622780441</v>
      </c>
      <c r="G509" s="306">
        <f t="shared" ca="1" si="214"/>
        <v>15.667029405894617</v>
      </c>
      <c r="H509" s="307">
        <f t="shared" ca="1" si="215"/>
        <v>-117.26839841755073</v>
      </c>
      <c r="I509" s="304">
        <f t="shared" ca="1" si="216"/>
        <v>118.31032532210611</v>
      </c>
      <c r="J509" s="306">
        <f t="shared" ca="1" si="217"/>
        <v>830.87249459746658</v>
      </c>
      <c r="K509" s="307">
        <f t="shared" ca="1" si="218"/>
        <v>514.99810310090527</v>
      </c>
      <c r="L509" s="304">
        <f t="shared" ca="1" si="203"/>
        <v>977.533707079274</v>
      </c>
      <c r="M509" s="306">
        <f t="shared" ca="1" si="219"/>
        <v>-1.4379830347217346</v>
      </c>
      <c r="N509" s="304">
        <f t="shared" ca="1" si="220"/>
        <v>-82.390358900969503</v>
      </c>
      <c r="P509" s="310">
        <f t="shared" ca="1" si="221"/>
        <v>23</v>
      </c>
      <c r="Q509" s="304">
        <f t="shared" ca="1" si="222"/>
        <v>0</v>
      </c>
      <c r="R509" s="306">
        <f t="shared" ca="1" si="223"/>
        <v>0</v>
      </c>
      <c r="S509" s="307">
        <f t="shared" ca="1" si="224"/>
        <v>7.150000000000003</v>
      </c>
      <c r="T509" s="304">
        <f t="shared" ca="1" si="204"/>
        <v>70.141500000000036</v>
      </c>
      <c r="U509" s="311">
        <f t="shared" ca="1" si="205"/>
        <v>0</v>
      </c>
      <c r="V509" s="306">
        <f t="shared" ca="1" si="206"/>
        <v>1.1634964431263339</v>
      </c>
      <c r="W509" s="304">
        <f t="shared" ca="1" si="207"/>
        <v>42.504977522523347</v>
      </c>
      <c r="Y509" s="314" t="str">
        <f t="shared" ca="1" si="225"/>
        <v/>
      </c>
      <c r="Z509" s="315" t="str">
        <f t="shared" ca="1" si="226"/>
        <v/>
      </c>
      <c r="AA509" s="316" t="str">
        <f t="shared" ca="1" si="227"/>
        <v/>
      </c>
      <c r="AC509" s="310" t="e">
        <f t="shared" ca="1" si="228"/>
        <v>#N/A</v>
      </c>
      <c r="AD509" s="323" t="e">
        <f t="shared" ca="1" si="229"/>
        <v>#N/A</v>
      </c>
      <c r="AE509" s="324" t="e">
        <f t="shared" ca="1" si="208"/>
        <v>#N/A</v>
      </c>
      <c r="AG509" s="306">
        <f t="shared" ca="1" si="230"/>
        <v>3.8226859615296611</v>
      </c>
      <c r="AH509" s="304">
        <f t="shared" ca="1" si="231"/>
        <v>-5.8994758472132229</v>
      </c>
    </row>
    <row r="510" spans="1:34" x14ac:dyDescent="0.2">
      <c r="A510" s="347">
        <f t="shared" ca="1" si="209"/>
        <v>0.1</v>
      </c>
      <c r="B510" s="304">
        <f t="shared" ca="1" si="210"/>
        <v>32.600000000000193</v>
      </c>
      <c r="D510" s="306">
        <f t="shared" ca="1" si="211"/>
        <v>-0.7872229725036215</v>
      </c>
      <c r="E510" s="307">
        <f t="shared" ca="1" si="212"/>
        <v>-3.9176017162341052</v>
      </c>
      <c r="F510" s="304">
        <f t="shared" ca="1" si="213"/>
        <v>3.9959133143097394</v>
      </c>
      <c r="G510" s="306">
        <f t="shared" ca="1" si="214"/>
        <v>15.588307108644255</v>
      </c>
      <c r="H510" s="307">
        <f t="shared" ca="1" si="215"/>
        <v>-117.66015858917415</v>
      </c>
      <c r="I510" s="304">
        <f t="shared" ca="1" si="216"/>
        <v>118.68828180466267</v>
      </c>
      <c r="J510" s="306">
        <f t="shared" ca="1" si="217"/>
        <v>832.43526142319354</v>
      </c>
      <c r="K510" s="307">
        <f t="shared" ca="1" si="218"/>
        <v>503.25167525056901</v>
      </c>
      <c r="L510" s="304">
        <f t="shared" ca="1" si="203"/>
        <v>972.73362905946908</v>
      </c>
      <c r="M510" s="306">
        <f t="shared" ca="1" si="219"/>
        <v>-1.4390775586520888</v>
      </c>
      <c r="N510" s="304">
        <f t="shared" ca="1" si="220"/>
        <v>-82.453070502754869</v>
      </c>
      <c r="P510" s="310">
        <f t="shared" ca="1" si="221"/>
        <v>23</v>
      </c>
      <c r="Q510" s="304">
        <f t="shared" ca="1" si="222"/>
        <v>0</v>
      </c>
      <c r="R510" s="306">
        <f t="shared" ca="1" si="223"/>
        <v>0</v>
      </c>
      <c r="S510" s="307">
        <f t="shared" ca="1" si="224"/>
        <v>7.150000000000003</v>
      </c>
      <c r="T510" s="304">
        <f t="shared" ca="1" si="204"/>
        <v>70.141500000000036</v>
      </c>
      <c r="U510" s="311">
        <f t="shared" ca="1" si="205"/>
        <v>0</v>
      </c>
      <c r="V510" s="306">
        <f t="shared" ca="1" si="206"/>
        <v>1.1648648261313495</v>
      </c>
      <c r="W510" s="304">
        <f t="shared" ca="1" si="207"/>
        <v>42.827295601710198</v>
      </c>
      <c r="Y510" s="314" t="str">
        <f t="shared" ca="1" si="225"/>
        <v/>
      </c>
      <c r="Z510" s="315" t="str">
        <f t="shared" ca="1" si="226"/>
        <v/>
      </c>
      <c r="AA510" s="316" t="str">
        <f t="shared" ca="1" si="227"/>
        <v/>
      </c>
      <c r="AC510" s="310" t="e">
        <f t="shared" ca="1" si="228"/>
        <v>#N/A</v>
      </c>
      <c r="AD510" s="323" t="e">
        <f t="shared" ca="1" si="229"/>
        <v>#N/A</v>
      </c>
      <c r="AE510" s="324" t="e">
        <f t="shared" ca="1" si="208"/>
        <v>#N/A</v>
      </c>
      <c r="AG510" s="306">
        <f t="shared" ca="1" si="230"/>
        <v>3.7788538931341753</v>
      </c>
      <c r="AH510" s="304">
        <f t="shared" ca="1" si="231"/>
        <v>-5.944752101052214</v>
      </c>
    </row>
    <row r="511" spans="1:34" x14ac:dyDescent="0.2">
      <c r="A511" s="347">
        <f t="shared" ca="1" si="209"/>
        <v>0.1</v>
      </c>
      <c r="B511" s="304">
        <f t="shared" ca="1" si="210"/>
        <v>32.700000000000195</v>
      </c>
      <c r="D511" s="306">
        <f t="shared" ca="1" si="211"/>
        <v>-0.78669378604704165</v>
      </c>
      <c r="E511" s="307">
        <f t="shared" ca="1" si="212"/>
        <v>-3.8720546553073936</v>
      </c>
      <c r="F511" s="304">
        <f t="shared" ca="1" si="213"/>
        <v>3.9511636724758299</v>
      </c>
      <c r="G511" s="306">
        <f t="shared" ca="1" si="214"/>
        <v>15.50963773003955</v>
      </c>
      <c r="H511" s="307">
        <f t="shared" ca="1" si="215"/>
        <v>-118.04736405470489</v>
      </c>
      <c r="I511" s="304">
        <f t="shared" ca="1" si="216"/>
        <v>119.06187056644582</v>
      </c>
      <c r="J511" s="306">
        <f t="shared" ca="1" si="217"/>
        <v>833.99015866512775</v>
      </c>
      <c r="K511" s="307">
        <f t="shared" ca="1" si="218"/>
        <v>491.46629911837505</v>
      </c>
      <c r="L511" s="304">
        <f t="shared" ca="1" si="203"/>
        <v>968.0282578103787</v>
      </c>
      <c r="M511" s="306">
        <f t="shared" ca="1" si="219"/>
        <v>-1.4401597087454661</v>
      </c>
      <c r="N511" s="304">
        <f t="shared" ca="1" si="220"/>
        <v>-82.515073135905084</v>
      </c>
      <c r="P511" s="310">
        <f t="shared" ca="1" si="221"/>
        <v>23</v>
      </c>
      <c r="Q511" s="304">
        <f t="shared" ca="1" si="222"/>
        <v>0</v>
      </c>
      <c r="R511" s="306">
        <f t="shared" ca="1" si="223"/>
        <v>0</v>
      </c>
      <c r="S511" s="307">
        <f t="shared" ca="1" si="224"/>
        <v>7.150000000000003</v>
      </c>
      <c r="T511" s="304">
        <f t="shared" ca="1" si="204"/>
        <v>70.141500000000036</v>
      </c>
      <c r="U511" s="311">
        <f t="shared" ca="1" si="205"/>
        <v>0</v>
      </c>
      <c r="V511" s="306">
        <f t="shared" ca="1" si="206"/>
        <v>1.1662393229814001</v>
      </c>
      <c r="W511" s="304">
        <f t="shared" ca="1" si="207"/>
        <v>43.148183535038648</v>
      </c>
      <c r="Y511" s="314" t="str">
        <f t="shared" ca="1" si="225"/>
        <v/>
      </c>
      <c r="Z511" s="315" t="str">
        <f t="shared" ca="1" si="226"/>
        <v/>
      </c>
      <c r="AA511" s="316" t="str">
        <f t="shared" ca="1" si="227"/>
        <v/>
      </c>
      <c r="AC511" s="310" t="e">
        <f t="shared" ca="1" si="228"/>
        <v>#N/A</v>
      </c>
      <c r="AD511" s="323" t="e">
        <f t="shared" ca="1" si="229"/>
        <v>#N/A</v>
      </c>
      <c r="AE511" s="324" t="e">
        <f t="shared" ca="1" si="208"/>
        <v>#N/A</v>
      </c>
      <c r="AG511" s="306">
        <f t="shared" ca="1" si="230"/>
        <v>3.7351904815816352</v>
      </c>
      <c r="AH511" s="304">
        <f t="shared" ca="1" si="231"/>
        <v>-5.9898315526867387</v>
      </c>
    </row>
    <row r="512" spans="1:34" x14ac:dyDescent="0.2">
      <c r="A512" s="347">
        <f t="shared" ca="1" si="209"/>
        <v>0.1</v>
      </c>
      <c r="B512" s="304">
        <f t="shared" ca="1" si="210"/>
        <v>32.800000000000196</v>
      </c>
      <c r="D512" s="306">
        <f t="shared" ca="1" si="211"/>
        <v>-0.78611381394246516</v>
      </c>
      <c r="E512" s="307">
        <f t="shared" ca="1" si="212"/>
        <v>-3.8267097905089491</v>
      </c>
      <c r="F512" s="304">
        <f t="shared" ca="1" si="213"/>
        <v>3.9066203743450956</v>
      </c>
      <c r="G512" s="306">
        <f t="shared" ca="1" si="214"/>
        <v>15.431026348645304</v>
      </c>
      <c r="H512" s="307">
        <f t="shared" ca="1" si="215"/>
        <v>-118.43003503375579</v>
      </c>
      <c r="I512" s="304">
        <f t="shared" ca="1" si="216"/>
        <v>119.43110889659029</v>
      </c>
      <c r="J512" s="306">
        <f t="shared" ca="1" si="217"/>
        <v>835.53719186906199</v>
      </c>
      <c r="K512" s="307">
        <f t="shared" ca="1" si="218"/>
        <v>479.64242916395199</v>
      </c>
      <c r="L512" s="304">
        <f t="shared" ca="1" si="203"/>
        <v>963.42060329366757</v>
      </c>
      <c r="M512" s="306">
        <f t="shared" ca="1" si="219"/>
        <v>-1.441229700862124</v>
      </c>
      <c r="N512" s="304">
        <f t="shared" ca="1" si="220"/>
        <v>-82.576379168301841</v>
      </c>
      <c r="P512" s="310">
        <f t="shared" ca="1" si="221"/>
        <v>23</v>
      </c>
      <c r="Q512" s="304">
        <f t="shared" ca="1" si="222"/>
        <v>0</v>
      </c>
      <c r="R512" s="306">
        <f t="shared" ca="1" si="223"/>
        <v>0</v>
      </c>
      <c r="S512" s="307">
        <f t="shared" ca="1" si="224"/>
        <v>7.150000000000003</v>
      </c>
      <c r="T512" s="304">
        <f t="shared" ca="1" si="204"/>
        <v>70.141500000000036</v>
      </c>
      <c r="U512" s="311">
        <f t="shared" ca="1" si="205"/>
        <v>0</v>
      </c>
      <c r="V512" s="306">
        <f t="shared" ca="1" si="206"/>
        <v>1.1676198989793762</v>
      </c>
      <c r="W512" s="304">
        <f t="shared" ca="1" si="207"/>
        <v>43.467618913701607</v>
      </c>
      <c r="Y512" s="314" t="str">
        <f t="shared" ca="1" si="225"/>
        <v/>
      </c>
      <c r="Z512" s="315" t="str">
        <f t="shared" ca="1" si="226"/>
        <v/>
      </c>
      <c r="AA512" s="316" t="str">
        <f t="shared" ca="1" si="227"/>
        <v/>
      </c>
      <c r="AC512" s="310" t="e">
        <f t="shared" ca="1" si="228"/>
        <v>#N/A</v>
      </c>
      <c r="AD512" s="323" t="e">
        <f t="shared" ca="1" si="229"/>
        <v>#N/A</v>
      </c>
      <c r="AE512" s="324" t="e">
        <f t="shared" ca="1" si="208"/>
        <v>#N/A</v>
      </c>
      <c r="AG512" s="306">
        <f t="shared" ca="1" si="230"/>
        <v>3.6916996282011869</v>
      </c>
      <c r="AH512" s="304">
        <f t="shared" ca="1" si="231"/>
        <v>-6.034710983921487</v>
      </c>
    </row>
    <row r="513" spans="1:34" x14ac:dyDescent="0.2">
      <c r="A513" s="347">
        <f t="shared" ca="1" si="209"/>
        <v>0.1</v>
      </c>
      <c r="B513" s="304">
        <f t="shared" ca="1" si="210"/>
        <v>32.900000000000198</v>
      </c>
      <c r="D513" s="306">
        <f t="shared" ca="1" si="211"/>
        <v>-0.78548366392588753</v>
      </c>
      <c r="E513" s="307">
        <f t="shared" ca="1" si="212"/>
        <v>-3.7815702808483334</v>
      </c>
      <c r="F513" s="304">
        <f t="shared" ca="1" si="213"/>
        <v>3.862286676994573</v>
      </c>
      <c r="G513" s="306">
        <f t="shared" ca="1" si="214"/>
        <v>15.352477982252715</v>
      </c>
      <c r="H513" s="307">
        <f t="shared" ca="1" si="215"/>
        <v>-118.80819206184061</v>
      </c>
      <c r="I513" s="304">
        <f t="shared" ca="1" si="216"/>
        <v>119.79601446291426</v>
      </c>
      <c r="J513" s="306">
        <f t="shared" ca="1" si="217"/>
        <v>837.07636708560688</v>
      </c>
      <c r="K513" s="307">
        <f t="shared" ca="1" si="218"/>
        <v>467.78051780917218</v>
      </c>
      <c r="L513" s="304">
        <f t="shared" ca="1" si="203"/>
        <v>958.91368598798022</v>
      </c>
      <c r="M513" s="306">
        <f t="shared" ca="1" si="219"/>
        <v>-1.4422877456861849</v>
      </c>
      <c r="N513" s="304">
        <f t="shared" ca="1" si="220"/>
        <v>-82.637000671256203</v>
      </c>
      <c r="P513" s="310">
        <f t="shared" ca="1" si="221"/>
        <v>23</v>
      </c>
      <c r="Q513" s="304">
        <f t="shared" ca="1" si="222"/>
        <v>0</v>
      </c>
      <c r="R513" s="306">
        <f t="shared" ca="1" si="223"/>
        <v>0</v>
      </c>
      <c r="S513" s="307">
        <f t="shared" ca="1" si="224"/>
        <v>7.150000000000003</v>
      </c>
      <c r="T513" s="304">
        <f t="shared" ca="1" si="204"/>
        <v>70.141500000000036</v>
      </c>
      <c r="U513" s="311">
        <f t="shared" ca="1" si="205"/>
        <v>0</v>
      </c>
      <c r="V513" s="306">
        <f t="shared" ca="1" si="206"/>
        <v>1.1690065195327224</v>
      </c>
      <c r="W513" s="304">
        <f t="shared" ca="1" si="207"/>
        <v>43.785579927036622</v>
      </c>
      <c r="Y513" s="314" t="str">
        <f t="shared" ca="1" si="225"/>
        <v/>
      </c>
      <c r="Z513" s="315" t="str">
        <f t="shared" ca="1" si="226"/>
        <v/>
      </c>
      <c r="AA513" s="316" t="str">
        <f t="shared" ca="1" si="227"/>
        <v/>
      </c>
      <c r="AC513" s="310" t="e">
        <f t="shared" ca="1" si="228"/>
        <v>#N/A</v>
      </c>
      <c r="AD513" s="323" t="e">
        <f t="shared" ca="1" si="229"/>
        <v>#N/A</v>
      </c>
      <c r="AE513" s="324" t="e">
        <f t="shared" ca="1" si="208"/>
        <v>#N/A</v>
      </c>
      <c r="AG513" s="306">
        <f t="shared" ca="1" si="230"/>
        <v>3.6483851297594958</v>
      </c>
      <c r="AH513" s="304">
        <f t="shared" ca="1" si="231"/>
        <v>-6.0793872606575645</v>
      </c>
    </row>
    <row r="514" spans="1:34" x14ac:dyDescent="0.2">
      <c r="A514" s="347">
        <f t="shared" ca="1" si="209"/>
        <v>0.1</v>
      </c>
      <c r="B514" s="304">
        <f t="shared" ca="1" si="210"/>
        <v>33.000000000000199</v>
      </c>
      <c r="D514" s="306">
        <f t="shared" ca="1" si="211"/>
        <v>-0.78480394597803171</v>
      </c>
      <c r="E514" s="307">
        <f t="shared" ca="1" si="212"/>
        <v>-3.7366392010179688</v>
      </c>
      <c r="F514" s="304">
        <f t="shared" ca="1" si="213"/>
        <v>3.8181657575604144</v>
      </c>
      <c r="G514" s="306">
        <f t="shared" ca="1" si="214"/>
        <v>15.273997587654913</v>
      </c>
      <c r="H514" s="307">
        <f t="shared" ca="1" si="215"/>
        <v>-119.18185598194241</v>
      </c>
      <c r="I514" s="304">
        <f t="shared" ca="1" si="216"/>
        <v>120.15660530161523</v>
      </c>
      <c r="J514" s="306">
        <f t="shared" ca="1" si="217"/>
        <v>838.60769086410221</v>
      </c>
      <c r="K514" s="307">
        <f t="shared" ca="1" si="218"/>
        <v>455.88101540698301</v>
      </c>
      <c r="L514" s="304">
        <f t="shared" ca="1" si="203"/>
        <v>954.51053393083282</v>
      </c>
      <c r="M514" s="306">
        <f t="shared" ca="1" si="219"/>
        <v>-1.4433340488781246</v>
      </c>
      <c r="N514" s="304">
        <f t="shared" ca="1" si="220"/>
        <v>-82.696949428245404</v>
      </c>
      <c r="P514" s="310">
        <f t="shared" ca="1" si="221"/>
        <v>23</v>
      </c>
      <c r="Q514" s="304">
        <f t="shared" ca="1" si="222"/>
        <v>0</v>
      </c>
      <c r="R514" s="306">
        <f t="shared" ca="1" si="223"/>
        <v>0</v>
      </c>
      <c r="S514" s="307">
        <f t="shared" ca="1" si="224"/>
        <v>7.150000000000003</v>
      </c>
      <c r="T514" s="304">
        <f t="shared" ca="1" si="204"/>
        <v>70.141500000000036</v>
      </c>
      <c r="U514" s="311">
        <f t="shared" ca="1" si="205"/>
        <v>0</v>
      </c>
      <c r="V514" s="306">
        <f t="shared" ca="1" si="206"/>
        <v>1.1703991501560909</v>
      </c>
      <c r="W514" s="304">
        <f t="shared" ca="1" si="207"/>
        <v>44.102045359206549</v>
      </c>
      <c r="Y514" s="314" t="str">
        <f t="shared" ca="1" si="225"/>
        <v/>
      </c>
      <c r="Z514" s="315" t="str">
        <f t="shared" ca="1" si="226"/>
        <v/>
      </c>
      <c r="AA514" s="316" t="str">
        <f t="shared" ca="1" si="227"/>
        <v/>
      </c>
      <c r="AC514" s="310">
        <f t="shared" ca="1" si="228"/>
        <v>33.000000000000199</v>
      </c>
      <c r="AD514" s="323">
        <f t="shared" ca="1" si="229"/>
        <v>838.60769086410221</v>
      </c>
      <c r="AE514" s="324" t="e">
        <f t="shared" ca="1" si="208"/>
        <v>#N/A</v>
      </c>
      <c r="AG514" s="306">
        <f t="shared" ca="1" si="230"/>
        <v>3.6052506796295498</v>
      </c>
      <c r="AH514" s="304">
        <f t="shared" ca="1" si="231"/>
        <v>-6.1238573324526717</v>
      </c>
    </row>
    <row r="515" spans="1:34" x14ac:dyDescent="0.2">
      <c r="A515" s="347">
        <f t="shared" ca="1" si="209"/>
        <v>0.1</v>
      </c>
      <c r="B515" s="304">
        <f t="shared" ca="1" si="210"/>
        <v>33.1000000000002</v>
      </c>
      <c r="D515" s="306">
        <f t="shared" ca="1" si="211"/>
        <v>-0.78407527210274985</v>
      </c>
      <c r="E515" s="307">
        <f t="shared" ca="1" si="212"/>
        <v>-3.6919195418571684</v>
      </c>
      <c r="F515" s="304">
        <f t="shared" ca="1" si="213"/>
        <v>3.7742607138179851</v>
      </c>
      <c r="G515" s="306">
        <f t="shared" ca="1" si="214"/>
        <v>15.195590060444637</v>
      </c>
      <c r="H515" s="307">
        <f t="shared" ca="1" si="215"/>
        <v>-119.55104793612813</v>
      </c>
      <c r="I515" s="304">
        <f t="shared" ca="1" si="216"/>
        <v>120.51289980708077</v>
      </c>
      <c r="J515" s="306">
        <f t="shared" ca="1" si="217"/>
        <v>840.13117024650717</v>
      </c>
      <c r="K515" s="307">
        <f t="shared" ca="1" si="218"/>
        <v>443.9443702110795</v>
      </c>
      <c r="L515" s="304">
        <f t="shared" ca="1" si="203"/>
        <v>950.21417957315157</v>
      </c>
      <c r="M515" s="306">
        <f t="shared" ca="1" si="219"/>
        <v>-1.444368811221967</v>
      </c>
      <c r="N515" s="304">
        <f t="shared" ca="1" si="220"/>
        <v>-82.75623694334665</v>
      </c>
      <c r="P515" s="310">
        <f t="shared" ca="1" si="221"/>
        <v>23</v>
      </c>
      <c r="Q515" s="304">
        <f t="shared" ca="1" si="222"/>
        <v>0</v>
      </c>
      <c r="R515" s="306">
        <f t="shared" ca="1" si="223"/>
        <v>0</v>
      </c>
      <c r="S515" s="307">
        <f t="shared" ca="1" si="224"/>
        <v>7.150000000000003</v>
      </c>
      <c r="T515" s="304">
        <f t="shared" ca="1" si="204"/>
        <v>70.141500000000036</v>
      </c>
      <c r="U515" s="311">
        <f t="shared" ca="1" si="205"/>
        <v>0</v>
      </c>
      <c r="V515" s="306">
        <f t="shared" ca="1" si="206"/>
        <v>1.1717977564739424</v>
      </c>
      <c r="W515" s="304">
        <f t="shared" ca="1" si="207"/>
        <v>44.416994585710206</v>
      </c>
      <c r="Y515" s="314" t="str">
        <f t="shared" ca="1" si="225"/>
        <v/>
      </c>
      <c r="Z515" s="315" t="str">
        <f t="shared" ca="1" si="226"/>
        <v/>
      </c>
      <c r="AA515" s="316" t="str">
        <f t="shared" ca="1" si="227"/>
        <v/>
      </c>
      <c r="AC515" s="310" t="e">
        <f t="shared" ca="1" si="228"/>
        <v>#N/A</v>
      </c>
      <c r="AD515" s="323" t="e">
        <f t="shared" ca="1" si="229"/>
        <v>#N/A</v>
      </c>
      <c r="AE515" s="324" t="e">
        <f t="shared" ca="1" si="208"/>
        <v>#N/A</v>
      </c>
      <c r="AG515" s="306">
        <f t="shared" ca="1" si="230"/>
        <v>3.5622998689540104</v>
      </c>
      <c r="AH515" s="304">
        <f t="shared" ca="1" si="231"/>
        <v>-6.1681182320568571</v>
      </c>
    </row>
    <row r="516" spans="1:34" x14ac:dyDescent="0.2">
      <c r="A516" s="347">
        <f t="shared" ca="1" si="209"/>
        <v>0.1</v>
      </c>
      <c r="B516" s="304">
        <f t="shared" ca="1" si="210"/>
        <v>33.200000000000202</v>
      </c>
      <c r="D516" s="306">
        <f t="shared" ca="1" si="211"/>
        <v>-0.78329825610915937</v>
      </c>
      <c r="E516" s="307">
        <f t="shared" ca="1" si="212"/>
        <v>-3.6474142108403562</v>
      </c>
      <c r="F516" s="304">
        <f t="shared" ca="1" si="213"/>
        <v>3.7305745647907682</v>
      </c>
      <c r="G516" s="306">
        <f t="shared" ca="1" si="214"/>
        <v>15.11726023483372</v>
      </c>
      <c r="H516" s="307">
        <f t="shared" ca="1" si="215"/>
        <v>-119.91578935721216</v>
      </c>
      <c r="I516" s="304">
        <f t="shared" ca="1" si="216"/>
        <v>120.86491672181371</v>
      </c>
      <c r="J516" s="306">
        <f t="shared" ca="1" si="217"/>
        <v>841.64681276127112</v>
      </c>
      <c r="K516" s="307">
        <f t="shared" ca="1" si="218"/>
        <v>431.97102834641248</v>
      </c>
      <c r="L516" s="304">
        <f t="shared" ref="L516:L579" ca="1" si="232">SQRT(pos_x^2+pos_z^2)</f>
        <v>946.02765644660894</v>
      </c>
      <c r="M516" s="306">
        <f t="shared" ca="1" si="219"/>
        <v>-1.4453922287674033</v>
      </c>
      <c r="N516" s="304">
        <f t="shared" ca="1" si="220"/>
        <v>-82.814874449379786</v>
      </c>
      <c r="P516" s="310">
        <f t="shared" ca="1" si="221"/>
        <v>23</v>
      </c>
      <c r="Q516" s="304">
        <f t="shared" ca="1" si="222"/>
        <v>0</v>
      </c>
      <c r="R516" s="306">
        <f t="shared" ca="1" si="223"/>
        <v>0</v>
      </c>
      <c r="S516" s="307">
        <f t="shared" ca="1" si="224"/>
        <v>7.150000000000003</v>
      </c>
      <c r="T516" s="304">
        <f t="shared" ref="T516:T579" ca="1" si="233">m*g</f>
        <v>70.141500000000036</v>
      </c>
      <c r="U516" s="311">
        <f t="shared" ref="U516:U579" ca="1" si="234">IF(pos_xz&lt;L_rampe,Poids*COS(Beta),0)</f>
        <v>0</v>
      </c>
      <c r="V516" s="306">
        <f t="shared" ref="V516:V579" ca="1" si="235">Rho_moyen*(20000-Alt_rampe-pos_z)/(20000+Alt_rampe+pos_z)</f>
        <v>1.1732023042231008</v>
      </c>
      <c r="W516" s="304">
        <f t="shared" ref="W516:W579" ca="1" si="236">1/2*Rho*Sref*Cx*vit_xz^2</f>
        <v>44.730407569728712</v>
      </c>
      <c r="Y516" s="314" t="str">
        <f t="shared" ca="1" si="225"/>
        <v/>
      </c>
      <c r="Z516" s="315" t="str">
        <f t="shared" ca="1" si="226"/>
        <v/>
      </c>
      <c r="AA516" s="316" t="str">
        <f t="shared" ca="1" si="227"/>
        <v/>
      </c>
      <c r="AC516" s="310" t="e">
        <f t="shared" ca="1" si="228"/>
        <v>#N/A</v>
      </c>
      <c r="AD516" s="323" t="e">
        <f t="shared" ca="1" si="229"/>
        <v>#N/A</v>
      </c>
      <c r="AE516" s="324" t="e">
        <f t="shared" ref="AE516:AE579" ca="1" si="237">IF(t&lt;T_para, pos_z, NA())</f>
        <v>#N/A</v>
      </c>
      <c r="AG516" s="306">
        <f t="shared" ca="1" si="230"/>
        <v>3.5195361878038005</v>
      </c>
      <c r="AH516" s="304">
        <f t="shared" ca="1" si="231"/>
        <v>-6.2121670749245022</v>
      </c>
    </row>
    <row r="517" spans="1:34" x14ac:dyDescent="0.2">
      <c r="A517" s="347">
        <f t="shared" ref="A517:A580" ca="1" si="238">IF(B516+0.01&lt;=T_ini+ROUNDUP(Temps_fin_propu,0), 0.01, IF(K516&gt;0, 0.1, 0.0001))</f>
        <v>0.1</v>
      </c>
      <c r="B517" s="304">
        <f t="shared" ref="B517:B580" ca="1" si="239">B516+pas</f>
        <v>33.300000000000203</v>
      </c>
      <c r="D517" s="306">
        <f t="shared" ref="D517:D580" ca="1" si="240">IF(AND(L516&lt;L_rampe,Poussee&lt;Poids*SIN(M516)),0,(-W516+Poussee)/m*COS(M516)-U516/m*SIN(M516))</f>
        <v>-0.78247351339749593</v>
      </c>
      <c r="E517" s="307">
        <f t="shared" ref="E517:E580" ca="1" si="241">IF(AND(L516&lt;L_rampe,Poussee&lt;Poids*SIN(M516)),0,(-W516+Poussee)/m*SIN(M516)+U516/m*COS(M516)-Poids/m)</f>
        <v>-3.6031260325886789</v>
      </c>
      <c r="F517" s="304">
        <f t="shared" ref="F517:F580" ca="1" si="242">SQRT(acc_x^2+acc_z^2)</f>
        <v>3.6871102513875083</v>
      </c>
      <c r="G517" s="306">
        <f t="shared" ref="G517:G580" ca="1" si="243">G516+acc_x*pas</f>
        <v>15.039012883493971</v>
      </c>
      <c r="H517" s="307">
        <f t="shared" ref="H517:H580" ca="1" si="244">H516+acc_z*pas</f>
        <v>-120.27610196047102</v>
      </c>
      <c r="I517" s="304">
        <f t="shared" ref="I517:I580" ca="1" si="245">SQRT(vit_x^2+vit_z^2)</f>
        <v>121.2126751264715</v>
      </c>
      <c r="J517" s="306">
        <f t="shared" ref="J517:J580" ca="1" si="246">J516+0.5*(vit_x+G516)*pas*(K516&gt;=0)</f>
        <v>843.1546264171875</v>
      </c>
      <c r="K517" s="307">
        <f t="shared" ref="K517:K580" ca="1" si="247">K516+0.5*(vit_z+H516)*pas</f>
        <v>419.9614337805283</v>
      </c>
      <c r="L517" s="304">
        <f t="shared" ca="1" si="232"/>
        <v>941.95399564506556</v>
      </c>
      <c r="M517" s="306">
        <f t="shared" ref="M517:M580" ca="1" si="248">IF(AND(L516&gt;L_rampe,G517&gt;0),ATAN2(G517,H517),$M$4)</f>
        <v>-1.4464044929670317</v>
      </c>
      <c r="N517" s="304">
        <f t="shared" ref="N517:N580" ca="1" si="249">DEGREES(Beta)</f>
        <v>-82.872872915770671</v>
      </c>
      <c r="P517" s="310">
        <f t="shared" ref="P517:P580" ca="1" si="250">MATCH(t-pas/2-T_ini,CdP_t)</f>
        <v>23</v>
      </c>
      <c r="Q517" s="304">
        <f t="shared" ref="Q517:Q580" ca="1" si="251">(INDEX(CdP,2,i_P+1)-INDEX(CdP,2,i_P+0))/(INDEX(CdP,1,i_P+1)-INDEX(CdP,1,i_P+0))*(t-pas/2-T_ini-INDEX(CdP,1,i_P+0))+INDEX(CdP,2,i_P+0)</f>
        <v>0</v>
      </c>
      <c r="R517" s="306">
        <f t="shared" ref="R517:R580" ca="1" si="252">Poussee/(g*ISP)</f>
        <v>0</v>
      </c>
      <c r="S517" s="307">
        <f t="shared" ref="S517:S580" ca="1" si="253">S516-Débit*pas</f>
        <v>7.150000000000003</v>
      </c>
      <c r="T517" s="304">
        <f t="shared" ca="1" si="233"/>
        <v>70.141500000000036</v>
      </c>
      <c r="U517" s="311">
        <f t="shared" ca="1" si="234"/>
        <v>0</v>
      </c>
      <c r="V517" s="306">
        <f t="shared" ca="1" si="235"/>
        <v>1.1746127592552558</v>
      </c>
      <c r="W517" s="304">
        <f t="shared" ca="1" si="236"/>
        <v>45.04226485831223</v>
      </c>
      <c r="Y517" s="314" t="str">
        <f t="shared" ref="Y517:Y580" ca="1" si="254">IF(AND(pos_z&lt;=0,K516&gt;0),"Impact balistique","") &amp; IF(AND(H518&lt;0,vit_z&gt;=0),"Apogée","") &amp; IF(AND(Poussee=0,Q516&gt;0),"Fin de propulsion","") &amp; IF(AND(L518&gt;L_rampe,pos_xz&lt;=L_rampe),"Sortie de rampe","")</f>
        <v/>
      </c>
      <c r="Z517" s="315" t="str">
        <f t="shared" ref="Z517:Z580" ca="1" si="255">IF(ABS(t-T_para)&lt;pas/2,"Para","")</f>
        <v/>
      </c>
      <c r="AA517" s="316" t="str">
        <f t="shared" ref="AA517:AA580" ca="1" si="256">IF(ABS(t-T_satellite)&lt;pas/2,"Satellite","")</f>
        <v/>
      </c>
      <c r="AC517" s="310" t="e">
        <f t="shared" ref="AC517:AC580" ca="1" si="257">IF(ABS(t-ROUND(t,0))&lt;0.001,t,NA())</f>
        <v>#N/A</v>
      </c>
      <c r="AD517" s="323" t="e">
        <f t="shared" ref="AD517:AD580" ca="1" si="258">IF(ABS(t-ROUND(t,0))&lt;0.001,pos_x,NA())</f>
        <v>#N/A</v>
      </c>
      <c r="AE517" s="324" t="e">
        <f t="shared" ca="1" si="237"/>
        <v>#N/A</v>
      </c>
      <c r="AG517" s="306">
        <f t="shared" ref="AG517:AG580" ca="1" si="259">IF(AND(L516&lt;L_rampe,Poussee&lt;Poids*SIN(M516)),0,(-W516+Poussee)/m-Poids*SIN(M516)/m)</f>
        <v>3.4769630263324505</v>
      </c>
      <c r="AH517" s="304">
        <f t="shared" ref="AH517:AH580" ca="1" si="260">IF(AND(L516&lt;L_rampe,Poussee&lt;Poids*SIN(M516)), g*SIN(M516), (-W516+Poussee)/m)</f>
        <v>-6.2560010587033137</v>
      </c>
    </row>
    <row r="518" spans="1:34" x14ac:dyDescent="0.2">
      <c r="A518" s="347">
        <f t="shared" ca="1" si="238"/>
        <v>0.1</v>
      </c>
      <c r="B518" s="304">
        <f t="shared" ca="1" si="239"/>
        <v>33.400000000000205</v>
      </c>
      <c r="D518" s="306">
        <f t="shared" ca="1" si="240"/>
        <v>-0.7816016607487104</v>
      </c>
      <c r="E518" s="307">
        <f t="shared" ca="1" si="241"/>
        <v>-3.5590577494043067</v>
      </c>
      <c r="F518" s="304">
        <f t="shared" ca="1" si="242"/>
        <v>3.6438706370671272</v>
      </c>
      <c r="G518" s="306">
        <f t="shared" ca="1" si="243"/>
        <v>14.960852717419099</v>
      </c>
      <c r="H518" s="307">
        <f t="shared" ca="1" si="244"/>
        <v>-120.63200773541145</v>
      </c>
      <c r="I518" s="304">
        <f t="shared" ca="1" si="245"/>
        <v>121.55619443001939</v>
      </c>
      <c r="J518" s="306">
        <f t="shared" ca="1" si="246"/>
        <v>844.6546196972331</v>
      </c>
      <c r="K518" s="307">
        <f t="shared" ca="1" si="247"/>
        <v>407.91602829573418</v>
      </c>
      <c r="L518" s="304">
        <f t="shared" ca="1" si="232"/>
        <v>937.99622212269264</v>
      </c>
      <c r="M518" s="306">
        <f t="shared" ca="1" si="248"/>
        <v>-1.4474057908089135</v>
      </c>
      <c r="N518" s="304">
        <f t="shared" ca="1" si="249"/>
        <v>-82.930243056146068</v>
      </c>
      <c r="P518" s="310">
        <f t="shared" ca="1" si="250"/>
        <v>23</v>
      </c>
      <c r="Q518" s="304">
        <f t="shared" ca="1" si="251"/>
        <v>0</v>
      </c>
      <c r="R518" s="306">
        <f t="shared" ca="1" si="252"/>
        <v>0</v>
      </c>
      <c r="S518" s="307">
        <f t="shared" ca="1" si="253"/>
        <v>7.150000000000003</v>
      </c>
      <c r="T518" s="304">
        <f t="shared" ca="1" si="233"/>
        <v>70.141500000000036</v>
      </c>
      <c r="U518" s="311">
        <f t="shared" ca="1" si="234"/>
        <v>0</v>
      </c>
      <c r="V518" s="306">
        <f t="shared" ca="1" si="235"/>
        <v>1.1760290875394195</v>
      </c>
      <c r="W518" s="304">
        <f t="shared" ca="1" si="236"/>
        <v>45.352547578412597</v>
      </c>
      <c r="Y518" s="314" t="str">
        <f t="shared" ca="1" si="254"/>
        <v/>
      </c>
      <c r="Z518" s="315" t="str">
        <f t="shared" ca="1" si="255"/>
        <v/>
      </c>
      <c r="AA518" s="316" t="str">
        <f t="shared" ca="1" si="256"/>
        <v/>
      </c>
      <c r="AC518" s="310" t="e">
        <f t="shared" ca="1" si="257"/>
        <v>#N/A</v>
      </c>
      <c r="AD518" s="323" t="e">
        <f t="shared" ca="1" si="258"/>
        <v>#N/A</v>
      </c>
      <c r="AE518" s="324" t="e">
        <f t="shared" ca="1" si="237"/>
        <v>#N/A</v>
      </c>
      <c r="AG518" s="306">
        <f t="shared" ca="1" si="259"/>
        <v>3.4345836759267963</v>
      </c>
      <c r="AH518" s="304">
        <f t="shared" ca="1" si="260"/>
        <v>-6.2996174627010086</v>
      </c>
    </row>
    <row r="519" spans="1:34" x14ac:dyDescent="0.2">
      <c r="A519" s="347">
        <f t="shared" ca="1" si="238"/>
        <v>0.1</v>
      </c>
      <c r="B519" s="304">
        <f t="shared" ca="1" si="239"/>
        <v>33.500000000000206</v>
      </c>
      <c r="D519" s="306">
        <f t="shared" ca="1" si="240"/>
        <v>-0.78068331611781872</v>
      </c>
      <c r="E519" s="307">
        <f t="shared" ca="1" si="241"/>
        <v>-3.5152120218266791</v>
      </c>
      <c r="F519" s="304">
        <f t="shared" ca="1" si="242"/>
        <v>3.6008585085309202</v>
      </c>
      <c r="G519" s="306">
        <f t="shared" ca="1" si="243"/>
        <v>14.882784385807318</v>
      </c>
      <c r="H519" s="307">
        <f t="shared" ca="1" si="244"/>
        <v>-120.98352893759412</v>
      </c>
      <c r="I519" s="304">
        <f t="shared" ca="1" si="245"/>
        <v>121.89549435999717</v>
      </c>
      <c r="J519" s="306">
        <f t="shared" ca="1" si="246"/>
        <v>846.14680155239444</v>
      </c>
      <c r="K519" s="307">
        <f t="shared" ca="1" si="247"/>
        <v>395.83525146208387</v>
      </c>
      <c r="L519" s="304">
        <f t="shared" ca="1" si="232"/>
        <v>934.15735081269804</v>
      </c>
      <c r="M519" s="306">
        <f t="shared" ca="1" si="248"/>
        <v>-1.4483963049446291</v>
      </c>
      <c r="N519" s="304">
        <f t="shared" ca="1" si="249"/>
        <v>-82.986995335670613</v>
      </c>
      <c r="P519" s="310">
        <f t="shared" ca="1" si="250"/>
        <v>23</v>
      </c>
      <c r="Q519" s="304">
        <f t="shared" ca="1" si="251"/>
        <v>0</v>
      </c>
      <c r="R519" s="306">
        <f t="shared" ca="1" si="252"/>
        <v>0</v>
      </c>
      <c r="S519" s="307">
        <f t="shared" ca="1" si="253"/>
        <v>7.150000000000003</v>
      </c>
      <c r="T519" s="304">
        <f t="shared" ca="1" si="233"/>
        <v>70.141500000000036</v>
      </c>
      <c r="U519" s="311">
        <f t="shared" ca="1" si="234"/>
        <v>0</v>
      </c>
      <c r="V519" s="306">
        <f t="shared" ca="1" si="235"/>
        <v>1.1774512551643312</v>
      </c>
      <c r="W519" s="304">
        <f t="shared" ca="1" si="236"/>
        <v>45.66123743276664</v>
      </c>
      <c r="Y519" s="314" t="str">
        <f t="shared" ca="1" si="254"/>
        <v/>
      </c>
      <c r="Z519" s="315" t="str">
        <f t="shared" ca="1" si="255"/>
        <v/>
      </c>
      <c r="AA519" s="316" t="str">
        <f t="shared" ca="1" si="256"/>
        <v/>
      </c>
      <c r="AC519" s="310" t="e">
        <f t="shared" ca="1" si="257"/>
        <v>#N/A</v>
      </c>
      <c r="AD519" s="323" t="e">
        <f t="shared" ca="1" si="258"/>
        <v>#N/A</v>
      </c>
      <c r="AE519" s="324" t="e">
        <f t="shared" ca="1" si="237"/>
        <v>#N/A</v>
      </c>
      <c r="AG519" s="306">
        <f t="shared" ca="1" si="259"/>
        <v>3.3924013303544527</v>
      </c>
      <c r="AH519" s="304">
        <f t="shared" ca="1" si="260"/>
        <v>-6.3430136473304302</v>
      </c>
    </row>
    <row r="520" spans="1:34" x14ac:dyDescent="0.2">
      <c r="A520" s="347">
        <f t="shared" ca="1" si="238"/>
        <v>0.1</v>
      </c>
      <c r="B520" s="304">
        <f t="shared" ca="1" si="239"/>
        <v>33.600000000000207</v>
      </c>
      <c r="D520" s="306">
        <f t="shared" ca="1" si="240"/>
        <v>-0.77971909843099618</v>
      </c>
      <c r="E520" s="307">
        <f t="shared" ca="1" si="241"/>
        <v>-3.4715914292099646</v>
      </c>
      <c r="F520" s="304">
        <f t="shared" ca="1" si="242"/>
        <v>3.5580765764415654</v>
      </c>
      <c r="G520" s="306">
        <f t="shared" ca="1" si="243"/>
        <v>14.804812475964217</v>
      </c>
      <c r="H520" s="307">
        <f t="shared" ca="1" si="244"/>
        <v>-121.33068808051512</v>
      </c>
      <c r="I520" s="304">
        <f t="shared" ca="1" si="245"/>
        <v>122.23059495289924</v>
      </c>
      <c r="J520" s="306">
        <f t="shared" ca="1" si="246"/>
        <v>847.63118139548305</v>
      </c>
      <c r="K520" s="307">
        <f t="shared" ca="1" si="247"/>
        <v>383.71954061117839</v>
      </c>
      <c r="L520" s="304">
        <f t="shared" ca="1" si="232"/>
        <v>930.44038257201419</v>
      </c>
      <c r="M520" s="306">
        <f t="shared" ca="1" si="248"/>
        <v>-1.4493762138130075</v>
      </c>
      <c r="N520" s="304">
        <f t="shared" ca="1" si="249"/>
        <v>-83.043139978136139</v>
      </c>
      <c r="P520" s="310">
        <f t="shared" ca="1" si="250"/>
        <v>23</v>
      </c>
      <c r="Q520" s="304">
        <f t="shared" ca="1" si="251"/>
        <v>0</v>
      </c>
      <c r="R520" s="306">
        <f t="shared" ca="1" si="252"/>
        <v>0</v>
      </c>
      <c r="S520" s="307">
        <f t="shared" ca="1" si="253"/>
        <v>7.150000000000003</v>
      </c>
      <c r="T520" s="304">
        <f t="shared" ca="1" si="233"/>
        <v>70.141500000000036</v>
      </c>
      <c r="U520" s="311">
        <f t="shared" ca="1" si="234"/>
        <v>0</v>
      </c>
      <c r="V520" s="306">
        <f t="shared" ca="1" si="235"/>
        <v>1.1788792283408156</v>
      </c>
      <c r="W520" s="304">
        <f t="shared" ca="1" si="236"/>
        <v>45.968316695635508</v>
      </c>
      <c r="Y520" s="314" t="str">
        <f t="shared" ca="1" si="254"/>
        <v/>
      </c>
      <c r="Z520" s="315" t="str">
        <f t="shared" ca="1" si="255"/>
        <v/>
      </c>
      <c r="AA520" s="316" t="str">
        <f t="shared" ca="1" si="256"/>
        <v/>
      </c>
      <c r="AC520" s="310" t="e">
        <f t="shared" ca="1" si="257"/>
        <v>#N/A</v>
      </c>
      <c r="AD520" s="323" t="e">
        <f t="shared" ca="1" si="258"/>
        <v>#N/A</v>
      </c>
      <c r="AE520" s="324" t="e">
        <f t="shared" ca="1" si="237"/>
        <v>#N/A</v>
      </c>
      <c r="AG520" s="306">
        <f t="shared" ca="1" si="259"/>
        <v>3.3504190869085084</v>
      </c>
      <c r="AH520" s="304">
        <f t="shared" ca="1" si="260"/>
        <v>-6.386187053533793</v>
      </c>
    </row>
    <row r="521" spans="1:34" x14ac:dyDescent="0.2">
      <c r="A521" s="347">
        <f t="shared" ca="1" si="238"/>
        <v>0.1</v>
      </c>
      <c r="B521" s="304">
        <f t="shared" ca="1" si="239"/>
        <v>33.700000000000209</v>
      </c>
      <c r="D521" s="306">
        <f t="shared" ca="1" si="240"/>
        <v>-0.77870962738644434</v>
      </c>
      <c r="E521" s="307">
        <f t="shared" ca="1" si="241"/>
        <v>-3.4281984703210231</v>
      </c>
      <c r="F521" s="304">
        <f t="shared" ca="1" si="242"/>
        <v>3.5155274761685105</v>
      </c>
      <c r="G521" s="306">
        <f t="shared" ca="1" si="243"/>
        <v>14.726941513225572</v>
      </c>
      <c r="H521" s="307">
        <f t="shared" ca="1" si="244"/>
        <v>-121.67350792754722</v>
      </c>
      <c r="I521" s="304">
        <f t="shared" ca="1" si="245"/>
        <v>122.56151654466773</v>
      </c>
      <c r="J521" s="306">
        <f t="shared" ca="1" si="246"/>
        <v>849.10776909494257</v>
      </c>
      <c r="K521" s="307">
        <f t="shared" ca="1" si="247"/>
        <v>371.56933081077528</v>
      </c>
      <c r="L521" s="304">
        <f t="shared" ca="1" si="232"/>
        <v>926.8482999588216</v>
      </c>
      <c r="M521" s="306">
        <f t="shared" ca="1" si="248"/>
        <v>-1.4503456917596993</v>
      </c>
      <c r="N521" s="304">
        <f t="shared" ca="1" si="249"/>
        <v>-83.098686972812587</v>
      </c>
      <c r="P521" s="310">
        <f t="shared" ca="1" si="250"/>
        <v>23</v>
      </c>
      <c r="Q521" s="304">
        <f t="shared" ca="1" si="251"/>
        <v>0</v>
      </c>
      <c r="R521" s="306">
        <f t="shared" ca="1" si="252"/>
        <v>0</v>
      </c>
      <c r="S521" s="307">
        <f t="shared" ca="1" si="253"/>
        <v>7.150000000000003</v>
      </c>
      <c r="T521" s="304">
        <f t="shared" ca="1" si="233"/>
        <v>70.141500000000036</v>
      </c>
      <c r="U521" s="311">
        <f t="shared" ca="1" si="234"/>
        <v>0</v>
      </c>
      <c r="V521" s="306">
        <f t="shared" ca="1" si="235"/>
        <v>1.1803129734040883</v>
      </c>
      <c r="W521" s="304">
        <f t="shared" ca="1" si="236"/>
        <v>46.273768208404761</v>
      </c>
      <c r="Y521" s="314" t="str">
        <f t="shared" ca="1" si="254"/>
        <v/>
      </c>
      <c r="Z521" s="315" t="str">
        <f t="shared" ca="1" si="255"/>
        <v/>
      </c>
      <c r="AA521" s="316" t="str">
        <f t="shared" ca="1" si="256"/>
        <v/>
      </c>
      <c r="AC521" s="310" t="e">
        <f t="shared" ca="1" si="257"/>
        <v>#N/A</v>
      </c>
      <c r="AD521" s="323" t="e">
        <f t="shared" ca="1" si="258"/>
        <v>#N/A</v>
      </c>
      <c r="AE521" s="324" t="e">
        <f t="shared" ca="1" si="237"/>
        <v>#N/A</v>
      </c>
      <c r="AG521" s="306">
        <f t="shared" ca="1" si="259"/>
        <v>3.3086399475497466</v>
      </c>
      <c r="AH521" s="304">
        <f t="shared" ca="1" si="260"/>
        <v>-6.4291352021867816</v>
      </c>
    </row>
    <row r="522" spans="1:34" x14ac:dyDescent="0.2">
      <c r="A522" s="347">
        <f t="shared" ca="1" si="238"/>
        <v>0.1</v>
      </c>
      <c r="B522" s="304">
        <f t="shared" ca="1" si="239"/>
        <v>33.80000000000021</v>
      </c>
      <c r="D522" s="306">
        <f t="shared" ca="1" si="240"/>
        <v>-0.77765552325902099</v>
      </c>
      <c r="E522" s="307">
        <f t="shared" ca="1" si="241"/>
        <v>-3.3850355639571514</v>
      </c>
      <c r="F522" s="304">
        <f t="shared" ca="1" si="242"/>
        <v>3.4732137685593112</v>
      </c>
      <c r="G522" s="306">
        <f t="shared" ca="1" si="243"/>
        <v>14.649175960899671</v>
      </c>
      <c r="H522" s="307">
        <f t="shared" ca="1" si="244"/>
        <v>-122.01201148394294</v>
      </c>
      <c r="I522" s="304">
        <f t="shared" ca="1" si="245"/>
        <v>122.88827976129875</v>
      </c>
      <c r="J522" s="306">
        <f t="shared" ca="1" si="246"/>
        <v>850.57657496864886</v>
      </c>
      <c r="K522" s="307">
        <f t="shared" ca="1" si="247"/>
        <v>359.38505484020078</v>
      </c>
      <c r="L522" s="304">
        <f t="shared" ca="1" si="232"/>
        <v>923.38406285136398</v>
      </c>
      <c r="M522" s="306">
        <f t="shared" ca="1" si="248"/>
        <v>-1.4513049091527539</v>
      </c>
      <c r="N522" s="304">
        <f t="shared" ca="1" si="249"/>
        <v>-83.153646081070164</v>
      </c>
      <c r="P522" s="310">
        <f t="shared" ca="1" si="250"/>
        <v>23</v>
      </c>
      <c r="Q522" s="304">
        <f t="shared" ca="1" si="251"/>
        <v>0</v>
      </c>
      <c r="R522" s="306">
        <f t="shared" ca="1" si="252"/>
        <v>0</v>
      </c>
      <c r="S522" s="307">
        <f t="shared" ca="1" si="253"/>
        <v>7.150000000000003</v>
      </c>
      <c r="T522" s="304">
        <f t="shared" ca="1" si="233"/>
        <v>70.141500000000036</v>
      </c>
      <c r="U522" s="311">
        <f t="shared" ca="1" si="234"/>
        <v>0</v>
      </c>
      <c r="V522" s="306">
        <f t="shared" ca="1" si="235"/>
        <v>1.1817524568160194</v>
      </c>
      <c r="W522" s="304">
        <f t="shared" ca="1" si="236"/>
        <v>46.57757537505077</v>
      </c>
      <c r="Y522" s="314" t="str">
        <f t="shared" ca="1" si="254"/>
        <v/>
      </c>
      <c r="Z522" s="315" t="str">
        <f t="shared" ca="1" si="255"/>
        <v/>
      </c>
      <c r="AA522" s="316" t="str">
        <f t="shared" ca="1" si="256"/>
        <v/>
      </c>
      <c r="AC522" s="310" t="e">
        <f t="shared" ca="1" si="257"/>
        <v>#N/A</v>
      </c>
      <c r="AD522" s="323" t="e">
        <f t="shared" ca="1" si="258"/>
        <v>#N/A</v>
      </c>
      <c r="AE522" s="324" t="e">
        <f t="shared" ca="1" si="237"/>
        <v>#N/A</v>
      </c>
      <c r="AG522" s="306">
        <f t="shared" ca="1" si="259"/>
        <v>3.2670668200467707</v>
      </c>
      <c r="AH522" s="304">
        <f t="shared" ca="1" si="260"/>
        <v>-6.4718556934831808</v>
      </c>
    </row>
    <row r="523" spans="1:34" x14ac:dyDescent="0.2">
      <c r="A523" s="347">
        <f t="shared" ca="1" si="238"/>
        <v>0.1</v>
      </c>
      <c r="B523" s="304">
        <f t="shared" ca="1" si="239"/>
        <v>33.900000000000212</v>
      </c>
      <c r="D523" s="306">
        <f t="shared" ca="1" si="240"/>
        <v>-0.77655740670863715</v>
      </c>
      <c r="E523" s="307">
        <f t="shared" ca="1" si="241"/>
        <v>-3.3421050495828526</v>
      </c>
      <c r="F523" s="304">
        <f t="shared" ca="1" si="242"/>
        <v>3.4311379407364613</v>
      </c>
      <c r="G523" s="306">
        <f t="shared" ca="1" si="243"/>
        <v>14.571520220228807</v>
      </c>
      <c r="H523" s="307">
        <f t="shared" ca="1" si="244"/>
        <v>-122.34622198890122</v>
      </c>
      <c r="I523" s="304">
        <f t="shared" ca="1" si="245"/>
        <v>123.21090550956126</v>
      </c>
      <c r="J523" s="306">
        <f t="shared" ca="1" si="246"/>
        <v>852.03760977770526</v>
      </c>
      <c r="K523" s="307">
        <f t="shared" ca="1" si="247"/>
        <v>347.16714316655856</v>
      </c>
      <c r="L523" s="304">
        <f t="shared" ca="1" si="232"/>
        <v>920.05060391814038</v>
      </c>
      <c r="M523" s="306">
        <f t="shared" ca="1" si="248"/>
        <v>-1.4522540324943529</v>
      </c>
      <c r="N523" s="304">
        <f t="shared" ca="1" si="249"/>
        <v>-83.208026842781138</v>
      </c>
      <c r="P523" s="310">
        <f t="shared" ca="1" si="250"/>
        <v>23</v>
      </c>
      <c r="Q523" s="304">
        <f t="shared" ca="1" si="251"/>
        <v>0</v>
      </c>
      <c r="R523" s="306">
        <f t="shared" ca="1" si="252"/>
        <v>0</v>
      </c>
      <c r="S523" s="307">
        <f t="shared" ca="1" si="253"/>
        <v>7.150000000000003</v>
      </c>
      <c r="T523" s="304">
        <f t="shared" ca="1" si="233"/>
        <v>70.141500000000036</v>
      </c>
      <c r="U523" s="311">
        <f t="shared" ca="1" si="234"/>
        <v>0</v>
      </c>
      <c r="V523" s="306">
        <f t="shared" ca="1" si="235"/>
        <v>1.1831976451673409</v>
      </c>
      <c r="W523" s="304">
        <f t="shared" ca="1" si="236"/>
        <v>46.879722157477758</v>
      </c>
      <c r="Y523" s="314" t="str">
        <f t="shared" ca="1" si="254"/>
        <v/>
      </c>
      <c r="Z523" s="315" t="str">
        <f t="shared" ca="1" si="255"/>
        <v/>
      </c>
      <c r="AA523" s="316" t="str">
        <f t="shared" ca="1" si="256"/>
        <v/>
      </c>
      <c r="AC523" s="310" t="e">
        <f t="shared" ca="1" si="257"/>
        <v>#N/A</v>
      </c>
      <c r="AD523" s="323" t="e">
        <f t="shared" ca="1" si="258"/>
        <v>#N/A</v>
      </c>
      <c r="AE523" s="324" t="e">
        <f t="shared" ca="1" si="237"/>
        <v>#N/A</v>
      </c>
      <c r="AG523" s="306">
        <f t="shared" ca="1" si="259"/>
        <v>3.2257025191141997</v>
      </c>
      <c r="AH523" s="304">
        <f t="shared" ca="1" si="260"/>
        <v>-6.5143462063008046</v>
      </c>
    </row>
    <row r="524" spans="1:34" x14ac:dyDescent="0.2">
      <c r="A524" s="347">
        <f t="shared" ca="1" si="238"/>
        <v>0.1</v>
      </c>
      <c r="B524" s="304">
        <f t="shared" ca="1" si="239"/>
        <v>34.000000000000213</v>
      </c>
      <c r="D524" s="306">
        <f t="shared" ca="1" si="240"/>
        <v>-0.77541589859242877</v>
      </c>
      <c r="E524" s="307">
        <f t="shared" ca="1" si="241"/>
        <v>-3.2994091879849909</v>
      </c>
      <c r="F524" s="304">
        <f t="shared" ca="1" si="242"/>
        <v>3.3893024069194064</v>
      </c>
      <c r="G524" s="306">
        <f t="shared" ca="1" si="243"/>
        <v>14.493978630369565</v>
      </c>
      <c r="H524" s="307">
        <f t="shared" ca="1" si="244"/>
        <v>-122.67616290769972</v>
      </c>
      <c r="I524" s="304">
        <f t="shared" ca="1" si="245"/>
        <v>123.52941496782897</v>
      </c>
      <c r="J524" s="306">
        <f t="shared" ca="1" si="246"/>
        <v>853.49088472023516</v>
      </c>
      <c r="K524" s="307">
        <f t="shared" ca="1" si="247"/>
        <v>334.91602392172854</v>
      </c>
      <c r="L524" s="304">
        <f t="shared" ca="1" si="232"/>
        <v>916.85082395124107</v>
      </c>
      <c r="M524" s="306">
        <f t="shared" ca="1" si="248"/>
        <v>-1.4531932245288497</v>
      </c>
      <c r="N524" s="304">
        <f t="shared" ca="1" si="249"/>
        <v>-83.261838582510109</v>
      </c>
      <c r="P524" s="310">
        <f t="shared" ca="1" si="250"/>
        <v>23</v>
      </c>
      <c r="Q524" s="304">
        <f t="shared" ca="1" si="251"/>
        <v>0</v>
      </c>
      <c r="R524" s="306">
        <f t="shared" ca="1" si="252"/>
        <v>0</v>
      </c>
      <c r="S524" s="307">
        <f t="shared" ca="1" si="253"/>
        <v>7.150000000000003</v>
      </c>
      <c r="T524" s="304">
        <f t="shared" ca="1" si="233"/>
        <v>70.141500000000036</v>
      </c>
      <c r="U524" s="311">
        <f t="shared" ca="1" si="234"/>
        <v>0</v>
      </c>
      <c r="V524" s="306">
        <f t="shared" ca="1" si="235"/>
        <v>1.1846485051798124</v>
      </c>
      <c r="W524" s="304">
        <f t="shared" ca="1" si="236"/>
        <v>47.180193070731292</v>
      </c>
      <c r="Y524" s="314" t="str">
        <f t="shared" ca="1" si="254"/>
        <v/>
      </c>
      <c r="Z524" s="315" t="str">
        <f t="shared" ca="1" si="255"/>
        <v/>
      </c>
      <c r="AA524" s="316" t="str">
        <f t="shared" ca="1" si="256"/>
        <v/>
      </c>
      <c r="AC524" s="310">
        <f t="shared" ca="1" si="257"/>
        <v>34.000000000000213</v>
      </c>
      <c r="AD524" s="323">
        <f t="shared" ca="1" si="258"/>
        <v>853.49088472023516</v>
      </c>
      <c r="AE524" s="324" t="e">
        <f t="shared" ca="1" si="237"/>
        <v>#N/A</v>
      </c>
      <c r="AG524" s="306">
        <f t="shared" ca="1" si="259"/>
        <v>3.1845497675492487</v>
      </c>
      <c r="AH524" s="304">
        <f t="shared" ca="1" si="260"/>
        <v>-6.5566044975493343</v>
      </c>
    </row>
    <row r="525" spans="1:34" x14ac:dyDescent="0.2">
      <c r="A525" s="347">
        <f t="shared" ca="1" si="238"/>
        <v>0.1</v>
      </c>
      <c r="B525" s="304">
        <f t="shared" ca="1" si="239"/>
        <v>34.100000000000215</v>
      </c>
      <c r="D525" s="306">
        <f t="shared" ca="1" si="240"/>
        <v>-0.77423161978069099</v>
      </c>
      <c r="E525" s="307">
        <f t="shared" ca="1" si="241"/>
        <v>-3.2569501619455243</v>
      </c>
      <c r="F525" s="304">
        <f t="shared" ca="1" si="242"/>
        <v>3.3477095092712581</v>
      </c>
      <c r="G525" s="306">
        <f t="shared" ca="1" si="243"/>
        <v>14.416555468391495</v>
      </c>
      <c r="H525" s="307">
        <f t="shared" ca="1" si="244"/>
        <v>-123.00185792389428</v>
      </c>
      <c r="I525" s="304">
        <f t="shared" ca="1" si="245"/>
        <v>123.84382957702448</v>
      </c>
      <c r="J525" s="306">
        <f t="shared" ca="1" si="246"/>
        <v>854.93641142517322</v>
      </c>
      <c r="K525" s="307">
        <f t="shared" ca="1" si="247"/>
        <v>322.63212288014881</v>
      </c>
      <c r="L525" s="304">
        <f t="shared" ca="1" si="232"/>
        <v>913.78758707628799</v>
      </c>
      <c r="M525" s="306">
        <f t="shared" ca="1" si="248"/>
        <v>-1.4541226443472515</v>
      </c>
      <c r="N525" s="304">
        <f t="shared" ca="1" si="249"/>
        <v>-83.31509041550035</v>
      </c>
      <c r="P525" s="310">
        <f t="shared" ca="1" si="250"/>
        <v>23</v>
      </c>
      <c r="Q525" s="304">
        <f t="shared" ca="1" si="251"/>
        <v>0</v>
      </c>
      <c r="R525" s="306">
        <f t="shared" ca="1" si="252"/>
        <v>0</v>
      </c>
      <c r="S525" s="307">
        <f t="shared" ca="1" si="253"/>
        <v>7.150000000000003</v>
      </c>
      <c r="T525" s="304">
        <f t="shared" ca="1" si="233"/>
        <v>70.141500000000036</v>
      </c>
      <c r="U525" s="311">
        <f t="shared" ca="1" si="234"/>
        <v>0</v>
      </c>
      <c r="V525" s="306">
        <f t="shared" ca="1" si="235"/>
        <v>1.1861050037083316</v>
      </c>
      <c r="W525" s="304">
        <f t="shared" ca="1" si="236"/>
        <v>47.478973178092147</v>
      </c>
      <c r="Y525" s="314" t="str">
        <f t="shared" ca="1" si="254"/>
        <v/>
      </c>
      <c r="Z525" s="315" t="str">
        <f t="shared" ca="1" si="255"/>
        <v/>
      </c>
      <c r="AA525" s="316" t="str">
        <f t="shared" ca="1" si="256"/>
        <v/>
      </c>
      <c r="AC525" s="310" t="e">
        <f t="shared" ca="1" si="257"/>
        <v>#N/A</v>
      </c>
      <c r="AD525" s="323" t="e">
        <f t="shared" ca="1" si="258"/>
        <v>#N/A</v>
      </c>
      <c r="AE525" s="324" t="e">
        <f t="shared" ca="1" si="237"/>
        <v>#N/A</v>
      </c>
      <c r="AG525" s="306">
        <f t="shared" ca="1" si="259"/>
        <v>3.143611197366746</v>
      </c>
      <c r="AH525" s="304">
        <f t="shared" ca="1" si="260"/>
        <v>-6.5986284015008776</v>
      </c>
    </row>
    <row r="526" spans="1:34" x14ac:dyDescent="0.2">
      <c r="A526" s="347">
        <f t="shared" ca="1" si="238"/>
        <v>0.1</v>
      </c>
      <c r="B526" s="304">
        <f t="shared" ca="1" si="239"/>
        <v>34.200000000000216</v>
      </c>
      <c r="D526" s="306">
        <f t="shared" ca="1" si="240"/>
        <v>-0.77300519097658704</v>
      </c>
      <c r="E526" s="307">
        <f t="shared" ca="1" si="241"/>
        <v>-3.214730076931235</v>
      </c>
      <c r="F526" s="304">
        <f t="shared" ca="1" si="242"/>
        <v>3.3063615187699988</v>
      </c>
      <c r="G526" s="306">
        <f t="shared" ca="1" si="243"/>
        <v>14.339254949293837</v>
      </c>
      <c r="H526" s="307">
        <f t="shared" ca="1" si="244"/>
        <v>-123.32333093158741</v>
      </c>
      <c r="I526" s="304">
        <f t="shared" ca="1" si="245"/>
        <v>124.15417103167606</v>
      </c>
      <c r="J526" s="306">
        <f t="shared" ca="1" si="246"/>
        <v>856.3742019460575</v>
      </c>
      <c r="K526" s="307">
        <f t="shared" ca="1" si="247"/>
        <v>310.31586343737473</v>
      </c>
      <c r="L526" s="304">
        <f t="shared" ca="1" si="232"/>
        <v>910.86371585415031</v>
      </c>
      <c r="M526" s="306">
        <f t="shared" ca="1" si="248"/>
        <v>-1.4550424474882833</v>
      </c>
      <c r="N526" s="304">
        <f t="shared" ca="1" si="249"/>
        <v>-83.367791253464347</v>
      </c>
      <c r="P526" s="310">
        <f t="shared" ca="1" si="250"/>
        <v>23</v>
      </c>
      <c r="Q526" s="304">
        <f t="shared" ca="1" si="251"/>
        <v>0</v>
      </c>
      <c r="R526" s="306">
        <f t="shared" ca="1" si="252"/>
        <v>0</v>
      </c>
      <c r="S526" s="307">
        <f t="shared" ca="1" si="253"/>
        <v>7.150000000000003</v>
      </c>
      <c r="T526" s="304">
        <f t="shared" ca="1" si="233"/>
        <v>70.141500000000036</v>
      </c>
      <c r="U526" s="311">
        <f t="shared" ca="1" si="234"/>
        <v>0</v>
      </c>
      <c r="V526" s="306">
        <f t="shared" ca="1" si="235"/>
        <v>1.1875671077430059</v>
      </c>
      <c r="W526" s="304">
        <f t="shared" ca="1" si="236"/>
        <v>47.77604808605637</v>
      </c>
      <c r="Y526" s="314" t="str">
        <f t="shared" ca="1" si="254"/>
        <v/>
      </c>
      <c r="Z526" s="315" t="str">
        <f t="shared" ca="1" si="255"/>
        <v/>
      </c>
      <c r="AA526" s="316" t="str">
        <f t="shared" ca="1" si="256"/>
        <v/>
      </c>
      <c r="AC526" s="310" t="e">
        <f t="shared" ca="1" si="257"/>
        <v>#N/A</v>
      </c>
      <c r="AD526" s="323" t="e">
        <f t="shared" ca="1" si="258"/>
        <v>#N/A</v>
      </c>
      <c r="AE526" s="324" t="e">
        <f t="shared" ca="1" si="237"/>
        <v>#N/A</v>
      </c>
      <c r="AG526" s="306">
        <f t="shared" ca="1" si="259"/>
        <v>3.1028893509328901</v>
      </c>
      <c r="AH526" s="304">
        <f t="shared" ca="1" si="260"/>
        <v>-6.6404158291037936</v>
      </c>
    </row>
    <row r="527" spans="1:34" x14ac:dyDescent="0.2">
      <c r="A527" s="347">
        <f t="shared" ca="1" si="238"/>
        <v>0.1</v>
      </c>
      <c r="B527" s="304">
        <f t="shared" ca="1" si="239"/>
        <v>34.300000000000217</v>
      </c>
      <c r="D527" s="306">
        <f t="shared" ca="1" si="240"/>
        <v>-0.77173723253961357</v>
      </c>
      <c r="E527" s="307">
        <f t="shared" ca="1" si="241"/>
        <v>-3.1727509617996486</v>
      </c>
      <c r="F527" s="304">
        <f t="shared" ca="1" si="242"/>
        <v>3.265260636103724</v>
      </c>
      <c r="G527" s="306">
        <f t="shared" ca="1" si="243"/>
        <v>14.262081226039875</v>
      </c>
      <c r="H527" s="307">
        <f t="shared" ca="1" si="244"/>
        <v>-123.64060602776738</v>
      </c>
      <c r="I527" s="304">
        <f t="shared" ca="1" si="245"/>
        <v>124.46046127108698</v>
      </c>
      <c r="J527" s="306">
        <f t="shared" ca="1" si="246"/>
        <v>857.80426875482419</v>
      </c>
      <c r="K527" s="307">
        <f t="shared" ca="1" si="247"/>
        <v>297.96766658940697</v>
      </c>
      <c r="L527" s="304">
        <f t="shared" ca="1" si="232"/>
        <v>908.08198629129004</v>
      </c>
      <c r="M527" s="306">
        <f t="shared" ca="1" si="248"/>
        <v>-1.4559527860361596</v>
      </c>
      <c r="N527" s="304">
        <f t="shared" ca="1" si="249"/>
        <v>-83.419949810185727</v>
      </c>
      <c r="P527" s="310">
        <f t="shared" ca="1" si="250"/>
        <v>23</v>
      </c>
      <c r="Q527" s="304">
        <f t="shared" ca="1" si="251"/>
        <v>0</v>
      </c>
      <c r="R527" s="306">
        <f t="shared" ca="1" si="252"/>
        <v>0</v>
      </c>
      <c r="S527" s="307">
        <f t="shared" ca="1" si="253"/>
        <v>7.150000000000003</v>
      </c>
      <c r="T527" s="304">
        <f t="shared" ca="1" si="233"/>
        <v>70.141500000000036</v>
      </c>
      <c r="U527" s="311">
        <f t="shared" ca="1" si="234"/>
        <v>0</v>
      </c>
      <c r="V527" s="306">
        <f t="shared" ca="1" si="235"/>
        <v>1.1890347844111673</v>
      </c>
      <c r="W527" s="304">
        <f t="shared" ca="1" si="236"/>
        <v>48.071403939205915</v>
      </c>
      <c r="Y527" s="314" t="str">
        <f t="shared" ca="1" si="254"/>
        <v/>
      </c>
      <c r="Z527" s="315" t="str">
        <f t="shared" ca="1" si="255"/>
        <v/>
      </c>
      <c r="AA527" s="316" t="str">
        <f t="shared" ca="1" si="256"/>
        <v/>
      </c>
      <c r="AC527" s="310" t="e">
        <f t="shared" ca="1" si="257"/>
        <v>#N/A</v>
      </c>
      <c r="AD527" s="323" t="e">
        <f t="shared" ca="1" si="258"/>
        <v>#N/A</v>
      </c>
      <c r="AE527" s="324" t="e">
        <f t="shared" ca="1" si="237"/>
        <v>#N/A</v>
      </c>
      <c r="AG527" s="306">
        <f t="shared" ca="1" si="259"/>
        <v>3.0623866820976806</v>
      </c>
      <c r="AH527" s="304">
        <f t="shared" ca="1" si="260"/>
        <v>-6.6819647672806086</v>
      </c>
    </row>
    <row r="528" spans="1:34" x14ac:dyDescent="0.2">
      <c r="A528" s="347">
        <f t="shared" ca="1" si="238"/>
        <v>0.1</v>
      </c>
      <c r="B528" s="304">
        <f t="shared" ca="1" si="239"/>
        <v>34.400000000000219</v>
      </c>
      <c r="D528" s="306">
        <f t="shared" ca="1" si="240"/>
        <v>-0.77042836431282413</v>
      </c>
      <c r="E528" s="307">
        <f t="shared" ca="1" si="241"/>
        <v>-3.1310147695205108</v>
      </c>
      <c r="F528" s="304">
        <f t="shared" ca="1" si="242"/>
        <v>3.2244089925896979</v>
      </c>
      <c r="G528" s="306">
        <f t="shared" ca="1" si="243"/>
        <v>14.185038389608593</v>
      </c>
      <c r="H528" s="307">
        <f t="shared" ca="1" si="244"/>
        <v>-123.95370750471943</v>
      </c>
      <c r="I528" s="304">
        <f t="shared" ca="1" si="245"/>
        <v>124.76272247061704</v>
      </c>
      <c r="J528" s="306">
        <f t="shared" ca="1" si="246"/>
        <v>859.22662473560661</v>
      </c>
      <c r="K528" s="307">
        <f t="shared" ca="1" si="247"/>
        <v>285.58795091278262</v>
      </c>
      <c r="L528" s="304">
        <f t="shared" ca="1" si="232"/>
        <v>905.44512277724755</v>
      </c>
      <c r="M528" s="306">
        <f t="shared" ca="1" si="248"/>
        <v>-1.4568538087151874</v>
      </c>
      <c r="N528" s="304">
        <f t="shared" ca="1" si="249"/>
        <v>-83.471574606939583</v>
      </c>
      <c r="P528" s="310">
        <f t="shared" ca="1" si="250"/>
        <v>23</v>
      </c>
      <c r="Q528" s="304">
        <f t="shared" ca="1" si="251"/>
        <v>0</v>
      </c>
      <c r="R528" s="306">
        <f t="shared" ca="1" si="252"/>
        <v>0</v>
      </c>
      <c r="S528" s="307">
        <f t="shared" ca="1" si="253"/>
        <v>7.150000000000003</v>
      </c>
      <c r="T528" s="304">
        <f t="shared" ca="1" si="233"/>
        <v>70.141500000000036</v>
      </c>
      <c r="U528" s="311">
        <f t="shared" ca="1" si="234"/>
        <v>0</v>
      </c>
      <c r="V528" s="306">
        <f t="shared" ca="1" si="235"/>
        <v>1.1905080009793438</v>
      </c>
      <c r="W528" s="304">
        <f t="shared" ca="1" si="236"/>
        <v>48.365027414974556</v>
      </c>
      <c r="Y528" s="314" t="str">
        <f t="shared" ca="1" si="254"/>
        <v/>
      </c>
      <c r="Z528" s="315" t="str">
        <f t="shared" ca="1" si="255"/>
        <v/>
      </c>
      <c r="AA528" s="316" t="str">
        <f t="shared" ca="1" si="256"/>
        <v/>
      </c>
      <c r="AC528" s="310" t="e">
        <f t="shared" ca="1" si="257"/>
        <v>#N/A</v>
      </c>
      <c r="AD528" s="323" t="e">
        <f t="shared" ca="1" si="258"/>
        <v>#N/A</v>
      </c>
      <c r="AE528" s="324" t="e">
        <f t="shared" ca="1" si="237"/>
        <v>#N/A</v>
      </c>
      <c r="AG528" s="306">
        <f t="shared" ca="1" si="259"/>
        <v>3.0221055573261797</v>
      </c>
      <c r="AH528" s="304">
        <f t="shared" ca="1" si="260"/>
        <v>-6.7232732782106144</v>
      </c>
    </row>
    <row r="529" spans="1:34" x14ac:dyDescent="0.2">
      <c r="A529" s="347">
        <f t="shared" ca="1" si="238"/>
        <v>0.1</v>
      </c>
      <c r="B529" s="304">
        <f t="shared" ca="1" si="239"/>
        <v>34.50000000000022</v>
      </c>
      <c r="D529" s="306">
        <f t="shared" ca="1" si="240"/>
        <v>-0.76907920545380792</v>
      </c>
      <c r="E529" s="307">
        <f t="shared" ca="1" si="241"/>
        <v>-3.0895233779121458</v>
      </c>
      <c r="F529" s="304">
        <f t="shared" ca="1" si="242"/>
        <v>3.1838086511169505</v>
      </c>
      <c r="G529" s="306">
        <f t="shared" ca="1" si="243"/>
        <v>14.108130469063212</v>
      </c>
      <c r="H529" s="307">
        <f t="shared" ca="1" si="244"/>
        <v>-124.26265984251064</v>
      </c>
      <c r="I529" s="304">
        <f t="shared" ca="1" si="245"/>
        <v>125.06097703307621</v>
      </c>
      <c r="J529" s="306">
        <f t="shared" ca="1" si="246"/>
        <v>860.64128317854022</v>
      </c>
      <c r="K529" s="307">
        <f t="shared" ca="1" si="247"/>
        <v>273.1771325454211</v>
      </c>
      <c r="L529" s="304">
        <f t="shared" ca="1" si="232"/>
        <v>902.95579296936955</v>
      </c>
      <c r="M529" s="306">
        <f t="shared" ca="1" si="248"/>
        <v>-1.4577456609813206</v>
      </c>
      <c r="N529" s="304">
        <f t="shared" ca="1" si="249"/>
        <v>-83.522673977738194</v>
      </c>
      <c r="P529" s="310">
        <f t="shared" ca="1" si="250"/>
        <v>23</v>
      </c>
      <c r="Q529" s="304">
        <f t="shared" ca="1" si="251"/>
        <v>0</v>
      </c>
      <c r="R529" s="306">
        <f t="shared" ca="1" si="252"/>
        <v>0</v>
      </c>
      <c r="S529" s="307">
        <f t="shared" ca="1" si="253"/>
        <v>7.150000000000003</v>
      </c>
      <c r="T529" s="304">
        <f t="shared" ca="1" si="233"/>
        <v>70.141500000000036</v>
      </c>
      <c r="U529" s="311">
        <f t="shared" ca="1" si="234"/>
        <v>0</v>
      </c>
      <c r="V529" s="306">
        <f t="shared" ca="1" si="235"/>
        <v>1.1919867248551856</v>
      </c>
      <c r="W529" s="304">
        <f t="shared" ca="1" si="236"/>
        <v>48.656905718314292</v>
      </c>
      <c r="Y529" s="314" t="str">
        <f t="shared" ca="1" si="254"/>
        <v/>
      </c>
      <c r="Z529" s="315" t="str">
        <f t="shared" ca="1" si="255"/>
        <v/>
      </c>
      <c r="AA529" s="316" t="str">
        <f t="shared" ca="1" si="256"/>
        <v/>
      </c>
      <c r="AC529" s="310" t="e">
        <f t="shared" ca="1" si="257"/>
        <v>#N/A</v>
      </c>
      <c r="AD529" s="323" t="e">
        <f t="shared" ca="1" si="258"/>
        <v>#N/A</v>
      </c>
      <c r="AE529" s="324" t="e">
        <f t="shared" ca="1" si="237"/>
        <v>#N/A</v>
      </c>
      <c r="AG529" s="306">
        <f t="shared" ca="1" si="259"/>
        <v>2.9820482568286719</v>
      </c>
      <c r="AH529" s="304">
        <f t="shared" ca="1" si="260"/>
        <v>-6.7643394985978373</v>
      </c>
    </row>
    <row r="530" spans="1:34" x14ac:dyDescent="0.2">
      <c r="A530" s="347">
        <f t="shared" ca="1" si="238"/>
        <v>0.1</v>
      </c>
      <c r="B530" s="304">
        <f t="shared" ca="1" si="239"/>
        <v>34.600000000000222</v>
      </c>
      <c r="D530" s="306">
        <f t="shared" ca="1" si="240"/>
        <v>-0.76769037426939934</v>
      </c>
      <c r="E530" s="307">
        <f t="shared" ca="1" si="241"/>
        <v>-3.0482785903919787</v>
      </c>
      <c r="F530" s="304">
        <f t="shared" ca="1" si="242"/>
        <v>3.1434616071121337</v>
      </c>
      <c r="G530" s="306">
        <f t="shared" ca="1" si="243"/>
        <v>14.031361431636272</v>
      </c>
      <c r="H530" s="307">
        <f t="shared" ca="1" si="244"/>
        <v>-124.56748770154984</v>
      </c>
      <c r="I530" s="304">
        <f t="shared" ca="1" si="245"/>
        <v>125.35524758023088</v>
      </c>
      <c r="J530" s="306">
        <f t="shared" ca="1" si="246"/>
        <v>862.04825777357519</v>
      </c>
      <c r="K530" s="307">
        <f t="shared" ca="1" si="247"/>
        <v>260.73562516821806</v>
      </c>
      <c r="L530" s="304">
        <f t="shared" ca="1" si="232"/>
        <v>900.61660264638567</v>
      </c>
      <c r="M530" s="306">
        <f t="shared" ca="1" si="248"/>
        <v>-1.4586284851107769</v>
      </c>
      <c r="N530" s="304">
        <f t="shared" ca="1" si="249"/>
        <v>-83.573256074408363</v>
      </c>
      <c r="P530" s="310">
        <f t="shared" ca="1" si="250"/>
        <v>23</v>
      </c>
      <c r="Q530" s="304">
        <f t="shared" ca="1" si="251"/>
        <v>0</v>
      </c>
      <c r="R530" s="306">
        <f t="shared" ca="1" si="252"/>
        <v>0</v>
      </c>
      <c r="S530" s="307">
        <f t="shared" ca="1" si="253"/>
        <v>7.150000000000003</v>
      </c>
      <c r="T530" s="304">
        <f t="shared" ca="1" si="233"/>
        <v>70.141500000000036</v>
      </c>
      <c r="U530" s="311">
        <f t="shared" ca="1" si="234"/>
        <v>0</v>
      </c>
      <c r="V530" s="306">
        <f t="shared" ca="1" si="235"/>
        <v>1.1934709235893388</v>
      </c>
      <c r="W530" s="304">
        <f t="shared" ca="1" si="236"/>
        <v>48.947026576266538</v>
      </c>
      <c r="Y530" s="314" t="str">
        <f t="shared" ca="1" si="254"/>
        <v/>
      </c>
      <c r="Z530" s="315" t="str">
        <f t="shared" ca="1" si="255"/>
        <v/>
      </c>
      <c r="AA530" s="316" t="str">
        <f t="shared" ca="1" si="256"/>
        <v/>
      </c>
      <c r="AC530" s="310" t="e">
        <f t="shared" ca="1" si="257"/>
        <v>#N/A</v>
      </c>
      <c r="AD530" s="323" t="e">
        <f t="shared" ca="1" si="258"/>
        <v>#N/A</v>
      </c>
      <c r="AE530" s="324" t="e">
        <f t="shared" ca="1" si="237"/>
        <v>#N/A</v>
      </c>
      <c r="AG530" s="306">
        <f t="shared" ca="1" si="259"/>
        <v>2.9422169756896466</v>
      </c>
      <c r="AH530" s="304">
        <f t="shared" ca="1" si="260"/>
        <v>-6.8051616389250729</v>
      </c>
    </row>
    <row r="531" spans="1:34" x14ac:dyDescent="0.2">
      <c r="A531" s="347">
        <f t="shared" ca="1" si="238"/>
        <v>0.1</v>
      </c>
      <c r="B531" s="304">
        <f t="shared" ca="1" si="239"/>
        <v>34.700000000000223</v>
      </c>
      <c r="D531" s="306">
        <f t="shared" ca="1" si="240"/>
        <v>-0.76626248805412678</v>
      </c>
      <c r="E531" s="307">
        <f t="shared" ca="1" si="241"/>
        <v>-3.0072821367405762</v>
      </c>
      <c r="F531" s="304">
        <f t="shared" ca="1" si="242"/>
        <v>3.1033697895284518</v>
      </c>
      <c r="G531" s="306">
        <f t="shared" ca="1" si="243"/>
        <v>13.954735182830859</v>
      </c>
      <c r="H531" s="307">
        <f t="shared" ca="1" si="244"/>
        <v>-124.8682159152239</v>
      </c>
      <c r="I531" s="304">
        <f t="shared" ca="1" si="245"/>
        <v>125.64555694442168</v>
      </c>
      <c r="J531" s="306">
        <f t="shared" ca="1" si="246"/>
        <v>863.44756260429858</v>
      </c>
      <c r="K531" s="307">
        <f t="shared" ca="1" si="247"/>
        <v>248.26383998737938</v>
      </c>
      <c r="L531" s="304">
        <f t="shared" ca="1" si="232"/>
        <v>898.43009055384118</v>
      </c>
      <c r="M531" s="306">
        <f t="shared" ca="1" si="248"/>
        <v>-1.4595024202858264</v>
      </c>
      <c r="N531" s="304">
        <f t="shared" ca="1" si="249"/>
        <v>-83.623328871506715</v>
      </c>
      <c r="P531" s="310">
        <f t="shared" ca="1" si="250"/>
        <v>23</v>
      </c>
      <c r="Q531" s="304">
        <f t="shared" ca="1" si="251"/>
        <v>0</v>
      </c>
      <c r="R531" s="306">
        <f t="shared" ca="1" si="252"/>
        <v>0</v>
      </c>
      <c r="S531" s="307">
        <f t="shared" ca="1" si="253"/>
        <v>7.150000000000003</v>
      </c>
      <c r="T531" s="304">
        <f t="shared" ca="1" si="233"/>
        <v>70.141500000000036</v>
      </c>
      <c r="U531" s="311">
        <f t="shared" ca="1" si="234"/>
        <v>0</v>
      </c>
      <c r="V531" s="306">
        <f t="shared" ca="1" si="235"/>
        <v>1.194960564877277</v>
      </c>
      <c r="W531" s="304">
        <f t="shared" ca="1" si="236"/>
        <v>49.235378232442883</v>
      </c>
      <c r="Y531" s="314" t="str">
        <f t="shared" ca="1" si="254"/>
        <v/>
      </c>
      <c r="Z531" s="315" t="str">
        <f t="shared" ca="1" si="255"/>
        <v/>
      </c>
      <c r="AA531" s="316" t="str">
        <f t="shared" ca="1" si="256"/>
        <v/>
      </c>
      <c r="AC531" s="310" t="e">
        <f t="shared" ca="1" si="257"/>
        <v>#N/A</v>
      </c>
      <c r="AD531" s="323" t="e">
        <f t="shared" ca="1" si="258"/>
        <v>#N/A</v>
      </c>
      <c r="AE531" s="324" t="e">
        <f t="shared" ca="1" si="237"/>
        <v>#N/A</v>
      </c>
      <c r="AG531" s="306">
        <f t="shared" ca="1" si="259"/>
        <v>2.9026138249956448</v>
      </c>
      <c r="AH531" s="304">
        <f t="shared" ca="1" si="260"/>
        <v>-6.8457379826946179</v>
      </c>
    </row>
    <row r="532" spans="1:34" x14ac:dyDescent="0.2">
      <c r="A532" s="347">
        <f t="shared" ca="1" si="238"/>
        <v>0.1</v>
      </c>
      <c r="B532" s="304">
        <f t="shared" ca="1" si="239"/>
        <v>34.800000000000225</v>
      </c>
      <c r="D532" s="306">
        <f t="shared" ca="1" si="240"/>
        <v>-0.76479616293237651</v>
      </c>
      <c r="E532" s="307">
        <f t="shared" ca="1" si="241"/>
        <v>-2.9665356738785604</v>
      </c>
      <c r="F532" s="304">
        <f t="shared" ca="1" si="242"/>
        <v>3.0635350618574959</v>
      </c>
      <c r="G532" s="306">
        <f t="shared" ca="1" si="243"/>
        <v>13.878255566537621</v>
      </c>
      <c r="H532" s="307">
        <f t="shared" ca="1" si="244"/>
        <v>-125.16486948261175</v>
      </c>
      <c r="I532" s="304">
        <f t="shared" ca="1" si="245"/>
        <v>125.93192816029367</v>
      </c>
      <c r="J532" s="306">
        <f t="shared" ca="1" si="246"/>
        <v>864.83921214176701</v>
      </c>
      <c r="K532" s="307">
        <f t="shared" ca="1" si="247"/>
        <v>235.7621857174876</v>
      </c>
      <c r="L532" s="304">
        <f t="shared" ca="1" si="232"/>
        <v>896.39872326564557</v>
      </c>
      <c r="M532" s="306">
        <f t="shared" ca="1" si="248"/>
        <v>-1.4603676026778571</v>
      </c>
      <c r="N532" s="304">
        <f t="shared" ca="1" si="249"/>
        <v>-83.672900171079107</v>
      </c>
      <c r="P532" s="310">
        <f t="shared" ca="1" si="250"/>
        <v>23</v>
      </c>
      <c r="Q532" s="304">
        <f t="shared" ca="1" si="251"/>
        <v>0</v>
      </c>
      <c r="R532" s="306">
        <f t="shared" ca="1" si="252"/>
        <v>0</v>
      </c>
      <c r="S532" s="307">
        <f t="shared" ca="1" si="253"/>
        <v>7.150000000000003</v>
      </c>
      <c r="T532" s="304">
        <f t="shared" ca="1" si="233"/>
        <v>70.141500000000036</v>
      </c>
      <c r="U532" s="311">
        <f t="shared" ca="1" si="234"/>
        <v>0</v>
      </c>
      <c r="V532" s="306">
        <f t="shared" ca="1" si="235"/>
        <v>1.1964556165610836</v>
      </c>
      <c r="W532" s="304">
        <f t="shared" ca="1" si="236"/>
        <v>49.521949441420155</v>
      </c>
      <c r="Y532" s="314" t="str">
        <f t="shared" ca="1" si="254"/>
        <v/>
      </c>
      <c r="Z532" s="315" t="str">
        <f t="shared" ca="1" si="255"/>
        <v/>
      </c>
      <c r="AA532" s="316" t="str">
        <f t="shared" ca="1" si="256"/>
        <v/>
      </c>
      <c r="AC532" s="310" t="e">
        <f t="shared" ca="1" si="257"/>
        <v>#N/A</v>
      </c>
      <c r="AD532" s="323" t="e">
        <f t="shared" ca="1" si="258"/>
        <v>#N/A</v>
      </c>
      <c r="AE532" s="324" t="e">
        <f t="shared" ca="1" si="237"/>
        <v>#N/A</v>
      </c>
      <c r="AG532" s="306">
        <f t="shared" ca="1" si="259"/>
        <v>2.8632408329619636</v>
      </c>
      <c r="AH532" s="304">
        <f t="shared" ca="1" si="260"/>
        <v>-6.8860668856563443</v>
      </c>
    </row>
    <row r="533" spans="1:34" x14ac:dyDescent="0.2">
      <c r="A533" s="347">
        <f t="shared" ca="1" si="238"/>
        <v>0.1</v>
      </c>
      <c r="B533" s="304">
        <f t="shared" ca="1" si="239"/>
        <v>34.900000000000226</v>
      </c>
      <c r="D533" s="306">
        <f t="shared" ca="1" si="240"/>
        <v>-0.76329201370425837</v>
      </c>
      <c r="E533" s="307">
        <f t="shared" ca="1" si="241"/>
        <v>-2.9260407866557046</v>
      </c>
      <c r="F533" s="304">
        <f t="shared" ca="1" si="242"/>
        <v>3.0239592231638039</v>
      </c>
      <c r="G533" s="306">
        <f t="shared" ca="1" si="243"/>
        <v>13.801926365167196</v>
      </c>
      <c r="H533" s="307">
        <f t="shared" ca="1" si="244"/>
        <v>-125.45747356127733</v>
      </c>
      <c r="I533" s="304">
        <f t="shared" ca="1" si="245"/>
        <v>126.21438445663829</v>
      </c>
      <c r="J533" s="306">
        <f t="shared" ca="1" si="246"/>
        <v>866.22322123835227</v>
      </c>
      <c r="K533" s="307">
        <f t="shared" ca="1" si="247"/>
        <v>223.23106856529313</v>
      </c>
      <c r="L533" s="304">
        <f t="shared" ca="1" si="232"/>
        <v>894.52489008710643</v>
      </c>
      <c r="M533" s="306">
        <f t="shared" ca="1" si="248"/>
        <v>-1.4612241655278146</v>
      </c>
      <c r="N533" s="304">
        <f t="shared" ca="1" si="249"/>
        <v>-83.72197760726938</v>
      </c>
      <c r="P533" s="310">
        <f t="shared" ca="1" si="250"/>
        <v>23</v>
      </c>
      <c r="Q533" s="304">
        <f t="shared" ca="1" si="251"/>
        <v>0</v>
      </c>
      <c r="R533" s="306">
        <f t="shared" ca="1" si="252"/>
        <v>0</v>
      </c>
      <c r="S533" s="307">
        <f t="shared" ca="1" si="253"/>
        <v>7.150000000000003</v>
      </c>
      <c r="T533" s="304">
        <f t="shared" ca="1" si="233"/>
        <v>70.141500000000036</v>
      </c>
      <c r="U533" s="311">
        <f t="shared" ca="1" si="234"/>
        <v>0</v>
      </c>
      <c r="V533" s="306">
        <f t="shared" ca="1" si="235"/>
        <v>1.1979560466311894</v>
      </c>
      <c r="W533" s="304">
        <f t="shared" ca="1" si="236"/>
        <v>49.806729463054211</v>
      </c>
      <c r="Y533" s="314" t="str">
        <f t="shared" ca="1" si="254"/>
        <v/>
      </c>
      <c r="Z533" s="315" t="str">
        <f t="shared" ca="1" si="255"/>
        <v/>
      </c>
      <c r="AA533" s="316" t="str">
        <f t="shared" ca="1" si="256"/>
        <v/>
      </c>
      <c r="AC533" s="310" t="e">
        <f t="shared" ca="1" si="257"/>
        <v>#N/A</v>
      </c>
      <c r="AD533" s="323" t="e">
        <f t="shared" ca="1" si="258"/>
        <v>#N/A</v>
      </c>
      <c r="AE533" s="324" t="e">
        <f t="shared" ca="1" si="237"/>
        <v>#N/A</v>
      </c>
      <c r="AG533" s="306">
        <f t="shared" ca="1" si="259"/>
        <v>2.8240999460580793</v>
      </c>
      <c r="AH533" s="304">
        <f t="shared" ca="1" si="260"/>
        <v>-6.9261467750237946</v>
      </c>
    </row>
    <row r="534" spans="1:34" x14ac:dyDescent="0.2">
      <c r="A534" s="347">
        <f t="shared" ca="1" si="238"/>
        <v>0.1</v>
      </c>
      <c r="B534" s="304">
        <f t="shared" ca="1" si="239"/>
        <v>35.000000000000227</v>
      </c>
      <c r="D534" s="306">
        <f t="shared" ca="1" si="240"/>
        <v>-0.76175065369516648</v>
      </c>
      <c r="E534" s="307">
        <f t="shared" ca="1" si="241"/>
        <v>-2.8857989886515849</v>
      </c>
      <c r="F534" s="304">
        <f t="shared" ca="1" si="242"/>
        <v>2.9846440091420492</v>
      </c>
      <c r="G534" s="306">
        <f t="shared" ca="1" si="243"/>
        <v>13.725751299797679</v>
      </c>
      <c r="H534" s="307">
        <f t="shared" ca="1" si="244"/>
        <v>-125.74605346014248</v>
      </c>
      <c r="I534" s="304">
        <f t="shared" ca="1" si="245"/>
        <v>126.49294924834707</v>
      </c>
      <c r="J534" s="306">
        <f t="shared" ca="1" si="246"/>
        <v>867.59960512160046</v>
      </c>
      <c r="K534" s="307">
        <f t="shared" ca="1" si="247"/>
        <v>210.67089221422214</v>
      </c>
      <c r="L534" s="304">
        <f t="shared" ca="1" si="232"/>
        <v>892.81089802572046</v>
      </c>
      <c r="M534" s="306">
        <f t="shared" ca="1" si="248"/>
        <v>-1.4620722392241137</v>
      </c>
      <c r="N534" s="304">
        <f t="shared" ca="1" si="249"/>
        <v>-83.770568650783375</v>
      </c>
      <c r="P534" s="310">
        <f t="shared" ca="1" si="250"/>
        <v>23</v>
      </c>
      <c r="Q534" s="304">
        <f t="shared" ca="1" si="251"/>
        <v>0</v>
      </c>
      <c r="R534" s="306">
        <f t="shared" ca="1" si="252"/>
        <v>0</v>
      </c>
      <c r="S534" s="307">
        <f t="shared" ca="1" si="253"/>
        <v>7.150000000000003</v>
      </c>
      <c r="T534" s="304">
        <f t="shared" ca="1" si="233"/>
        <v>70.141500000000036</v>
      </c>
      <c r="U534" s="311">
        <f t="shared" ca="1" si="234"/>
        <v>0</v>
      </c>
      <c r="V534" s="306">
        <f t="shared" ca="1" si="235"/>
        <v>1.1994618232280616</v>
      </c>
      <c r="W534" s="304">
        <f t="shared" ca="1" si="236"/>
        <v>50.089708056716731</v>
      </c>
      <c r="Y534" s="314" t="str">
        <f t="shared" ca="1" si="254"/>
        <v/>
      </c>
      <c r="Z534" s="315" t="str">
        <f t="shared" ca="1" si="255"/>
        <v/>
      </c>
      <c r="AA534" s="316" t="str">
        <f t="shared" ca="1" si="256"/>
        <v/>
      </c>
      <c r="AC534" s="310">
        <f t="shared" ca="1" si="257"/>
        <v>35.000000000000227</v>
      </c>
      <c r="AD534" s="323">
        <f t="shared" ca="1" si="258"/>
        <v>867.59960512160046</v>
      </c>
      <c r="AE534" s="324" t="e">
        <f t="shared" ca="1" si="237"/>
        <v>#N/A</v>
      </c>
      <c r="AG534" s="306">
        <f t="shared" ca="1" si="259"/>
        <v>2.7851930301317536</v>
      </c>
      <c r="AH534" s="304">
        <f t="shared" ca="1" si="260"/>
        <v>-6.9659761486789078</v>
      </c>
    </row>
    <row r="535" spans="1:34" x14ac:dyDescent="0.2">
      <c r="A535" s="347">
        <f t="shared" ca="1" si="238"/>
        <v>0.1</v>
      </c>
      <c r="B535" s="304">
        <f t="shared" ca="1" si="239"/>
        <v>35.100000000000229</v>
      </c>
      <c r="D535" s="306">
        <f t="shared" ca="1" si="240"/>
        <v>-0.76017269460900505</v>
      </c>
      <c r="E535" s="307">
        <f t="shared" ca="1" si="241"/>
        <v>-2.8458117229871833</v>
      </c>
      <c r="F535" s="304">
        <f t="shared" ca="1" si="242"/>
        <v>2.9455910931968132</v>
      </c>
      <c r="G535" s="306">
        <f t="shared" ca="1" si="243"/>
        <v>13.649734030336779</v>
      </c>
      <c r="H535" s="307">
        <f t="shared" ca="1" si="244"/>
        <v>-126.03063463244119</v>
      </c>
      <c r="I535" s="304">
        <f t="shared" ca="1" si="245"/>
        <v>126.7676461284772</v>
      </c>
      <c r="J535" s="306">
        <f t="shared" ca="1" si="246"/>
        <v>868.96837938810722</v>
      </c>
      <c r="K535" s="307">
        <f t="shared" ca="1" si="247"/>
        <v>198.08205780959295</v>
      </c>
      <c r="L535" s="304">
        <f t="shared" ca="1" si="232"/>
        <v>891.25896685670227</v>
      </c>
      <c r="M535" s="306">
        <f t="shared" ca="1" si="248"/>
        <v>-1.4629119513781117</v>
      </c>
      <c r="N535" s="304">
        <f t="shared" ca="1" si="249"/>
        <v>-83.818680613213289</v>
      </c>
      <c r="P535" s="310">
        <f t="shared" ca="1" si="250"/>
        <v>23</v>
      </c>
      <c r="Q535" s="304">
        <f t="shared" ca="1" si="251"/>
        <v>0</v>
      </c>
      <c r="R535" s="306">
        <f t="shared" ca="1" si="252"/>
        <v>0</v>
      </c>
      <c r="S535" s="307">
        <f t="shared" ca="1" si="253"/>
        <v>7.150000000000003</v>
      </c>
      <c r="T535" s="304">
        <f t="shared" ca="1" si="233"/>
        <v>70.141500000000036</v>
      </c>
      <c r="U535" s="311">
        <f t="shared" ca="1" si="234"/>
        <v>0</v>
      </c>
      <c r="V535" s="306">
        <f t="shared" ca="1" si="235"/>
        <v>1.2009729146438508</v>
      </c>
      <c r="W535" s="304">
        <f t="shared" ca="1" si="236"/>
        <v>50.37087547546006</v>
      </c>
      <c r="Y535" s="314" t="str">
        <f t="shared" ca="1" si="254"/>
        <v/>
      </c>
      <c r="Z535" s="315" t="str">
        <f t="shared" ca="1" si="255"/>
        <v/>
      </c>
      <c r="AA535" s="316" t="str">
        <f t="shared" ca="1" si="256"/>
        <v/>
      </c>
      <c r="AC535" s="310" t="e">
        <f t="shared" ca="1" si="257"/>
        <v>#N/A</v>
      </c>
      <c r="AD535" s="323" t="e">
        <f t="shared" ca="1" si="258"/>
        <v>#N/A</v>
      </c>
      <c r="AE535" s="324" t="e">
        <f t="shared" ca="1" si="237"/>
        <v>#N/A</v>
      </c>
      <c r="AG535" s="306">
        <f t="shared" ca="1" si="259"/>
        <v>2.7465218715317929</v>
      </c>
      <c r="AH535" s="304">
        <f t="shared" ca="1" si="260"/>
        <v>-7.0055535743659734</v>
      </c>
    </row>
    <row r="536" spans="1:34" x14ac:dyDescent="0.2">
      <c r="A536" s="347">
        <f t="shared" ca="1" si="238"/>
        <v>0.1</v>
      </c>
      <c r="B536" s="304">
        <f t="shared" ca="1" si="239"/>
        <v>35.20000000000023</v>
      </c>
      <c r="D536" s="306">
        <f t="shared" ca="1" si="240"/>
        <v>-0.75855874638507692</v>
      </c>
      <c r="E536" s="307">
        <f t="shared" ca="1" si="241"/>
        <v>-2.8060803631467248</v>
      </c>
      <c r="F536" s="304">
        <f t="shared" ca="1" si="242"/>
        <v>2.9068020875448255</v>
      </c>
      <c r="G536" s="306">
        <f t="shared" ca="1" si="243"/>
        <v>13.573878155698271</v>
      </c>
      <c r="H536" s="307">
        <f t="shared" ca="1" si="244"/>
        <v>-126.31124266875587</v>
      </c>
      <c r="I536" s="304">
        <f t="shared" ca="1" si="245"/>
        <v>127.03849886042843</v>
      </c>
      <c r="J536" s="306">
        <f t="shared" ca="1" si="246"/>
        <v>870.32955999740898</v>
      </c>
      <c r="K536" s="307">
        <f t="shared" ca="1" si="247"/>
        <v>185.46496394453311</v>
      </c>
      <c r="L536" s="304">
        <f t="shared" ca="1" si="232"/>
        <v>889.8712243107035</v>
      </c>
      <c r="M536" s="306">
        <f t="shared" ca="1" si="248"/>
        <v>-1.4637434268972331</v>
      </c>
      <c r="N536" s="304">
        <f t="shared" ca="1" si="249"/>
        <v>-83.866320651227397</v>
      </c>
      <c r="P536" s="310">
        <f t="shared" ca="1" si="250"/>
        <v>23</v>
      </c>
      <c r="Q536" s="304">
        <f t="shared" ca="1" si="251"/>
        <v>0</v>
      </c>
      <c r="R536" s="306">
        <f t="shared" ca="1" si="252"/>
        <v>0</v>
      </c>
      <c r="S536" s="307">
        <f t="shared" ca="1" si="253"/>
        <v>7.150000000000003</v>
      </c>
      <c r="T536" s="304">
        <f t="shared" ca="1" si="233"/>
        <v>70.141500000000036</v>
      </c>
      <c r="U536" s="311">
        <f t="shared" ca="1" si="234"/>
        <v>0</v>
      </c>
      <c r="V536" s="306">
        <f t="shared" ca="1" si="235"/>
        <v>1.2024892893239894</v>
      </c>
      <c r="W536" s="304">
        <f t="shared" ca="1" si="236"/>
        <v>50.650222460113802</v>
      </c>
      <c r="Y536" s="314" t="str">
        <f t="shared" ca="1" si="254"/>
        <v/>
      </c>
      <c r="Z536" s="315" t="str">
        <f t="shared" ca="1" si="255"/>
        <v/>
      </c>
      <c r="AA536" s="316" t="str">
        <f t="shared" ca="1" si="256"/>
        <v/>
      </c>
      <c r="AC536" s="310" t="e">
        <f t="shared" ca="1" si="257"/>
        <v>#N/A</v>
      </c>
      <c r="AD536" s="323" t="e">
        <f t="shared" ca="1" si="258"/>
        <v>#N/A</v>
      </c>
      <c r="AE536" s="324" t="e">
        <f t="shared" ca="1" si="237"/>
        <v>#N/A</v>
      </c>
      <c r="AG536" s="306">
        <f t="shared" ca="1" si="259"/>
        <v>2.7080881782291923</v>
      </c>
      <c r="AH536" s="304">
        <f t="shared" ca="1" si="260"/>
        <v>-7.0448776888755296</v>
      </c>
    </row>
    <row r="537" spans="1:34" x14ac:dyDescent="0.2">
      <c r="A537" s="347">
        <f t="shared" ca="1" si="238"/>
        <v>0.1</v>
      </c>
      <c r="B537" s="304">
        <f t="shared" ca="1" si="239"/>
        <v>35.300000000000232</v>
      </c>
      <c r="D537" s="306">
        <f t="shared" ca="1" si="240"/>
        <v>-0.75690941705860459</v>
      </c>
      <c r="E537" s="307">
        <f t="shared" ca="1" si="241"/>
        <v>-2.766606213809224</v>
      </c>
      <c r="F537" s="304">
        <f t="shared" ca="1" si="242"/>
        <v>2.8682785443397587</v>
      </c>
      <c r="G537" s="306">
        <f t="shared" ca="1" si="243"/>
        <v>13.498187213992411</v>
      </c>
      <c r="H537" s="307">
        <f t="shared" ca="1" si="244"/>
        <v>-126.58790329013679</v>
      </c>
      <c r="I537" s="304">
        <f t="shared" ca="1" si="245"/>
        <v>127.30553137023156</v>
      </c>
      <c r="J537" s="306">
        <f t="shared" ca="1" si="246"/>
        <v>871.68316326589354</v>
      </c>
      <c r="K537" s="307">
        <f t="shared" ca="1" si="247"/>
        <v>172.82000664658847</v>
      </c>
      <c r="L537" s="304">
        <f t="shared" ca="1" si="232"/>
        <v>888.64970141139497</v>
      </c>
      <c r="M537" s="306">
        <f t="shared" ca="1" si="248"/>
        <v>-1.4645667880558282</v>
      </c>
      <c r="N537" s="304">
        <f t="shared" ca="1" si="249"/>
        <v>-83.913495770629908</v>
      </c>
      <c r="P537" s="310">
        <f t="shared" ca="1" si="250"/>
        <v>23</v>
      </c>
      <c r="Q537" s="304">
        <f t="shared" ca="1" si="251"/>
        <v>0</v>
      </c>
      <c r="R537" s="306">
        <f t="shared" ca="1" si="252"/>
        <v>0</v>
      </c>
      <c r="S537" s="307">
        <f t="shared" ca="1" si="253"/>
        <v>7.150000000000003</v>
      </c>
      <c r="T537" s="304">
        <f t="shared" ca="1" si="233"/>
        <v>70.141500000000036</v>
      </c>
      <c r="U537" s="311">
        <f t="shared" ca="1" si="234"/>
        <v>0</v>
      </c>
      <c r="V537" s="306">
        <f t="shared" ca="1" si="235"/>
        <v>1.2040109158687466</v>
      </c>
      <c r="W537" s="304">
        <f t="shared" ca="1" si="236"/>
        <v>50.927740233317877</v>
      </c>
      <c r="Y537" s="314" t="str">
        <f t="shared" ca="1" si="254"/>
        <v/>
      </c>
      <c r="Z537" s="315" t="str">
        <f t="shared" ca="1" si="255"/>
        <v/>
      </c>
      <c r="AA537" s="316" t="str">
        <f t="shared" ca="1" si="256"/>
        <v/>
      </c>
      <c r="AC537" s="310" t="e">
        <f t="shared" ca="1" si="257"/>
        <v>#N/A</v>
      </c>
      <c r="AD537" s="323" t="e">
        <f t="shared" ca="1" si="258"/>
        <v>#N/A</v>
      </c>
      <c r="AE537" s="324" t="e">
        <f t="shared" ca="1" si="237"/>
        <v>#N/A</v>
      </c>
      <c r="AG537" s="306">
        <f t="shared" ca="1" si="259"/>
        <v>2.6698935809366908</v>
      </c>
      <c r="AH537" s="304">
        <f t="shared" ca="1" si="260"/>
        <v>-7.0839471972187109</v>
      </c>
    </row>
    <row r="538" spans="1:34" x14ac:dyDescent="0.2">
      <c r="A538" s="347">
        <f t="shared" ca="1" si="238"/>
        <v>0.1</v>
      </c>
      <c r="B538" s="304">
        <f t="shared" ca="1" si="239"/>
        <v>35.400000000000233</v>
      </c>
      <c r="D538" s="306">
        <f t="shared" ca="1" si="240"/>
        <v>-0.75522531262486492</v>
      </c>
      <c r="E538" s="307">
        <f t="shared" ca="1" si="241"/>
        <v>-2.7273905116890802</v>
      </c>
      <c r="F538" s="304">
        <f t="shared" ca="1" si="242"/>
        <v>2.8300219568195839</v>
      </c>
      <c r="G538" s="306">
        <f t="shared" ca="1" si="243"/>
        <v>13.422664682729925</v>
      </c>
      <c r="H538" s="307">
        <f t="shared" ca="1" si="244"/>
        <v>-126.86064234130571</v>
      </c>
      <c r="I538" s="304">
        <f t="shared" ca="1" si="245"/>
        <v>127.56876773894813</v>
      </c>
      <c r="J538" s="306">
        <f t="shared" ca="1" si="246"/>
        <v>873.02920586072969</v>
      </c>
      <c r="K538" s="307">
        <f t="shared" ca="1" si="247"/>
        <v>160.14757936501633</v>
      </c>
      <c r="L538" s="304">
        <f t="shared" ca="1" si="232"/>
        <v>887.59632799054009</v>
      </c>
      <c r="M538" s="306">
        <f t="shared" ca="1" si="248"/>
        <v>-1.465382154563847</v>
      </c>
      <c r="N538" s="304">
        <f t="shared" ca="1" si="249"/>
        <v>-83.960212830295703</v>
      </c>
      <c r="P538" s="310">
        <f t="shared" ca="1" si="250"/>
        <v>23</v>
      </c>
      <c r="Q538" s="304">
        <f t="shared" ca="1" si="251"/>
        <v>0</v>
      </c>
      <c r="R538" s="306">
        <f t="shared" ca="1" si="252"/>
        <v>0</v>
      </c>
      <c r="S538" s="307">
        <f t="shared" ca="1" si="253"/>
        <v>7.150000000000003</v>
      </c>
      <c r="T538" s="304">
        <f t="shared" ca="1" si="233"/>
        <v>70.141500000000036</v>
      </c>
      <c r="U538" s="311">
        <f t="shared" ca="1" si="234"/>
        <v>0</v>
      </c>
      <c r="V538" s="306">
        <f t="shared" ca="1" si="235"/>
        <v>1.2055377630347364</v>
      </c>
      <c r="W538" s="304">
        <f t="shared" ca="1" si="236"/>
        <v>51.203420493495948</v>
      </c>
      <c r="Y538" s="314" t="str">
        <f t="shared" ca="1" si="254"/>
        <v/>
      </c>
      <c r="Z538" s="315" t="str">
        <f t="shared" ca="1" si="255"/>
        <v/>
      </c>
      <c r="AA538" s="316" t="str">
        <f t="shared" ca="1" si="256"/>
        <v/>
      </c>
      <c r="AC538" s="310" t="e">
        <f t="shared" ca="1" si="257"/>
        <v>#N/A</v>
      </c>
      <c r="AD538" s="323" t="e">
        <f t="shared" ca="1" si="258"/>
        <v>#N/A</v>
      </c>
      <c r="AE538" s="324" t="e">
        <f t="shared" ca="1" si="237"/>
        <v>#N/A</v>
      </c>
      <c r="AG538" s="306">
        <f t="shared" ca="1" si="259"/>
        <v>2.6319396342265016</v>
      </c>
      <c r="AH538" s="304">
        <f t="shared" ca="1" si="260"/>
        <v>-7.1227608717927069</v>
      </c>
    </row>
    <row r="539" spans="1:34" x14ac:dyDescent="0.2">
      <c r="A539" s="347">
        <f t="shared" ca="1" si="238"/>
        <v>0.1</v>
      </c>
      <c r="B539" s="304">
        <f t="shared" ca="1" si="239"/>
        <v>35.500000000000234</v>
      </c>
      <c r="D539" s="306">
        <f t="shared" ca="1" si="240"/>
        <v>-0.75350703690691845</v>
      </c>
      <c r="E539" s="307">
        <f t="shared" ca="1" si="241"/>
        <v>-2.6884344263851352</v>
      </c>
      <c r="F539" s="304">
        <f t="shared" ca="1" si="242"/>
        <v>2.7920337604765839</v>
      </c>
      <c r="G539" s="306">
        <f t="shared" ca="1" si="243"/>
        <v>13.347313979039233</v>
      </c>
      <c r="H539" s="307">
        <f t="shared" ca="1" si="244"/>
        <v>-127.12948578394422</v>
      </c>
      <c r="I539" s="304">
        <f t="shared" ca="1" si="245"/>
        <v>127.82823219518109</v>
      </c>
      <c r="J539" s="306">
        <f t="shared" ca="1" si="246"/>
        <v>874.36770479381812</v>
      </c>
      <c r="K539" s="307">
        <f t="shared" ca="1" si="247"/>
        <v>147.44807295875384</v>
      </c>
      <c r="L539" s="304">
        <f t="shared" ca="1" si="232"/>
        <v>886.71292840786953</v>
      </c>
      <c r="M539" s="306">
        <f t="shared" ca="1" si="248"/>
        <v>-1.4661896436334085</v>
      </c>
      <c r="N539" s="304">
        <f t="shared" ca="1" si="249"/>
        <v>-84.006478545984521</v>
      </c>
      <c r="P539" s="310">
        <f t="shared" ca="1" si="250"/>
        <v>23</v>
      </c>
      <c r="Q539" s="304">
        <f t="shared" ca="1" si="251"/>
        <v>0</v>
      </c>
      <c r="R539" s="306">
        <f t="shared" ca="1" si="252"/>
        <v>0</v>
      </c>
      <c r="S539" s="307">
        <f t="shared" ca="1" si="253"/>
        <v>7.150000000000003</v>
      </c>
      <c r="T539" s="304">
        <f t="shared" ca="1" si="233"/>
        <v>70.141500000000036</v>
      </c>
      <c r="U539" s="311">
        <f t="shared" ca="1" si="234"/>
        <v>0</v>
      </c>
      <c r="V539" s="306">
        <f t="shared" ca="1" si="235"/>
        <v>1.2070697997363846</v>
      </c>
      <c r="W539" s="304">
        <f t="shared" ca="1" si="236"/>
        <v>51.477255408773892</v>
      </c>
      <c r="Y539" s="314" t="str">
        <f t="shared" ca="1" si="254"/>
        <v/>
      </c>
      <c r="Z539" s="315" t="str">
        <f t="shared" ca="1" si="255"/>
        <v/>
      </c>
      <c r="AA539" s="316" t="str">
        <f t="shared" ca="1" si="256"/>
        <v/>
      </c>
      <c r="AC539" s="310" t="e">
        <f t="shared" ca="1" si="257"/>
        <v>#N/A</v>
      </c>
      <c r="AD539" s="323" t="e">
        <f t="shared" ca="1" si="258"/>
        <v>#N/A</v>
      </c>
      <c r="AE539" s="324" t="e">
        <f t="shared" ca="1" si="237"/>
        <v>#N/A</v>
      </c>
      <c r="AG539" s="306">
        <f t="shared" ca="1" si="259"/>
        <v>2.594227817646142</v>
      </c>
      <c r="AH539" s="304">
        <f t="shared" ca="1" si="260"/>
        <v>-7.1613175515378922</v>
      </c>
    </row>
    <row r="540" spans="1:34" x14ac:dyDescent="0.2">
      <c r="A540" s="347">
        <f t="shared" ca="1" si="238"/>
        <v>0.1</v>
      </c>
      <c r="B540" s="304">
        <f t="shared" ca="1" si="239"/>
        <v>35.600000000000236</v>
      </c>
      <c r="D540" s="306">
        <f t="shared" ca="1" si="240"/>
        <v>-0.75175519142689895</v>
      </c>
      <c r="E540" s="307">
        <f t="shared" ca="1" si="241"/>
        <v>-2.6497390612375842</v>
      </c>
      <c r="F540" s="304">
        <f t="shared" ca="1" si="242"/>
        <v>2.7543153342501521</v>
      </c>
      <c r="G540" s="306">
        <f t="shared" ca="1" si="243"/>
        <v>13.272138459896544</v>
      </c>
      <c r="H540" s="307">
        <f t="shared" ca="1" si="244"/>
        <v>-127.39445969006798</v>
      </c>
      <c r="I540" s="304">
        <f t="shared" ca="1" si="245"/>
        <v>128.08394910769664</v>
      </c>
      <c r="J540" s="306">
        <f t="shared" ca="1" si="246"/>
        <v>875.69867741576491</v>
      </c>
      <c r="K540" s="307">
        <f t="shared" ca="1" si="247"/>
        <v>134.72187568505322</v>
      </c>
      <c r="L540" s="304">
        <f t="shared" ca="1" si="232"/>
        <v>886.00121750244716</v>
      </c>
      <c r="M540" s="306">
        <f t="shared" ca="1" si="248"/>
        <v>-1.4669893700433341</v>
      </c>
      <c r="N540" s="304">
        <f t="shared" ca="1" si="249"/>
        <v>-84.052299494038408</v>
      </c>
      <c r="P540" s="310">
        <f t="shared" ca="1" si="250"/>
        <v>23</v>
      </c>
      <c r="Q540" s="304">
        <f t="shared" ca="1" si="251"/>
        <v>0</v>
      </c>
      <c r="R540" s="306">
        <f t="shared" ca="1" si="252"/>
        <v>0</v>
      </c>
      <c r="S540" s="307">
        <f t="shared" ca="1" si="253"/>
        <v>7.150000000000003</v>
      </c>
      <c r="T540" s="304">
        <f t="shared" ca="1" si="233"/>
        <v>70.141500000000036</v>
      </c>
      <c r="U540" s="311">
        <f t="shared" ca="1" si="234"/>
        <v>0</v>
      </c>
      <c r="V540" s="306">
        <f t="shared" ca="1" si="235"/>
        <v>1.2086069950473479</v>
      </c>
      <c r="W540" s="304">
        <f t="shared" ca="1" si="236"/>
        <v>51.749237610846919</v>
      </c>
      <c r="Y540" s="314" t="str">
        <f t="shared" ca="1" si="254"/>
        <v/>
      </c>
      <c r="Z540" s="315" t="str">
        <f t="shared" ca="1" si="255"/>
        <v/>
      </c>
      <c r="AA540" s="316" t="str">
        <f t="shared" ca="1" si="256"/>
        <v/>
      </c>
      <c r="AC540" s="310" t="e">
        <f t="shared" ca="1" si="257"/>
        <v>#N/A</v>
      </c>
      <c r="AD540" s="323" t="e">
        <f t="shared" ca="1" si="258"/>
        <v>#N/A</v>
      </c>
      <c r="AE540" s="324" t="e">
        <f t="shared" ca="1" si="237"/>
        <v>#N/A</v>
      </c>
      <c r="AG540" s="306">
        <f t="shared" ca="1" si="259"/>
        <v>2.5567595368321037</v>
      </c>
      <c r="AH540" s="304">
        <f t="shared" ca="1" si="260"/>
        <v>-7.1996161410872546</v>
      </c>
    </row>
    <row r="541" spans="1:34" x14ac:dyDescent="0.2">
      <c r="A541" s="347">
        <f t="shared" ca="1" si="238"/>
        <v>0.1</v>
      </c>
      <c r="B541" s="304">
        <f t="shared" ca="1" si="239"/>
        <v>35.700000000000237</v>
      </c>
      <c r="D541" s="306">
        <f t="shared" ca="1" si="240"/>
        <v>-0.74997037528086652</v>
      </c>
      <c r="E541" s="307">
        <f t="shared" ca="1" si="241"/>
        <v>-2.6113054541921752</v>
      </c>
      <c r="F541" s="304">
        <f t="shared" ca="1" si="242"/>
        <v>2.716868001742581</v>
      </c>
      <c r="G541" s="306">
        <f t="shared" ca="1" si="243"/>
        <v>13.197141422368457</v>
      </c>
      <c r="H541" s="307">
        <f t="shared" ca="1" si="244"/>
        <v>-127.6555902354872</v>
      </c>
      <c r="I541" s="304">
        <f t="shared" ca="1" si="245"/>
        <v>128.3359429781564</v>
      </c>
      <c r="J541" s="306">
        <f t="shared" ca="1" si="246"/>
        <v>877.02214140987815</v>
      </c>
      <c r="K541" s="307">
        <f t="shared" ca="1" si="247"/>
        <v>121.96937318877546</v>
      </c>
      <c r="L541" s="304">
        <f t="shared" ca="1" si="232"/>
        <v>885.46279680132864</v>
      </c>
      <c r="M541" s="306">
        <f t="shared" ca="1" si="248"/>
        <v>-1.4677814462017227</v>
      </c>
      <c r="N541" s="304">
        <f t="shared" ca="1" si="249"/>
        <v>-84.097682114967</v>
      </c>
      <c r="P541" s="310">
        <f t="shared" ca="1" si="250"/>
        <v>23</v>
      </c>
      <c r="Q541" s="304">
        <f t="shared" ca="1" si="251"/>
        <v>0</v>
      </c>
      <c r="R541" s="306">
        <f t="shared" ca="1" si="252"/>
        <v>0</v>
      </c>
      <c r="S541" s="307">
        <f t="shared" ca="1" si="253"/>
        <v>7.150000000000003</v>
      </c>
      <c r="T541" s="304">
        <f t="shared" ca="1" si="233"/>
        <v>70.141500000000036</v>
      </c>
      <c r="U541" s="311">
        <f t="shared" ca="1" si="234"/>
        <v>0</v>
      </c>
      <c r="V541" s="306">
        <f t="shared" ca="1" si="235"/>
        <v>1.2101493182018923</v>
      </c>
      <c r="W541" s="304">
        <f t="shared" ca="1" si="236"/>
        <v>52.019360188799538</v>
      </c>
      <c r="Y541" s="314" t="str">
        <f t="shared" ca="1" si="254"/>
        <v/>
      </c>
      <c r="Z541" s="315" t="str">
        <f t="shared" ca="1" si="255"/>
        <v/>
      </c>
      <c r="AA541" s="316" t="str">
        <f t="shared" ca="1" si="256"/>
        <v/>
      </c>
      <c r="AC541" s="310" t="e">
        <f t="shared" ca="1" si="257"/>
        <v>#N/A</v>
      </c>
      <c r="AD541" s="323" t="e">
        <f t="shared" ca="1" si="258"/>
        <v>#N/A</v>
      </c>
      <c r="AE541" s="324" t="e">
        <f t="shared" ca="1" si="237"/>
        <v>#N/A</v>
      </c>
      <c r="AG541" s="306">
        <f t="shared" ca="1" si="259"/>
        <v>2.5195361246212524</v>
      </c>
      <c r="AH541" s="304">
        <f t="shared" ca="1" si="260"/>
        <v>-7.2376556099086571</v>
      </c>
    </row>
    <row r="542" spans="1:34" x14ac:dyDescent="0.2">
      <c r="A542" s="347">
        <f t="shared" ca="1" si="238"/>
        <v>0.1</v>
      </c>
      <c r="B542" s="304">
        <f t="shared" ca="1" si="239"/>
        <v>35.800000000000239</v>
      </c>
      <c r="D542" s="306">
        <f t="shared" ca="1" si="240"/>
        <v>-0.74815318501715944</v>
      </c>
      <c r="E542" s="307">
        <f t="shared" ca="1" si="241"/>
        <v>-2.5731345786711364</v>
      </c>
      <c r="F542" s="304">
        <f t="shared" ca="1" si="242"/>
        <v>2.679693032458085</v>
      </c>
      <c r="G542" s="306">
        <f t="shared" ca="1" si="243"/>
        <v>13.12232610386674</v>
      </c>
      <c r="H542" s="307">
        <f t="shared" ca="1" si="244"/>
        <v>-127.91290369335431</v>
      </c>
      <c r="I542" s="304">
        <f t="shared" ca="1" si="245"/>
        <v>128.58423843396031</v>
      </c>
      <c r="J542" s="306">
        <f t="shared" ca="1" si="246"/>
        <v>878.33811478618986</v>
      </c>
      <c r="K542" s="307">
        <f t="shared" ca="1" si="247"/>
        <v>109.19094849233339</v>
      </c>
      <c r="L542" s="304">
        <f t="shared" ca="1" si="232"/>
        <v>885.09915101010768</v>
      </c>
      <c r="M542" s="306">
        <f t="shared" ca="1" si="248"/>
        <v>-1.4685659822066335</v>
      </c>
      <c r="N542" s="304">
        <f t="shared" ca="1" si="249"/>
        <v>-84.142632716924453</v>
      </c>
      <c r="P542" s="310">
        <f t="shared" ca="1" si="250"/>
        <v>23</v>
      </c>
      <c r="Q542" s="304">
        <f t="shared" ca="1" si="251"/>
        <v>0</v>
      </c>
      <c r="R542" s="306">
        <f t="shared" ca="1" si="252"/>
        <v>0</v>
      </c>
      <c r="S542" s="307">
        <f t="shared" ca="1" si="253"/>
        <v>7.150000000000003</v>
      </c>
      <c r="T542" s="304">
        <f t="shared" ca="1" si="233"/>
        <v>70.141500000000036</v>
      </c>
      <c r="U542" s="311">
        <f t="shared" ca="1" si="234"/>
        <v>0</v>
      </c>
      <c r="V542" s="306">
        <f t="shared" ca="1" si="235"/>
        <v>1.2116967385962252</v>
      </c>
      <c r="W542" s="304">
        <f t="shared" ca="1" si="236"/>
        <v>52.287616682882522</v>
      </c>
      <c r="Y542" s="314" t="str">
        <f t="shared" ca="1" si="254"/>
        <v/>
      </c>
      <c r="Z542" s="315" t="str">
        <f t="shared" ca="1" si="255"/>
        <v/>
      </c>
      <c r="AA542" s="316" t="str">
        <f t="shared" ca="1" si="256"/>
        <v/>
      </c>
      <c r="AC542" s="310" t="e">
        <f t="shared" ca="1" si="257"/>
        <v>#N/A</v>
      </c>
      <c r="AD542" s="323" t="e">
        <f t="shared" ca="1" si="258"/>
        <v>#N/A</v>
      </c>
      <c r="AE542" s="324" t="e">
        <f t="shared" ca="1" si="237"/>
        <v>#N/A</v>
      </c>
      <c r="AG542" s="306">
        <f t="shared" ca="1" si="259"/>
        <v>2.4825588421598068</v>
      </c>
      <c r="AH542" s="304">
        <f t="shared" ca="1" si="260"/>
        <v>-7.2754349914404921</v>
      </c>
    </row>
    <row r="543" spans="1:34" x14ac:dyDescent="0.2">
      <c r="A543" s="347">
        <f t="shared" ca="1" si="238"/>
        <v>0.1</v>
      </c>
      <c r="B543" s="304">
        <f t="shared" ca="1" si="239"/>
        <v>35.90000000000024</v>
      </c>
      <c r="D543" s="306">
        <f t="shared" ca="1" si="240"/>
        <v>-0.74630421451824558</v>
      </c>
      <c r="E543" s="307">
        <f t="shared" ca="1" si="241"/>
        <v>-2.5352273444502291</v>
      </c>
      <c r="F543" s="304">
        <f t="shared" ca="1" si="242"/>
        <v>2.6427916430653129</v>
      </c>
      <c r="G543" s="306">
        <f t="shared" ca="1" si="243"/>
        <v>13.047695682414915</v>
      </c>
      <c r="H543" s="307">
        <f t="shared" ca="1" si="244"/>
        <v>-128.16642642779934</v>
      </c>
      <c r="I543" s="304">
        <f t="shared" ca="1" si="245"/>
        <v>128.8288602211997</v>
      </c>
      <c r="J543" s="306">
        <f t="shared" ca="1" si="246"/>
        <v>879.64661587550393</v>
      </c>
      <c r="K543" s="307">
        <f t="shared" ca="1" si="247"/>
        <v>96.386981986275714</v>
      </c>
      <c r="L543" s="304">
        <f t="shared" ca="1" si="232"/>
        <v>884.91164480847965</v>
      </c>
      <c r="M543" s="306">
        <f t="shared" ca="1" si="248"/>
        <v>-1.4693430859049412</v>
      </c>
      <c r="N543" s="304">
        <f t="shared" ca="1" si="249"/>
        <v>-84.187157479081492</v>
      </c>
      <c r="P543" s="310">
        <f t="shared" ca="1" si="250"/>
        <v>23</v>
      </c>
      <c r="Q543" s="304">
        <f t="shared" ca="1" si="251"/>
        <v>0</v>
      </c>
      <c r="R543" s="306">
        <f t="shared" ca="1" si="252"/>
        <v>0</v>
      </c>
      <c r="S543" s="307">
        <f t="shared" ca="1" si="253"/>
        <v>7.150000000000003</v>
      </c>
      <c r="T543" s="304">
        <f t="shared" ca="1" si="233"/>
        <v>70.141500000000036</v>
      </c>
      <c r="U543" s="311">
        <f t="shared" ca="1" si="234"/>
        <v>0</v>
      </c>
      <c r="V543" s="306">
        <f t="shared" ca="1" si="235"/>
        <v>1.2132492257897878</v>
      </c>
      <c r="W543" s="304">
        <f t="shared" ca="1" si="236"/>
        <v>52.554001078250607</v>
      </c>
      <c r="Y543" s="314" t="str">
        <f t="shared" ca="1" si="254"/>
        <v/>
      </c>
      <c r="Z543" s="315" t="str">
        <f t="shared" ca="1" si="255"/>
        <v/>
      </c>
      <c r="AA543" s="316" t="str">
        <f t="shared" ca="1" si="256"/>
        <v/>
      </c>
      <c r="AC543" s="310" t="e">
        <f t="shared" ca="1" si="257"/>
        <v>#N/A</v>
      </c>
      <c r="AD543" s="323" t="e">
        <f t="shared" ca="1" si="258"/>
        <v>#N/A</v>
      </c>
      <c r="AE543" s="324" t="e">
        <f t="shared" ca="1" si="237"/>
        <v>#N/A</v>
      </c>
      <c r="AG543" s="306">
        <f t="shared" ca="1" si="259"/>
        <v>2.4458288800096124</v>
      </c>
      <c r="AH543" s="304">
        <f t="shared" ca="1" si="260"/>
        <v>-7.3129533822213286</v>
      </c>
    </row>
    <row r="544" spans="1:34" x14ac:dyDescent="0.2">
      <c r="A544" s="347">
        <f t="shared" ca="1" si="238"/>
        <v>0.1</v>
      </c>
      <c r="B544" s="304">
        <f t="shared" ca="1" si="239"/>
        <v>36.000000000000242</v>
      </c>
      <c r="D544" s="306">
        <f t="shared" ca="1" si="240"/>
        <v>-0.74442405488604113</v>
      </c>
      <c r="E544" s="307">
        <f t="shared" ca="1" si="241"/>
        <v>-2.4975845985413923</v>
      </c>
      <c r="F544" s="304">
        <f t="shared" ca="1" si="242"/>
        <v>2.6061649986837256</v>
      </c>
      <c r="G544" s="306">
        <f t="shared" ca="1" si="243"/>
        <v>12.973253276926311</v>
      </c>
      <c r="H544" s="307">
        <f t="shared" ca="1" si="244"/>
        <v>-128.41618488765349</v>
      </c>
      <c r="I544" s="304">
        <f t="shared" ca="1" si="245"/>
        <v>129.06983319772007</v>
      </c>
      <c r="J544" s="306">
        <f t="shared" ca="1" si="246"/>
        <v>880.94766332347103</v>
      </c>
      <c r="K544" s="307">
        <f t="shared" ca="1" si="247"/>
        <v>83.55785142050307</v>
      </c>
      <c r="L544" s="304">
        <f t="shared" ca="1" si="232"/>
        <v>884.90151997219141</v>
      </c>
      <c r="M544" s="306">
        <f t="shared" ca="1" si="248"/>
        <v>-1.4701128629494298</v>
      </c>
      <c r="N544" s="304">
        <f t="shared" ca="1" si="249"/>
        <v>-84.231262454896736</v>
      </c>
      <c r="P544" s="310">
        <f t="shared" ca="1" si="250"/>
        <v>23</v>
      </c>
      <c r="Q544" s="304">
        <f t="shared" ca="1" si="251"/>
        <v>0</v>
      </c>
      <c r="R544" s="306">
        <f t="shared" ca="1" si="252"/>
        <v>0</v>
      </c>
      <c r="S544" s="307">
        <f t="shared" ca="1" si="253"/>
        <v>7.150000000000003</v>
      </c>
      <c r="T544" s="304">
        <f t="shared" ca="1" si="233"/>
        <v>70.141500000000036</v>
      </c>
      <c r="U544" s="311">
        <f t="shared" ca="1" si="234"/>
        <v>0</v>
      </c>
      <c r="V544" s="306">
        <f t="shared" ca="1" si="235"/>
        <v>1.2148067495064996</v>
      </c>
      <c r="W544" s="304">
        <f t="shared" ca="1" si="236"/>
        <v>52.818507798664413</v>
      </c>
      <c r="Y544" s="314" t="str">
        <f t="shared" ca="1" si="254"/>
        <v/>
      </c>
      <c r="Z544" s="315" t="str">
        <f t="shared" ca="1" si="255"/>
        <v/>
      </c>
      <c r="AA544" s="316" t="str">
        <f t="shared" ca="1" si="256"/>
        <v/>
      </c>
      <c r="AC544" s="310">
        <f t="shared" ca="1" si="257"/>
        <v>36.000000000000242</v>
      </c>
      <c r="AD544" s="323">
        <f t="shared" ca="1" si="258"/>
        <v>880.94766332347103</v>
      </c>
      <c r="AE544" s="324" t="e">
        <f t="shared" ca="1" si="237"/>
        <v>#N/A</v>
      </c>
      <c r="AG544" s="306">
        <f t="shared" ca="1" si="259"/>
        <v>2.4093473592515746</v>
      </c>
      <c r="AH544" s="304">
        <f t="shared" ca="1" si="260"/>
        <v>-7.350209941014068</v>
      </c>
    </row>
    <row r="545" spans="1:34" x14ac:dyDescent="0.2">
      <c r="A545" s="347">
        <f t="shared" ca="1" si="238"/>
        <v>0.1</v>
      </c>
      <c r="B545" s="304">
        <f t="shared" ca="1" si="239"/>
        <v>36.100000000000243</v>
      </c>
      <c r="D545" s="306">
        <f t="shared" ca="1" si="240"/>
        <v>-0.74251329433065194</v>
      </c>
      <c r="E545" s="307">
        <f t="shared" ca="1" si="241"/>
        <v>-2.4602071260805047</v>
      </c>
      <c r="F545" s="304">
        <f t="shared" ca="1" si="242"/>
        <v>2.5698142141942975</v>
      </c>
      <c r="G545" s="306">
        <f t="shared" ca="1" si="243"/>
        <v>12.899001947493245</v>
      </c>
      <c r="H545" s="307">
        <f t="shared" ca="1" si="244"/>
        <v>-128.66220560026153</v>
      </c>
      <c r="I545" s="304">
        <f t="shared" ca="1" si="245"/>
        <v>129.30718232629386</v>
      </c>
      <c r="J545" s="306">
        <f t="shared" ca="1" si="246"/>
        <v>882.241276084692</v>
      </c>
      <c r="K545" s="307">
        <f t="shared" ca="1" si="247"/>
        <v>70.703931896107321</v>
      </c>
      <c r="L545" s="304">
        <f t="shared" ca="1" si="232"/>
        <v>885.06989284073779</v>
      </c>
      <c r="M545" s="306">
        <f t="shared" ca="1" si="248"/>
        <v>-1.4708754168541827</v>
      </c>
      <c r="N545" s="304">
        <f t="shared" ca="1" si="249"/>
        <v>-84.274953575290297</v>
      </c>
      <c r="P545" s="310">
        <f t="shared" ca="1" si="250"/>
        <v>23</v>
      </c>
      <c r="Q545" s="304">
        <f t="shared" ca="1" si="251"/>
        <v>0</v>
      </c>
      <c r="R545" s="306">
        <f t="shared" ca="1" si="252"/>
        <v>0</v>
      </c>
      <c r="S545" s="307">
        <f t="shared" ca="1" si="253"/>
        <v>7.150000000000003</v>
      </c>
      <c r="T545" s="304">
        <f t="shared" ca="1" si="233"/>
        <v>70.141500000000036</v>
      </c>
      <c r="U545" s="311">
        <f t="shared" ca="1" si="234"/>
        <v>0</v>
      </c>
      <c r="V545" s="306">
        <f t="shared" ca="1" si="235"/>
        <v>1.2163692796359686</v>
      </c>
      <c r="W545" s="304">
        <f t="shared" ca="1" si="236"/>
        <v>53.081131700161322</v>
      </c>
      <c r="Y545" s="314" t="str">
        <f t="shared" ca="1" si="254"/>
        <v/>
      </c>
      <c r="Z545" s="315" t="str">
        <f t="shared" ca="1" si="255"/>
        <v/>
      </c>
      <c r="AA545" s="316" t="str">
        <f t="shared" ca="1" si="256"/>
        <v/>
      </c>
      <c r="AC545" s="310" t="e">
        <f t="shared" ca="1" si="257"/>
        <v>#N/A</v>
      </c>
      <c r="AD545" s="323" t="e">
        <f t="shared" ca="1" si="258"/>
        <v>#N/A</v>
      </c>
      <c r="AE545" s="324" t="e">
        <f t="shared" ca="1" si="237"/>
        <v>#N/A</v>
      </c>
      <c r="AG545" s="306">
        <f t="shared" ca="1" si="259"/>
        <v>2.3731153325861047</v>
      </c>
      <c r="AH545" s="304">
        <f t="shared" ca="1" si="260"/>
        <v>-7.3872038879250894</v>
      </c>
    </row>
    <row r="546" spans="1:34" x14ac:dyDescent="0.2">
      <c r="A546" s="347">
        <f t="shared" ca="1" si="238"/>
        <v>0.1</v>
      </c>
      <c r="B546" s="304">
        <f t="shared" ca="1" si="239"/>
        <v>36.200000000000244</v>
      </c>
      <c r="D546" s="306">
        <f t="shared" ca="1" si="240"/>
        <v>-0.7405725180625341</v>
      </c>
      <c r="E546" s="307">
        <f t="shared" ca="1" si="241"/>
        <v>-2.4230956512195618</v>
      </c>
      <c r="F546" s="304">
        <f t="shared" ca="1" si="242"/>
        <v>2.5337403555748632</v>
      </c>
      <c r="G546" s="306">
        <f t="shared" ca="1" si="243"/>
        <v>12.824944695686991</v>
      </c>
      <c r="H546" s="307">
        <f t="shared" ca="1" si="244"/>
        <v>-128.90451516538349</v>
      </c>
      <c r="I546" s="304">
        <f t="shared" ca="1" si="245"/>
        <v>129.54093266790235</v>
      </c>
      <c r="J546" s="306">
        <f t="shared" ca="1" si="246"/>
        <v>883.52747341685097</v>
      </c>
      <c r="K546" s="307">
        <f t="shared" ca="1" si="247"/>
        <v>57.825595857825071</v>
      </c>
      <c r="L546" s="304">
        <f t="shared" ca="1" si="232"/>
        <v>885.41775214792074</v>
      </c>
      <c r="M546" s="306">
        <f t="shared" ca="1" si="248"/>
        <v>-1.4716308490483316</v>
      </c>
      <c r="N546" s="304">
        <f t="shared" ca="1" si="249"/>
        <v>-84.318236651723339</v>
      </c>
      <c r="P546" s="310">
        <f t="shared" ca="1" si="250"/>
        <v>23</v>
      </c>
      <c r="Q546" s="304">
        <f t="shared" ca="1" si="251"/>
        <v>0</v>
      </c>
      <c r="R546" s="306">
        <f t="shared" ca="1" si="252"/>
        <v>0</v>
      </c>
      <c r="S546" s="307">
        <f t="shared" ca="1" si="253"/>
        <v>7.150000000000003</v>
      </c>
      <c r="T546" s="304">
        <f t="shared" ca="1" si="233"/>
        <v>70.141500000000036</v>
      </c>
      <c r="U546" s="311">
        <f t="shared" ca="1" si="234"/>
        <v>0</v>
      </c>
      <c r="V546" s="306">
        <f t="shared" ca="1" si="235"/>
        <v>1.2179367862346491</v>
      </c>
      <c r="W546" s="304">
        <f t="shared" ca="1" si="236"/>
        <v>53.3418680646976</v>
      </c>
      <c r="Y546" s="314" t="str">
        <f t="shared" ca="1" si="254"/>
        <v/>
      </c>
      <c r="Z546" s="315" t="str">
        <f t="shared" ca="1" si="255"/>
        <v/>
      </c>
      <c r="AA546" s="316" t="str">
        <f t="shared" ca="1" si="256"/>
        <v/>
      </c>
      <c r="AC546" s="310" t="e">
        <f t="shared" ca="1" si="257"/>
        <v>#N/A</v>
      </c>
      <c r="AD546" s="323" t="e">
        <f t="shared" ca="1" si="258"/>
        <v>#N/A</v>
      </c>
      <c r="AE546" s="324" t="e">
        <f t="shared" ca="1" si="237"/>
        <v>#N/A</v>
      </c>
      <c r="AG546" s="306">
        <f t="shared" ca="1" si="259"/>
        <v>2.3371337854301855</v>
      </c>
      <c r="AH546" s="304">
        <f t="shared" ca="1" si="260"/>
        <v>-7.4239345035190629</v>
      </c>
    </row>
    <row r="547" spans="1:34" x14ac:dyDescent="0.2">
      <c r="A547" s="347">
        <f t="shared" ca="1" si="238"/>
        <v>0.1</v>
      </c>
      <c r="B547" s="304">
        <f t="shared" ca="1" si="239"/>
        <v>36.300000000000246</v>
      </c>
      <c r="D547" s="306">
        <f t="shared" ca="1" si="240"/>
        <v>-0.73860230818800487</v>
      </c>
      <c r="E547" s="307">
        <f t="shared" ca="1" si="241"/>
        <v>-2.3862508380229777</v>
      </c>
      <c r="F547" s="304">
        <f t="shared" ca="1" si="242"/>
        <v>2.4979444412608562</v>
      </c>
      <c r="G547" s="306">
        <f t="shared" ca="1" si="243"/>
        <v>12.751084464868191</v>
      </c>
      <c r="H547" s="307">
        <f t="shared" ca="1" si="244"/>
        <v>-129.14314024918579</v>
      </c>
      <c r="I547" s="304">
        <f t="shared" ca="1" si="245"/>
        <v>129.7711093751266</v>
      </c>
      <c r="J547" s="306">
        <f t="shared" ca="1" si="246"/>
        <v>884.80627487487868</v>
      </c>
      <c r="K547" s="307">
        <f t="shared" ca="1" si="247"/>
        <v>44.923213087096606</v>
      </c>
      <c r="L547" s="304">
        <f t="shared" ca="1" si="232"/>
        <v>885.94595722991369</v>
      </c>
      <c r="M547" s="306">
        <f t="shared" ca="1" si="248"/>
        <v>-1.4723792589282161</v>
      </c>
      <c r="N547" s="304">
        <f t="shared" ca="1" si="249"/>
        <v>-84.361117379186609</v>
      </c>
      <c r="P547" s="310">
        <f t="shared" ca="1" si="250"/>
        <v>23</v>
      </c>
      <c r="Q547" s="304">
        <f t="shared" ca="1" si="251"/>
        <v>0</v>
      </c>
      <c r="R547" s="306">
        <f t="shared" ca="1" si="252"/>
        <v>0</v>
      </c>
      <c r="S547" s="307">
        <f t="shared" ca="1" si="253"/>
        <v>7.150000000000003</v>
      </c>
      <c r="T547" s="304">
        <f t="shared" ca="1" si="233"/>
        <v>70.141500000000036</v>
      </c>
      <c r="U547" s="311">
        <f t="shared" ca="1" si="234"/>
        <v>0</v>
      </c>
      <c r="V547" s="306">
        <f t="shared" ca="1" si="235"/>
        <v>1.219509239526968</v>
      </c>
      <c r="W547" s="304">
        <f t="shared" ca="1" si="236"/>
        <v>53.600712593766708</v>
      </c>
      <c r="Y547" s="314" t="str">
        <f t="shared" ca="1" si="254"/>
        <v/>
      </c>
      <c r="Z547" s="315" t="str">
        <f t="shared" ca="1" si="255"/>
        <v/>
      </c>
      <c r="AA547" s="316" t="str">
        <f t="shared" ca="1" si="256"/>
        <v/>
      </c>
      <c r="AC547" s="310" t="e">
        <f t="shared" ca="1" si="257"/>
        <v>#N/A</v>
      </c>
      <c r="AD547" s="323" t="e">
        <f t="shared" ca="1" si="258"/>
        <v>#N/A</v>
      </c>
      <c r="AE547" s="324" t="e">
        <f t="shared" ca="1" si="237"/>
        <v>#N/A</v>
      </c>
      <c r="AG547" s="306">
        <f t="shared" ca="1" si="259"/>
        <v>2.3014036370111279</v>
      </c>
      <c r="AH547" s="304">
        <f t="shared" ca="1" si="260"/>
        <v>-7.4604011279297309</v>
      </c>
    </row>
    <row r="548" spans="1:34" x14ac:dyDescent="0.2">
      <c r="A548" s="347">
        <f t="shared" ca="1" si="238"/>
        <v>0.1</v>
      </c>
      <c r="B548" s="304">
        <f t="shared" ca="1" si="239"/>
        <v>36.400000000000247</v>
      </c>
      <c r="D548" s="306">
        <f t="shared" ca="1" si="240"/>
        <v>-0.73660324360811436</v>
      </c>
      <c r="E548" s="307">
        <f t="shared" ca="1" si="241"/>
        <v>-2.3496732913672789</v>
      </c>
      <c r="F548" s="304">
        <f t="shared" ca="1" si="242"/>
        <v>2.4624274435318365</v>
      </c>
      <c r="G548" s="306">
        <f t="shared" ca="1" si="243"/>
        <v>12.677424140507378</v>
      </c>
      <c r="H548" s="307">
        <f t="shared" ca="1" si="244"/>
        <v>-129.37810757832253</v>
      </c>
      <c r="I548" s="304">
        <f t="shared" ca="1" si="245"/>
        <v>129.99773768564711</v>
      </c>
      <c r="J548" s="306">
        <f t="shared" ca="1" si="246"/>
        <v>886.07770030514746</v>
      </c>
      <c r="K548" s="307">
        <f t="shared" ca="1" si="247"/>
        <v>31.997150695721189</v>
      </c>
      <c r="L548" s="304">
        <f t="shared" ca="1" si="232"/>
        <v>886.65523662283942</v>
      </c>
      <c r="M548" s="306">
        <f t="shared" ca="1" si="248"/>
        <v>-1.4731207439080103</v>
      </c>
      <c r="N548" s="304">
        <f t="shared" ca="1" si="249"/>
        <v>-84.403601339101172</v>
      </c>
      <c r="P548" s="310">
        <f t="shared" ca="1" si="250"/>
        <v>23</v>
      </c>
      <c r="Q548" s="304">
        <f t="shared" ca="1" si="251"/>
        <v>0</v>
      </c>
      <c r="R548" s="306">
        <f t="shared" ca="1" si="252"/>
        <v>0</v>
      </c>
      <c r="S548" s="307">
        <f t="shared" ca="1" si="253"/>
        <v>7.150000000000003</v>
      </c>
      <c r="T548" s="304">
        <f t="shared" ca="1" si="233"/>
        <v>70.141500000000036</v>
      </c>
      <c r="U548" s="311">
        <f t="shared" ca="1" si="234"/>
        <v>0</v>
      </c>
      <c r="V548" s="306">
        <f t="shared" ca="1" si="235"/>
        <v>1.2210866099064019</v>
      </c>
      <c r="W548" s="304">
        <f t="shared" ca="1" si="236"/>
        <v>53.857661401996339</v>
      </c>
      <c r="Y548" s="314" t="str">
        <f t="shared" ca="1" si="254"/>
        <v/>
      </c>
      <c r="Z548" s="315" t="str">
        <f t="shared" ca="1" si="255"/>
        <v/>
      </c>
      <c r="AA548" s="316" t="str">
        <f t="shared" ca="1" si="256"/>
        <v/>
      </c>
      <c r="AC548" s="310" t="e">
        <f t="shared" ca="1" si="257"/>
        <v>#N/A</v>
      </c>
      <c r="AD548" s="323" t="e">
        <f t="shared" ca="1" si="258"/>
        <v>#N/A</v>
      </c>
      <c r="AE548" s="324" t="e">
        <f t="shared" ca="1" si="237"/>
        <v>#N/A</v>
      </c>
      <c r="AG548" s="306">
        <f t="shared" ca="1" si="259"/>
        <v>2.2659257414565106</v>
      </c>
      <c r="AH548" s="304">
        <f t="shared" ca="1" si="260"/>
        <v>-7.4966031599673686</v>
      </c>
    </row>
    <row r="549" spans="1:34" x14ac:dyDescent="0.2">
      <c r="A549" s="347">
        <f t="shared" ca="1" si="238"/>
        <v>0.1</v>
      </c>
      <c r="B549" s="304">
        <f t="shared" ca="1" si="239"/>
        <v>36.500000000000249</v>
      </c>
      <c r="D549" s="306">
        <f t="shared" ca="1" si="240"/>
        <v>-0.73457589992080985</v>
      </c>
      <c r="E549" s="307">
        <f t="shared" ca="1" si="241"/>
        <v>-2.3133635578438616</v>
      </c>
      <c r="F549" s="304">
        <f t="shared" ca="1" si="242"/>
        <v>2.4271902899246438</v>
      </c>
      <c r="G549" s="306">
        <f t="shared" ca="1" si="243"/>
        <v>12.603966550515297</v>
      </c>
      <c r="H549" s="307">
        <f t="shared" ca="1" si="244"/>
        <v>-129.60944393410691</v>
      </c>
      <c r="I549" s="304">
        <f t="shared" ca="1" si="245"/>
        <v>130.22084291585165</v>
      </c>
      <c r="J549" s="306">
        <f t="shared" ca="1" si="246"/>
        <v>887.3417698396986</v>
      </c>
      <c r="K549" s="307">
        <f t="shared" ca="1" si="247"/>
        <v>19.047773120099716</v>
      </c>
      <c r="L549" s="304">
        <f t="shared" ca="1" si="232"/>
        <v>887.54618705906421</v>
      </c>
      <c r="M549" s="306">
        <f t="shared" ca="1" si="248"/>
        <v>-1.4738553994688695</v>
      </c>
      <c r="N549" s="304">
        <f t="shared" ca="1" si="249"/>
        <v>-84.445694002134218</v>
      </c>
      <c r="P549" s="310">
        <f t="shared" ca="1" si="250"/>
        <v>23</v>
      </c>
      <c r="Q549" s="304">
        <f t="shared" ca="1" si="251"/>
        <v>0</v>
      </c>
      <c r="R549" s="306">
        <f t="shared" ca="1" si="252"/>
        <v>0</v>
      </c>
      <c r="S549" s="307">
        <f t="shared" ca="1" si="253"/>
        <v>7.150000000000003</v>
      </c>
      <c r="T549" s="304">
        <f t="shared" ca="1" si="233"/>
        <v>70.141500000000036</v>
      </c>
      <c r="U549" s="311">
        <f t="shared" ca="1" si="234"/>
        <v>0</v>
      </c>
      <c r="V549" s="306">
        <f t="shared" ca="1" si="235"/>
        <v>1.2226688679365207</v>
      </c>
      <c r="W549" s="304">
        <f t="shared" ca="1" si="236"/>
        <v>54.112711010728255</v>
      </c>
      <c r="Y549" s="314" t="str">
        <f t="shared" ca="1" si="254"/>
        <v/>
      </c>
      <c r="Z549" s="315" t="str">
        <f t="shared" ca="1" si="255"/>
        <v/>
      </c>
      <c r="AA549" s="316" t="str">
        <f t="shared" ca="1" si="256"/>
        <v/>
      </c>
      <c r="AC549" s="310" t="e">
        <f t="shared" ca="1" si="257"/>
        <v>#N/A</v>
      </c>
      <c r="AD549" s="323" t="e">
        <f t="shared" ca="1" si="258"/>
        <v>#N/A</v>
      </c>
      <c r="AE549" s="324" t="e">
        <f t="shared" ca="1" si="237"/>
        <v>#N/A</v>
      </c>
      <c r="AG549" s="306">
        <f t="shared" ca="1" si="259"/>
        <v>2.2307008888803148</v>
      </c>
      <c r="AH549" s="304">
        <f t="shared" ca="1" si="260"/>
        <v>-7.5325400562232607</v>
      </c>
    </row>
    <row r="550" spans="1:34" x14ac:dyDescent="0.2">
      <c r="A550" s="347">
        <f t="shared" ca="1" si="238"/>
        <v>0.1</v>
      </c>
      <c r="B550" s="304">
        <f t="shared" ca="1" si="239"/>
        <v>36.60000000000025</v>
      </c>
      <c r="D550" s="306">
        <f t="shared" ca="1" si="240"/>
        <v>-0.73252084932637462</v>
      </c>
      <c r="E550" s="307">
        <f t="shared" ca="1" si="241"/>
        <v>-2.2773221266642052</v>
      </c>
      <c r="F550" s="304">
        <f t="shared" ca="1" si="242"/>
        <v>2.3922338646738139</v>
      </c>
      <c r="G550" s="306">
        <f t="shared" ca="1" si="243"/>
        <v>12.53071446558266</v>
      </c>
      <c r="H550" s="307">
        <f t="shared" ca="1" si="244"/>
        <v>-129.83717614677332</v>
      </c>
      <c r="I550" s="304">
        <f t="shared" ca="1" si="245"/>
        <v>130.44045045455113</v>
      </c>
      <c r="J550" s="306">
        <f t="shared" ca="1" si="246"/>
        <v>888.59850389050348</v>
      </c>
      <c r="K550" s="307">
        <f t="shared" ca="1" si="247"/>
        <v>6.0754421160557044</v>
      </c>
      <c r="L550" s="304">
        <f t="shared" ca="1" si="232"/>
        <v>888.61927286850278</v>
      </c>
      <c r="M550" s="306">
        <f t="shared" ca="1" si="248"/>
        <v>-1.4745833192066435</v>
      </c>
      <c r="N550" s="304">
        <f t="shared" ca="1" si="249"/>
        <v>-84.487400730932933</v>
      </c>
      <c r="P550" s="310">
        <f t="shared" ca="1" si="250"/>
        <v>23</v>
      </c>
      <c r="Q550" s="304">
        <f t="shared" ca="1" si="251"/>
        <v>0</v>
      </c>
      <c r="R550" s="306">
        <f t="shared" ca="1" si="252"/>
        <v>0</v>
      </c>
      <c r="S550" s="307">
        <f t="shared" ca="1" si="253"/>
        <v>7.150000000000003</v>
      </c>
      <c r="T550" s="304">
        <f t="shared" ca="1" si="233"/>
        <v>70.141500000000036</v>
      </c>
      <c r="U550" s="311">
        <f t="shared" ca="1" si="234"/>
        <v>0</v>
      </c>
      <c r="V550" s="306">
        <f t="shared" ca="1" si="235"/>
        <v>1.2242559843519834</v>
      </c>
      <c r="W550" s="304">
        <f t="shared" ca="1" si="236"/>
        <v>54.365858341583873</v>
      </c>
      <c r="Y550" s="314" t="str">
        <f t="shared" ca="1" si="254"/>
        <v/>
      </c>
      <c r="Z550" s="315" t="str">
        <f t="shared" ca="1" si="255"/>
        <v/>
      </c>
      <c r="AA550" s="316" t="str">
        <f t="shared" ca="1" si="256"/>
        <v/>
      </c>
      <c r="AC550" s="310" t="e">
        <f t="shared" ca="1" si="257"/>
        <v>#N/A</v>
      </c>
      <c r="AD550" s="323" t="e">
        <f t="shared" ca="1" si="258"/>
        <v>#N/A</v>
      </c>
      <c r="AE550" s="324" t="e">
        <f t="shared" ca="1" si="237"/>
        <v>#N/A</v>
      </c>
      <c r="AG550" s="306">
        <f t="shared" ca="1" si="259"/>
        <v>2.1957298064649136</v>
      </c>
      <c r="AH550" s="304">
        <f t="shared" ca="1" si="260"/>
        <v>-7.5682113301717804</v>
      </c>
    </row>
    <row r="551" spans="1:34" x14ac:dyDescent="0.2">
      <c r="A551" s="347">
        <f t="shared" ca="1" si="238"/>
        <v>0.1</v>
      </c>
      <c r="B551" s="304">
        <f t="shared" ca="1" si="239"/>
        <v>36.700000000000252</v>
      </c>
      <c r="D551" s="306">
        <f t="shared" ca="1" si="240"/>
        <v>-0.73043866053610573</v>
      </c>
      <c r="E551" s="307">
        <f t="shared" ca="1" si="241"/>
        <v>-2.2415494305671499</v>
      </c>
      <c r="F551" s="304">
        <f t="shared" ca="1" si="242"/>
        <v>2.357559010180168</v>
      </c>
      <c r="G551" s="306">
        <f t="shared" ca="1" si="243"/>
        <v>12.457670599529049</v>
      </c>
      <c r="H551" s="307">
        <f t="shared" ca="1" si="244"/>
        <v>-130.06133108983002</v>
      </c>
      <c r="I551" s="304">
        <f t="shared" ca="1" si="245"/>
        <v>130.65658575680277</v>
      </c>
      <c r="J551" s="306">
        <f t="shared" ca="1" si="246"/>
        <v>889.84792314375909</v>
      </c>
      <c r="K551" s="307">
        <f t="shared" ca="1" si="247"/>
        <v>-6.9194832457744635</v>
      </c>
      <c r="L551" s="304">
        <f t="shared" ca="1" si="232"/>
        <v>889.87482578823972</v>
      </c>
      <c r="M551" s="306">
        <f t="shared" ca="1" si="248"/>
        <v>-1.4753045948782082</v>
      </c>
      <c r="N551" s="304">
        <f t="shared" ca="1" si="249"/>
        <v>-84.52872678277906</v>
      </c>
      <c r="P551" s="310">
        <f t="shared" ca="1" si="250"/>
        <v>23</v>
      </c>
      <c r="Q551" s="304">
        <f t="shared" ca="1" si="251"/>
        <v>0</v>
      </c>
      <c r="R551" s="306">
        <f t="shared" ca="1" si="252"/>
        <v>0</v>
      </c>
      <c r="S551" s="307">
        <f t="shared" ca="1" si="253"/>
        <v>7.150000000000003</v>
      </c>
      <c r="T551" s="304">
        <f t="shared" ca="1" si="233"/>
        <v>70.141500000000036</v>
      </c>
      <c r="U551" s="311">
        <f t="shared" ca="1" si="234"/>
        <v>0</v>
      </c>
      <c r="V551" s="306">
        <f t="shared" ca="1" si="235"/>
        <v>1.2258479300594995</v>
      </c>
      <c r="W551" s="304">
        <f t="shared" ca="1" si="236"/>
        <v>54.617100710019194</v>
      </c>
      <c r="Y551" s="314" t="str">
        <f t="shared" ca="1" si="254"/>
        <v>Impact balistique</v>
      </c>
      <c r="Z551" s="315" t="str">
        <f t="shared" ca="1" si="255"/>
        <v/>
      </c>
      <c r="AA551" s="316" t="str">
        <f t="shared" ca="1" si="256"/>
        <v/>
      </c>
      <c r="AC551" s="310" t="e">
        <f t="shared" ca="1" si="257"/>
        <v>#N/A</v>
      </c>
      <c r="AD551" s="323" t="e">
        <f t="shared" ca="1" si="258"/>
        <v>#N/A</v>
      </c>
      <c r="AE551" s="324" t="e">
        <f t="shared" ca="1" si="237"/>
        <v>#N/A</v>
      </c>
      <c r="AG551" s="306">
        <f t="shared" ca="1" si="259"/>
        <v>2.1610131595387392</v>
      </c>
      <c r="AH551" s="304">
        <f t="shared" ca="1" si="260"/>
        <v>-7.603616551270469</v>
      </c>
    </row>
    <row r="552" spans="1:34" x14ac:dyDescent="0.2">
      <c r="A552" s="347">
        <f t="shared" ca="1" si="238"/>
        <v>1E-4</v>
      </c>
      <c r="B552" s="304">
        <f t="shared" ca="1" si="239"/>
        <v>36.700100000000255</v>
      </c>
      <c r="D552" s="306">
        <f t="shared" ca="1" si="240"/>
        <v>-0.72832989868419218</v>
      </c>
      <c r="E552" s="307">
        <f t="shared" ca="1" si="241"/>
        <v>-2.2060458467277115</v>
      </c>
      <c r="F552" s="304">
        <f t="shared" ca="1" si="242"/>
        <v>2.32316652850843</v>
      </c>
      <c r="G552" s="306">
        <f t="shared" ca="1" si="243"/>
        <v>12.45759776653918</v>
      </c>
      <c r="H552" s="307">
        <f t="shared" ca="1" si="244"/>
        <v>-130.0615516944147</v>
      </c>
      <c r="I552" s="304">
        <f t="shared" ca="1" si="245"/>
        <v>130.65679841199153</v>
      </c>
      <c r="J552" s="306">
        <f t="shared" ca="1" si="246"/>
        <v>889.84792314375909</v>
      </c>
      <c r="K552" s="307">
        <f t="shared" ca="1" si="247"/>
        <v>-6.9324893899136759</v>
      </c>
      <c r="L552" s="304">
        <f t="shared" ca="1" si="232"/>
        <v>889.87492701637723</v>
      </c>
      <c r="M552" s="306">
        <f t="shared" ca="1" si="248"/>
        <v>-1.4753053107620058</v>
      </c>
      <c r="N552" s="304">
        <f t="shared" ca="1" si="249"/>
        <v>-84.528767799899285</v>
      </c>
      <c r="P552" s="310">
        <f t="shared" ca="1" si="250"/>
        <v>23</v>
      </c>
      <c r="Q552" s="304">
        <f t="shared" ca="1" si="251"/>
        <v>0</v>
      </c>
      <c r="R552" s="306">
        <f t="shared" ca="1" si="252"/>
        <v>0</v>
      </c>
      <c r="S552" s="307">
        <f t="shared" ca="1" si="253"/>
        <v>7.150000000000003</v>
      </c>
      <c r="T552" s="304">
        <f t="shared" ca="1" si="233"/>
        <v>70.141500000000036</v>
      </c>
      <c r="U552" s="311">
        <f t="shared" ca="1" si="234"/>
        <v>0</v>
      </c>
      <c r="V552" s="306">
        <f t="shared" ca="1" si="235"/>
        <v>1.2258495244162146</v>
      </c>
      <c r="W552" s="304">
        <f t="shared" ca="1" si="236"/>
        <v>54.617349534595334</v>
      </c>
      <c r="Y552" s="314" t="str">
        <f t="shared" ca="1" si="254"/>
        <v/>
      </c>
      <c r="Z552" s="315" t="str">
        <f t="shared" ca="1" si="255"/>
        <v/>
      </c>
      <c r="AA552" s="316" t="str">
        <f t="shared" ca="1" si="256"/>
        <v/>
      </c>
      <c r="AC552" s="310" t="e">
        <f t="shared" ca="1" si="257"/>
        <v>#N/A</v>
      </c>
      <c r="AD552" s="323" t="e">
        <f t="shared" ca="1" si="258"/>
        <v>#N/A</v>
      </c>
      <c r="AE552" s="324" t="e">
        <f t="shared" ca="1" si="237"/>
        <v>#N/A</v>
      </c>
      <c r="AG552" s="306">
        <f t="shared" ca="1" si="259"/>
        <v>2.1265515526494232</v>
      </c>
      <c r="AH552" s="304">
        <f t="shared" ca="1" si="260"/>
        <v>-7.6387553440586258</v>
      </c>
    </row>
    <row r="553" spans="1:34" x14ac:dyDescent="0.2">
      <c r="A553" s="347">
        <f t="shared" ca="1" si="238"/>
        <v>1E-4</v>
      </c>
      <c r="B553" s="304">
        <f t="shared" ca="1" si="239"/>
        <v>36.700200000000258</v>
      </c>
      <c r="D553" s="306">
        <f t="shared" ca="1" si="240"/>
        <v>-0.72832777323683218</v>
      </c>
      <c r="E553" s="307">
        <f t="shared" ca="1" si="241"/>
        <v>-2.2060106832349495</v>
      </c>
      <c r="F553" s="304">
        <f t="shared" ca="1" si="242"/>
        <v>2.3231324714305148</v>
      </c>
      <c r="G553" s="306">
        <f t="shared" ca="1" si="243"/>
        <v>12.457524933761857</v>
      </c>
      <c r="H553" s="307">
        <f t="shared" ca="1" si="244"/>
        <v>-130.06177229548302</v>
      </c>
      <c r="I553" s="304">
        <f t="shared" ca="1" si="245"/>
        <v>130.65701106376716</v>
      </c>
      <c r="J553" s="306">
        <f t="shared" ca="1" si="246"/>
        <v>889.84792314375909</v>
      </c>
      <c r="K553" s="307">
        <f t="shared" ca="1" si="247"/>
        <v>-6.9454955561131708</v>
      </c>
      <c r="L553" s="304">
        <f t="shared" ca="1" si="232"/>
        <v>889.87502843476921</v>
      </c>
      <c r="M553" s="306">
        <f t="shared" ca="1" si="248"/>
        <v>-1.4753060266392879</v>
      </c>
      <c r="N553" s="304">
        <f t="shared" ca="1" si="249"/>
        <v>-84.52880881664619</v>
      </c>
      <c r="P553" s="310">
        <f t="shared" ca="1" si="250"/>
        <v>23</v>
      </c>
      <c r="Q553" s="304">
        <f t="shared" ca="1" si="251"/>
        <v>0</v>
      </c>
      <c r="R553" s="306">
        <f t="shared" ca="1" si="252"/>
        <v>0</v>
      </c>
      <c r="S553" s="307">
        <f t="shared" ca="1" si="253"/>
        <v>7.150000000000003</v>
      </c>
      <c r="T553" s="304">
        <f t="shared" ca="1" si="233"/>
        <v>70.141500000000036</v>
      </c>
      <c r="U553" s="311">
        <f t="shared" ca="1" si="234"/>
        <v>0</v>
      </c>
      <c r="V553" s="306">
        <f t="shared" ca="1" si="235"/>
        <v>1.2258511187777084</v>
      </c>
      <c r="W553" s="304">
        <f t="shared" ca="1" si="236"/>
        <v>54.617598357282681</v>
      </c>
      <c r="Y553" s="314" t="str">
        <f t="shared" ca="1" si="254"/>
        <v/>
      </c>
      <c r="Z553" s="315" t="str">
        <f t="shared" ca="1" si="255"/>
        <v/>
      </c>
      <c r="AA553" s="316" t="str">
        <f t="shared" ca="1" si="256"/>
        <v/>
      </c>
      <c r="AC553" s="310" t="e">
        <f t="shared" ca="1" si="257"/>
        <v>#N/A</v>
      </c>
      <c r="AD553" s="323" t="e">
        <f t="shared" ca="1" si="258"/>
        <v>#N/A</v>
      </c>
      <c r="AE553" s="324" t="e">
        <f t="shared" ca="1" si="237"/>
        <v>#N/A</v>
      </c>
      <c r="AG553" s="306">
        <f t="shared" ca="1" si="259"/>
        <v>2.12651742160942</v>
      </c>
      <c r="AH553" s="304">
        <f t="shared" ca="1" si="260"/>
        <v>-7.6387901446986453</v>
      </c>
    </row>
    <row r="554" spans="1:34" x14ac:dyDescent="0.2">
      <c r="A554" s="347">
        <f t="shared" ca="1" si="238"/>
        <v>1E-4</v>
      </c>
      <c r="B554" s="304">
        <f t="shared" ca="1" si="239"/>
        <v>36.700300000000261</v>
      </c>
      <c r="D554" s="306">
        <f t="shared" ca="1" si="240"/>
        <v>-0.72832564776385589</v>
      </c>
      <c r="E554" s="307">
        <f t="shared" ca="1" si="241"/>
        <v>-2.2059755200090425</v>
      </c>
      <c r="F554" s="304">
        <f t="shared" ca="1" si="242"/>
        <v>2.3230984146328812</v>
      </c>
      <c r="G554" s="306">
        <f t="shared" ca="1" si="243"/>
        <v>12.457452101197081</v>
      </c>
      <c r="H554" s="307">
        <f t="shared" ca="1" si="244"/>
        <v>-130.06199289303501</v>
      </c>
      <c r="I554" s="304">
        <f t="shared" ca="1" si="245"/>
        <v>130.65722371212971</v>
      </c>
      <c r="J554" s="306">
        <f t="shared" ca="1" si="246"/>
        <v>889.84792314375909</v>
      </c>
      <c r="K554" s="307">
        <f t="shared" ca="1" si="247"/>
        <v>-6.9585017443725965</v>
      </c>
      <c r="L554" s="304">
        <f t="shared" ca="1" si="232"/>
        <v>889.87513004341668</v>
      </c>
      <c r="M554" s="306">
        <f t="shared" ca="1" si="248"/>
        <v>-1.4753067425100541</v>
      </c>
      <c r="N554" s="304">
        <f t="shared" ca="1" si="249"/>
        <v>-84.528849833019777</v>
      </c>
      <c r="P554" s="310">
        <f t="shared" ca="1" si="250"/>
        <v>23</v>
      </c>
      <c r="Q554" s="304">
        <f t="shared" ca="1" si="251"/>
        <v>0</v>
      </c>
      <c r="R554" s="306">
        <f t="shared" ca="1" si="252"/>
        <v>0</v>
      </c>
      <c r="S554" s="307">
        <f t="shared" ca="1" si="253"/>
        <v>7.150000000000003</v>
      </c>
      <c r="T554" s="304">
        <f t="shared" ca="1" si="233"/>
        <v>70.141500000000036</v>
      </c>
      <c r="U554" s="311">
        <f t="shared" ca="1" si="234"/>
        <v>0</v>
      </c>
      <c r="V554" s="306">
        <f t="shared" ca="1" si="235"/>
        <v>1.2258527131439805</v>
      </c>
      <c r="W554" s="304">
        <f t="shared" ca="1" si="236"/>
        <v>54.617847178081256</v>
      </c>
      <c r="Y554" s="314" t="str">
        <f t="shared" ca="1" si="254"/>
        <v/>
      </c>
      <c r="Z554" s="315" t="str">
        <f t="shared" ca="1" si="255"/>
        <v/>
      </c>
      <c r="AA554" s="316" t="str">
        <f t="shared" ca="1" si="256"/>
        <v/>
      </c>
      <c r="AC554" s="310" t="e">
        <f t="shared" ca="1" si="257"/>
        <v>#N/A</v>
      </c>
      <c r="AD554" s="323" t="e">
        <f t="shared" ca="1" si="258"/>
        <v>#N/A</v>
      </c>
      <c r="AE554" s="324" t="e">
        <f t="shared" ca="1" si="237"/>
        <v>#N/A</v>
      </c>
      <c r="AG554" s="306">
        <f t="shared" ca="1" si="259"/>
        <v>2.1264832908224838</v>
      </c>
      <c r="AH554" s="304">
        <f t="shared" ca="1" si="260"/>
        <v>-7.6388249450744974</v>
      </c>
    </row>
    <row r="555" spans="1:34" x14ac:dyDescent="0.2">
      <c r="A555" s="347">
        <f t="shared" ca="1" si="238"/>
        <v>1E-4</v>
      </c>
      <c r="B555" s="304">
        <f t="shared" ca="1" si="239"/>
        <v>36.700400000000265</v>
      </c>
      <c r="D555" s="306">
        <f t="shared" ca="1" si="240"/>
        <v>-0.72832352226526864</v>
      </c>
      <c r="E555" s="307">
        <f t="shared" ca="1" si="241"/>
        <v>-2.2059403570499878</v>
      </c>
      <c r="F555" s="304">
        <f t="shared" ca="1" si="242"/>
        <v>2.3230643581155288</v>
      </c>
      <c r="G555" s="306">
        <f t="shared" ca="1" si="243"/>
        <v>12.457379268844855</v>
      </c>
      <c r="H555" s="307">
        <f t="shared" ca="1" si="244"/>
        <v>-130.06221348707072</v>
      </c>
      <c r="I555" s="304">
        <f t="shared" ca="1" si="245"/>
        <v>130.65743635707921</v>
      </c>
      <c r="J555" s="306">
        <f t="shared" ca="1" si="246"/>
        <v>889.84792314375909</v>
      </c>
      <c r="K555" s="307">
        <f t="shared" ca="1" si="247"/>
        <v>-6.9715079546916021</v>
      </c>
      <c r="L555" s="304">
        <f t="shared" ca="1" si="232"/>
        <v>889.87523184232055</v>
      </c>
      <c r="M555" s="306">
        <f t="shared" ca="1" si="248"/>
        <v>-1.4753074583743051</v>
      </c>
      <c r="N555" s="304">
        <f t="shared" ca="1" si="249"/>
        <v>-84.528890849020058</v>
      </c>
      <c r="P555" s="310">
        <f t="shared" ca="1" si="250"/>
        <v>23</v>
      </c>
      <c r="Q555" s="304">
        <f t="shared" ca="1" si="251"/>
        <v>0</v>
      </c>
      <c r="R555" s="306">
        <f t="shared" ca="1" si="252"/>
        <v>0</v>
      </c>
      <c r="S555" s="307">
        <f t="shared" ca="1" si="253"/>
        <v>7.150000000000003</v>
      </c>
      <c r="T555" s="304">
        <f t="shared" ca="1" si="233"/>
        <v>70.141500000000036</v>
      </c>
      <c r="U555" s="311">
        <f t="shared" ca="1" si="234"/>
        <v>0</v>
      </c>
      <c r="V555" s="306">
        <f t="shared" ca="1" si="235"/>
        <v>1.2258543075150317</v>
      </c>
      <c r="W555" s="304">
        <f t="shared" ca="1" si="236"/>
        <v>54.618095996991073</v>
      </c>
      <c r="Y555" s="314" t="str">
        <f t="shared" ca="1" si="254"/>
        <v/>
      </c>
      <c r="Z555" s="315" t="str">
        <f t="shared" ca="1" si="255"/>
        <v/>
      </c>
      <c r="AA555" s="316" t="str">
        <f t="shared" ca="1" si="256"/>
        <v/>
      </c>
      <c r="AC555" s="310" t="e">
        <f t="shared" ca="1" si="257"/>
        <v>#N/A</v>
      </c>
      <c r="AD555" s="323" t="e">
        <f t="shared" ca="1" si="258"/>
        <v>#N/A</v>
      </c>
      <c r="AE555" s="324" t="e">
        <f t="shared" ca="1" si="237"/>
        <v>#N/A</v>
      </c>
      <c r="AG555" s="306">
        <f t="shared" ca="1" si="259"/>
        <v>2.1264491602886135</v>
      </c>
      <c r="AH555" s="304">
        <f t="shared" ca="1" si="260"/>
        <v>-7.6388597451861866</v>
      </c>
    </row>
    <row r="556" spans="1:34" x14ac:dyDescent="0.2">
      <c r="A556" s="347">
        <f t="shared" ca="1" si="238"/>
        <v>1E-4</v>
      </c>
      <c r="B556" s="304">
        <f t="shared" ca="1" si="239"/>
        <v>36.700500000000268</v>
      </c>
      <c r="D556" s="306">
        <f t="shared" ca="1" si="240"/>
        <v>-0.72832139674106644</v>
      </c>
      <c r="E556" s="307">
        <f t="shared" ca="1" si="241"/>
        <v>-2.2059051943577828</v>
      </c>
      <c r="F556" s="304">
        <f t="shared" ca="1" si="242"/>
        <v>2.3230303018784548</v>
      </c>
      <c r="G556" s="306">
        <f t="shared" ca="1" si="243"/>
        <v>12.457306436705181</v>
      </c>
      <c r="H556" s="307">
        <f t="shared" ca="1" si="244"/>
        <v>-130.06243407759015</v>
      </c>
      <c r="I556" s="304">
        <f t="shared" ca="1" si="245"/>
        <v>130.65764899861571</v>
      </c>
      <c r="J556" s="306">
        <f t="shared" ca="1" si="246"/>
        <v>889.84792314375909</v>
      </c>
      <c r="K556" s="307">
        <f t="shared" ca="1" si="247"/>
        <v>-6.9845141870698351</v>
      </c>
      <c r="L556" s="304">
        <f t="shared" ca="1" si="232"/>
        <v>889.8753338314815</v>
      </c>
      <c r="M556" s="306">
        <f t="shared" ca="1" si="248"/>
        <v>-1.4753081742320404</v>
      </c>
      <c r="N556" s="304">
        <f t="shared" ca="1" si="249"/>
        <v>-84.528931864647021</v>
      </c>
      <c r="P556" s="310">
        <f t="shared" ca="1" si="250"/>
        <v>23</v>
      </c>
      <c r="Q556" s="304">
        <f t="shared" ca="1" si="251"/>
        <v>0</v>
      </c>
      <c r="R556" s="306">
        <f t="shared" ca="1" si="252"/>
        <v>0</v>
      </c>
      <c r="S556" s="307">
        <f t="shared" ca="1" si="253"/>
        <v>7.150000000000003</v>
      </c>
      <c r="T556" s="304">
        <f t="shared" ca="1" si="233"/>
        <v>70.141500000000036</v>
      </c>
      <c r="U556" s="311">
        <f t="shared" ca="1" si="234"/>
        <v>0</v>
      </c>
      <c r="V556" s="306">
        <f t="shared" ca="1" si="235"/>
        <v>1.225855901890861</v>
      </c>
      <c r="W556" s="304">
        <f t="shared" ca="1" si="236"/>
        <v>54.618344814012147</v>
      </c>
      <c r="Y556" s="314" t="str">
        <f t="shared" ca="1" si="254"/>
        <v/>
      </c>
      <c r="Z556" s="315" t="str">
        <f t="shared" ca="1" si="255"/>
        <v/>
      </c>
      <c r="AA556" s="316" t="str">
        <f t="shared" ca="1" si="256"/>
        <v/>
      </c>
      <c r="AC556" s="310" t="e">
        <f t="shared" ca="1" si="257"/>
        <v>#N/A</v>
      </c>
      <c r="AD556" s="323" t="e">
        <f t="shared" ca="1" si="258"/>
        <v>#N/A</v>
      </c>
      <c r="AE556" s="324" t="e">
        <f t="shared" ca="1" si="237"/>
        <v>#N/A</v>
      </c>
      <c r="AG556" s="306">
        <f t="shared" ca="1" si="259"/>
        <v>2.1264150300078075</v>
      </c>
      <c r="AH556" s="304">
        <f t="shared" ca="1" si="260"/>
        <v>-7.6388945450337129</v>
      </c>
    </row>
    <row r="557" spans="1:34" x14ac:dyDescent="0.2">
      <c r="A557" s="347">
        <f t="shared" ca="1" si="238"/>
        <v>1E-4</v>
      </c>
      <c r="B557" s="304">
        <f t="shared" ca="1" si="239"/>
        <v>36.700600000000271</v>
      </c>
      <c r="D557" s="306">
        <f t="shared" ca="1" si="240"/>
        <v>-0.72831927119125439</v>
      </c>
      <c r="E557" s="307">
        <f t="shared" ca="1" si="241"/>
        <v>-2.2058700319324265</v>
      </c>
      <c r="F557" s="304">
        <f t="shared" ca="1" si="242"/>
        <v>2.3229962459216598</v>
      </c>
      <c r="G557" s="306">
        <f t="shared" ca="1" si="243"/>
        <v>12.457233604778063</v>
      </c>
      <c r="H557" s="307">
        <f t="shared" ca="1" si="244"/>
        <v>-130.06265466459334</v>
      </c>
      <c r="I557" s="304">
        <f t="shared" ca="1" si="245"/>
        <v>130.65786163673917</v>
      </c>
      <c r="J557" s="306">
        <f t="shared" ca="1" si="246"/>
        <v>889.84792314375909</v>
      </c>
      <c r="K557" s="307">
        <f t="shared" ca="1" si="247"/>
        <v>-6.9975204415069445</v>
      </c>
      <c r="L557" s="304">
        <f t="shared" ca="1" si="232"/>
        <v>889.87543601090078</v>
      </c>
      <c r="M557" s="306">
        <f t="shared" ca="1" si="248"/>
        <v>-1.4753088900832607</v>
      </c>
      <c r="N557" s="304">
        <f t="shared" ca="1" si="249"/>
        <v>-84.528972879900707</v>
      </c>
      <c r="P557" s="310">
        <f t="shared" ca="1" si="250"/>
        <v>23</v>
      </c>
      <c r="Q557" s="304">
        <f t="shared" ca="1" si="251"/>
        <v>0</v>
      </c>
      <c r="R557" s="306">
        <f t="shared" ca="1" si="252"/>
        <v>0</v>
      </c>
      <c r="S557" s="307">
        <f t="shared" ca="1" si="253"/>
        <v>7.150000000000003</v>
      </c>
      <c r="T557" s="304">
        <f t="shared" ca="1" si="233"/>
        <v>70.141500000000036</v>
      </c>
      <c r="U557" s="311">
        <f t="shared" ca="1" si="234"/>
        <v>0</v>
      </c>
      <c r="V557" s="306">
        <f t="shared" ca="1" si="235"/>
        <v>1.225857496271469</v>
      </c>
      <c r="W557" s="304">
        <f t="shared" ca="1" si="236"/>
        <v>54.618593629144399</v>
      </c>
      <c r="Y557" s="314" t="str">
        <f t="shared" ca="1" si="254"/>
        <v/>
      </c>
      <c r="Z557" s="315" t="str">
        <f t="shared" ca="1" si="255"/>
        <v/>
      </c>
      <c r="AA557" s="316" t="str">
        <f t="shared" ca="1" si="256"/>
        <v/>
      </c>
      <c r="AC557" s="310" t="e">
        <f t="shared" ca="1" si="257"/>
        <v>#N/A</v>
      </c>
      <c r="AD557" s="323" t="e">
        <f t="shared" ca="1" si="258"/>
        <v>#N/A</v>
      </c>
      <c r="AE557" s="324" t="e">
        <f t="shared" ca="1" si="237"/>
        <v>#N/A</v>
      </c>
      <c r="AG557" s="306">
        <f t="shared" ca="1" si="259"/>
        <v>2.126380899980064</v>
      </c>
      <c r="AH557" s="304">
        <f t="shared" ca="1" si="260"/>
        <v>-7.6389293446170798</v>
      </c>
    </row>
    <row r="558" spans="1:34" x14ac:dyDescent="0.2">
      <c r="A558" s="347">
        <f t="shared" ca="1" si="238"/>
        <v>1E-4</v>
      </c>
      <c r="B558" s="304">
        <f t="shared" ca="1" si="239"/>
        <v>36.700700000000275</v>
      </c>
      <c r="D558" s="306">
        <f t="shared" ca="1" si="240"/>
        <v>-0.72831714561582761</v>
      </c>
      <c r="E558" s="307">
        <f t="shared" ca="1" si="241"/>
        <v>-2.2058348697739278</v>
      </c>
      <c r="F558" s="304">
        <f t="shared" ca="1" si="242"/>
        <v>2.3229621902451507</v>
      </c>
      <c r="G558" s="306">
        <f t="shared" ca="1" si="243"/>
        <v>12.457160773063501</v>
      </c>
      <c r="H558" s="307">
        <f t="shared" ca="1" si="244"/>
        <v>-130.0628752480803</v>
      </c>
      <c r="I558" s="304">
        <f t="shared" ca="1" si="245"/>
        <v>130.65807427144964</v>
      </c>
      <c r="J558" s="306">
        <f t="shared" ca="1" si="246"/>
        <v>889.84792314375909</v>
      </c>
      <c r="K558" s="307">
        <f t="shared" ca="1" si="247"/>
        <v>-7.0105267180025779</v>
      </c>
      <c r="L558" s="304">
        <f t="shared" ca="1" si="232"/>
        <v>889.87553838057897</v>
      </c>
      <c r="M558" s="306">
        <f t="shared" ca="1" si="248"/>
        <v>-1.4753096059279656</v>
      </c>
      <c r="N558" s="304">
        <f t="shared" ca="1" si="249"/>
        <v>-84.529013894781087</v>
      </c>
      <c r="P558" s="310">
        <f t="shared" ca="1" si="250"/>
        <v>23</v>
      </c>
      <c r="Q558" s="304">
        <f t="shared" ca="1" si="251"/>
        <v>0</v>
      </c>
      <c r="R558" s="306">
        <f t="shared" ca="1" si="252"/>
        <v>0</v>
      </c>
      <c r="S558" s="307">
        <f t="shared" ca="1" si="253"/>
        <v>7.150000000000003</v>
      </c>
      <c r="T558" s="304">
        <f t="shared" ca="1" si="233"/>
        <v>70.141500000000036</v>
      </c>
      <c r="U558" s="311">
        <f t="shared" ca="1" si="234"/>
        <v>0</v>
      </c>
      <c r="V558" s="306">
        <f t="shared" ca="1" si="235"/>
        <v>1.2258590906568558</v>
      </c>
      <c r="W558" s="304">
        <f t="shared" ca="1" si="236"/>
        <v>54.618842442387916</v>
      </c>
      <c r="Y558" s="314" t="str">
        <f t="shared" ca="1" si="254"/>
        <v/>
      </c>
      <c r="Z558" s="315" t="str">
        <f t="shared" ca="1" si="255"/>
        <v/>
      </c>
      <c r="AA558" s="316" t="str">
        <f t="shared" ca="1" si="256"/>
        <v/>
      </c>
      <c r="AC558" s="310" t="e">
        <f t="shared" ca="1" si="257"/>
        <v>#N/A</v>
      </c>
      <c r="AD558" s="323" t="e">
        <f t="shared" ca="1" si="258"/>
        <v>#N/A</v>
      </c>
      <c r="AE558" s="324" t="e">
        <f t="shared" ca="1" si="237"/>
        <v>#N/A</v>
      </c>
      <c r="AG558" s="306">
        <f t="shared" ca="1" si="259"/>
        <v>2.12634677020539</v>
      </c>
      <c r="AH558" s="304">
        <f t="shared" ca="1" si="260"/>
        <v>-7.6389641439362768</v>
      </c>
    </row>
    <row r="559" spans="1:34" x14ac:dyDescent="0.2">
      <c r="A559" s="347">
        <f t="shared" ca="1" si="238"/>
        <v>1E-4</v>
      </c>
      <c r="B559" s="304">
        <f t="shared" ca="1" si="239"/>
        <v>36.700800000000278</v>
      </c>
      <c r="D559" s="306">
        <f t="shared" ca="1" si="240"/>
        <v>-0.72831502001479154</v>
      </c>
      <c r="E559" s="307">
        <f t="shared" ca="1" si="241"/>
        <v>-2.2057997078822771</v>
      </c>
      <c r="F559" s="304">
        <f t="shared" ca="1" si="242"/>
        <v>2.3229281348489206</v>
      </c>
      <c r="G559" s="306">
        <f t="shared" ca="1" si="243"/>
        <v>12.4570879415615</v>
      </c>
      <c r="H559" s="307">
        <f t="shared" ca="1" si="244"/>
        <v>-130.0630958280511</v>
      </c>
      <c r="I559" s="304">
        <f t="shared" ca="1" si="245"/>
        <v>130.65828690274719</v>
      </c>
      <c r="J559" s="306">
        <f t="shared" ca="1" si="246"/>
        <v>889.84792314375909</v>
      </c>
      <c r="K559" s="307">
        <f t="shared" ca="1" si="247"/>
        <v>-7.0235330165563843</v>
      </c>
      <c r="L559" s="304">
        <f t="shared" ca="1" si="232"/>
        <v>889.87564094051709</v>
      </c>
      <c r="M559" s="306">
        <f t="shared" ca="1" si="248"/>
        <v>-1.4753103217661554</v>
      </c>
      <c r="N559" s="304">
        <f t="shared" ca="1" si="249"/>
        <v>-84.529054909288178</v>
      </c>
      <c r="P559" s="310">
        <f t="shared" ca="1" si="250"/>
        <v>23</v>
      </c>
      <c r="Q559" s="304">
        <f t="shared" ca="1" si="251"/>
        <v>0</v>
      </c>
      <c r="R559" s="306">
        <f t="shared" ca="1" si="252"/>
        <v>0</v>
      </c>
      <c r="S559" s="307">
        <f t="shared" ca="1" si="253"/>
        <v>7.150000000000003</v>
      </c>
      <c r="T559" s="304">
        <f t="shared" ca="1" si="233"/>
        <v>70.141500000000036</v>
      </c>
      <c r="U559" s="311">
        <f t="shared" ca="1" si="234"/>
        <v>0</v>
      </c>
      <c r="V559" s="306">
        <f t="shared" ca="1" si="235"/>
        <v>1.2258606850470204</v>
      </c>
      <c r="W559" s="304">
        <f t="shared" ca="1" si="236"/>
        <v>54.619091253742646</v>
      </c>
      <c r="Y559" s="314" t="str">
        <f t="shared" ca="1" si="254"/>
        <v/>
      </c>
      <c r="Z559" s="315" t="str">
        <f t="shared" ca="1" si="255"/>
        <v/>
      </c>
      <c r="AA559" s="316" t="str">
        <f t="shared" ca="1" si="256"/>
        <v/>
      </c>
      <c r="AC559" s="310" t="e">
        <f t="shared" ca="1" si="257"/>
        <v>#N/A</v>
      </c>
      <c r="AD559" s="323" t="e">
        <f t="shared" ca="1" si="258"/>
        <v>#N/A</v>
      </c>
      <c r="AE559" s="324" t="e">
        <f t="shared" ca="1" si="237"/>
        <v>#N/A</v>
      </c>
      <c r="AG559" s="306">
        <f t="shared" ca="1" si="259"/>
        <v>2.1263126406837811</v>
      </c>
      <c r="AH559" s="304">
        <f t="shared" ca="1" si="260"/>
        <v>-7.6389989429913134</v>
      </c>
    </row>
    <row r="560" spans="1:34" x14ac:dyDescent="0.2">
      <c r="A560" s="347">
        <f t="shared" ca="1" si="238"/>
        <v>1E-4</v>
      </c>
      <c r="B560" s="304">
        <f t="shared" ca="1" si="239"/>
        <v>36.700900000000281</v>
      </c>
      <c r="D560" s="306">
        <f t="shared" ca="1" si="240"/>
        <v>-0.72831289438814384</v>
      </c>
      <c r="E560" s="307">
        <f t="shared" ca="1" si="241"/>
        <v>-2.2057645462574813</v>
      </c>
      <c r="F560" s="304">
        <f t="shared" ca="1" si="242"/>
        <v>2.3228940797329756</v>
      </c>
      <c r="G560" s="306">
        <f t="shared" ca="1" si="243"/>
        <v>12.457015110272062</v>
      </c>
      <c r="H560" s="307">
        <f t="shared" ca="1" si="244"/>
        <v>-130.06331640450574</v>
      </c>
      <c r="I560" s="304">
        <f t="shared" ca="1" si="245"/>
        <v>130.65849953063184</v>
      </c>
      <c r="J560" s="306">
        <f t="shared" ca="1" si="246"/>
        <v>889.84792314375909</v>
      </c>
      <c r="K560" s="307">
        <f t="shared" ca="1" si="247"/>
        <v>-7.0365393371680121</v>
      </c>
      <c r="L560" s="304">
        <f t="shared" ca="1" si="232"/>
        <v>889.87574369071604</v>
      </c>
      <c r="M560" s="306">
        <f t="shared" ca="1" si="248"/>
        <v>-1.4753110375978302</v>
      </c>
      <c r="N560" s="304">
        <f t="shared" ca="1" si="249"/>
        <v>-84.529095923421991</v>
      </c>
      <c r="P560" s="310">
        <f t="shared" ca="1" si="250"/>
        <v>23</v>
      </c>
      <c r="Q560" s="304">
        <f t="shared" ca="1" si="251"/>
        <v>0</v>
      </c>
      <c r="R560" s="306">
        <f t="shared" ca="1" si="252"/>
        <v>0</v>
      </c>
      <c r="S560" s="307">
        <f t="shared" ca="1" si="253"/>
        <v>7.150000000000003</v>
      </c>
      <c r="T560" s="304">
        <f t="shared" ca="1" si="233"/>
        <v>70.141500000000036</v>
      </c>
      <c r="U560" s="311">
        <f t="shared" ca="1" si="234"/>
        <v>0</v>
      </c>
      <c r="V560" s="306">
        <f t="shared" ca="1" si="235"/>
        <v>1.225862279441964</v>
      </c>
      <c r="W560" s="304">
        <f t="shared" ca="1" si="236"/>
        <v>54.619340063208625</v>
      </c>
      <c r="Y560" s="314" t="str">
        <f t="shared" ca="1" si="254"/>
        <v/>
      </c>
      <c r="Z560" s="315" t="str">
        <f t="shared" ca="1" si="255"/>
        <v/>
      </c>
      <c r="AA560" s="316" t="str">
        <f t="shared" ca="1" si="256"/>
        <v/>
      </c>
      <c r="AC560" s="310" t="e">
        <f t="shared" ca="1" si="257"/>
        <v>#N/A</v>
      </c>
      <c r="AD560" s="323" t="e">
        <f t="shared" ca="1" si="258"/>
        <v>#N/A</v>
      </c>
      <c r="AE560" s="324" t="e">
        <f t="shared" ca="1" si="237"/>
        <v>#N/A</v>
      </c>
      <c r="AG560" s="306">
        <f t="shared" ca="1" si="259"/>
        <v>2.1262785114152347</v>
      </c>
      <c r="AH560" s="304">
        <f t="shared" ca="1" si="260"/>
        <v>-7.6390337417821854</v>
      </c>
    </row>
    <row r="561" spans="1:34" x14ac:dyDescent="0.2">
      <c r="A561" s="347">
        <f t="shared" ca="1" si="238"/>
        <v>1E-4</v>
      </c>
      <c r="B561" s="304">
        <f t="shared" ca="1" si="239"/>
        <v>36.701000000000285</v>
      </c>
      <c r="D561" s="306">
        <f t="shared" ca="1" si="240"/>
        <v>-0.72831076873588585</v>
      </c>
      <c r="E561" s="307">
        <f t="shared" ca="1" si="241"/>
        <v>-2.2057293848995343</v>
      </c>
      <c r="F561" s="304">
        <f t="shared" ca="1" si="242"/>
        <v>2.3228600248973108</v>
      </c>
      <c r="G561" s="306">
        <f t="shared" ca="1" si="243"/>
        <v>12.456942279195188</v>
      </c>
      <c r="H561" s="307">
        <f t="shared" ca="1" si="244"/>
        <v>-130.06353697744424</v>
      </c>
      <c r="I561" s="304">
        <f t="shared" ca="1" si="245"/>
        <v>130.65871215510356</v>
      </c>
      <c r="J561" s="306">
        <f t="shared" ca="1" si="246"/>
        <v>889.84792314375909</v>
      </c>
      <c r="K561" s="307">
        <f t="shared" ca="1" si="247"/>
        <v>-7.0495456798371094</v>
      </c>
      <c r="L561" s="304">
        <f t="shared" ca="1" si="232"/>
        <v>889.87584663117673</v>
      </c>
      <c r="M561" s="306">
        <f t="shared" ca="1" si="248"/>
        <v>-1.47531175342299</v>
      </c>
      <c r="N561" s="304">
        <f t="shared" ca="1" si="249"/>
        <v>-84.529136937182514</v>
      </c>
      <c r="P561" s="310">
        <f t="shared" ca="1" si="250"/>
        <v>23</v>
      </c>
      <c r="Q561" s="304">
        <f t="shared" ca="1" si="251"/>
        <v>0</v>
      </c>
      <c r="R561" s="306">
        <f t="shared" ca="1" si="252"/>
        <v>0</v>
      </c>
      <c r="S561" s="307">
        <f t="shared" ca="1" si="253"/>
        <v>7.150000000000003</v>
      </c>
      <c r="T561" s="304">
        <f t="shared" ca="1" si="233"/>
        <v>70.141500000000036</v>
      </c>
      <c r="U561" s="311">
        <f t="shared" ca="1" si="234"/>
        <v>0</v>
      </c>
      <c r="V561" s="306">
        <f t="shared" ca="1" si="235"/>
        <v>1.2258638738416856</v>
      </c>
      <c r="W561" s="304">
        <f t="shared" ca="1" si="236"/>
        <v>54.619588870785797</v>
      </c>
      <c r="Y561" s="314" t="str">
        <f t="shared" ca="1" si="254"/>
        <v/>
      </c>
      <c r="Z561" s="315" t="str">
        <f t="shared" ca="1" si="255"/>
        <v/>
      </c>
      <c r="AA561" s="316" t="str">
        <f t="shared" ca="1" si="256"/>
        <v/>
      </c>
      <c r="AC561" s="310" t="e">
        <f t="shared" ca="1" si="257"/>
        <v>#N/A</v>
      </c>
      <c r="AD561" s="323" t="e">
        <f t="shared" ca="1" si="258"/>
        <v>#N/A</v>
      </c>
      <c r="AE561" s="324" t="e">
        <f t="shared" ca="1" si="237"/>
        <v>#N/A</v>
      </c>
      <c r="AG561" s="306">
        <f t="shared" ca="1" si="259"/>
        <v>2.126244382399757</v>
      </c>
      <c r="AH561" s="304">
        <f t="shared" ca="1" si="260"/>
        <v>-7.6390685403088954</v>
      </c>
    </row>
    <row r="562" spans="1:34" x14ac:dyDescent="0.2">
      <c r="A562" s="347">
        <f t="shared" ca="1" si="238"/>
        <v>1E-4</v>
      </c>
      <c r="B562" s="304">
        <f t="shared" ca="1" si="239"/>
        <v>36.701100000000288</v>
      </c>
      <c r="D562" s="306">
        <f t="shared" ca="1" si="240"/>
        <v>-0.72830864305801823</v>
      </c>
      <c r="E562" s="307">
        <f t="shared" ca="1" si="241"/>
        <v>-2.205694223808444</v>
      </c>
      <c r="F562" s="304">
        <f t="shared" ca="1" si="242"/>
        <v>2.3228259703419338</v>
      </c>
      <c r="G562" s="306">
        <f t="shared" ca="1" si="243"/>
        <v>12.456869448330881</v>
      </c>
      <c r="H562" s="307">
        <f t="shared" ca="1" si="244"/>
        <v>-130.06375754686661</v>
      </c>
      <c r="I562" s="304">
        <f t="shared" ca="1" si="245"/>
        <v>130.65892477616237</v>
      </c>
      <c r="J562" s="306">
        <f t="shared" ca="1" si="246"/>
        <v>889.84792314375909</v>
      </c>
      <c r="K562" s="307">
        <f t="shared" ca="1" si="247"/>
        <v>-7.0625520445633247</v>
      </c>
      <c r="L562" s="304">
        <f t="shared" ca="1" si="232"/>
        <v>889.87594976189996</v>
      </c>
      <c r="M562" s="306">
        <f t="shared" ca="1" si="248"/>
        <v>-1.4753124692416351</v>
      </c>
      <c r="N562" s="304">
        <f t="shared" ca="1" si="249"/>
        <v>-84.529177950569775</v>
      </c>
      <c r="P562" s="310">
        <f t="shared" ca="1" si="250"/>
        <v>23</v>
      </c>
      <c r="Q562" s="304">
        <f t="shared" ca="1" si="251"/>
        <v>0</v>
      </c>
      <c r="R562" s="306">
        <f t="shared" ca="1" si="252"/>
        <v>0</v>
      </c>
      <c r="S562" s="307">
        <f t="shared" ca="1" si="253"/>
        <v>7.150000000000003</v>
      </c>
      <c r="T562" s="304">
        <f t="shared" ca="1" si="233"/>
        <v>70.141500000000036</v>
      </c>
      <c r="U562" s="311">
        <f t="shared" ca="1" si="234"/>
        <v>0</v>
      </c>
      <c r="V562" s="306">
        <f t="shared" ca="1" si="235"/>
        <v>1.2258654682461858</v>
      </c>
      <c r="W562" s="304">
        <f t="shared" ca="1" si="236"/>
        <v>54.619837676474177</v>
      </c>
      <c r="Y562" s="314" t="str">
        <f t="shared" ca="1" si="254"/>
        <v/>
      </c>
      <c r="Z562" s="315" t="str">
        <f t="shared" ca="1" si="255"/>
        <v/>
      </c>
      <c r="AA562" s="316" t="str">
        <f t="shared" ca="1" si="256"/>
        <v/>
      </c>
      <c r="AC562" s="310" t="e">
        <f t="shared" ca="1" si="257"/>
        <v>#N/A</v>
      </c>
      <c r="AD562" s="323" t="e">
        <f t="shared" ca="1" si="258"/>
        <v>#N/A</v>
      </c>
      <c r="AE562" s="324" t="e">
        <f t="shared" ca="1" si="237"/>
        <v>#N/A</v>
      </c>
      <c r="AG562" s="306">
        <f t="shared" ca="1" si="259"/>
        <v>2.1262102536373488</v>
      </c>
      <c r="AH562" s="304">
        <f t="shared" ca="1" si="260"/>
        <v>-7.6391033385714371</v>
      </c>
    </row>
    <row r="563" spans="1:34" x14ac:dyDescent="0.2">
      <c r="A563" s="347">
        <f t="shared" ca="1" si="238"/>
        <v>1E-4</v>
      </c>
      <c r="B563" s="304">
        <f t="shared" ca="1" si="239"/>
        <v>36.701200000000291</v>
      </c>
      <c r="D563" s="306">
        <f t="shared" ca="1" si="240"/>
        <v>-0.72830651735454077</v>
      </c>
      <c r="E563" s="307">
        <f t="shared" ca="1" si="241"/>
        <v>-2.2056590629842105</v>
      </c>
      <c r="F563" s="304">
        <f t="shared" ca="1" si="242"/>
        <v>2.3227919160668451</v>
      </c>
      <c r="G563" s="306">
        <f t="shared" ca="1" si="243"/>
        <v>12.456796617679146</v>
      </c>
      <c r="H563" s="307">
        <f t="shared" ca="1" si="244"/>
        <v>-130.0639781127729</v>
      </c>
      <c r="I563" s="304">
        <f t="shared" ca="1" si="245"/>
        <v>130.65913739380835</v>
      </c>
      <c r="J563" s="306">
        <f t="shared" ca="1" si="246"/>
        <v>889.84792314375909</v>
      </c>
      <c r="K563" s="307">
        <f t="shared" ca="1" si="247"/>
        <v>-7.0755584313463071</v>
      </c>
      <c r="L563" s="304">
        <f t="shared" ca="1" si="232"/>
        <v>889.87605308288676</v>
      </c>
      <c r="M563" s="306">
        <f t="shared" ca="1" si="248"/>
        <v>-1.4753131850537653</v>
      </c>
      <c r="N563" s="304">
        <f t="shared" ca="1" si="249"/>
        <v>-84.529218963583759</v>
      </c>
      <c r="P563" s="310">
        <f t="shared" ca="1" si="250"/>
        <v>23</v>
      </c>
      <c r="Q563" s="304">
        <f t="shared" ca="1" si="251"/>
        <v>0</v>
      </c>
      <c r="R563" s="306">
        <f t="shared" ca="1" si="252"/>
        <v>0</v>
      </c>
      <c r="S563" s="307">
        <f t="shared" ca="1" si="253"/>
        <v>7.150000000000003</v>
      </c>
      <c r="T563" s="304">
        <f t="shared" ca="1" si="233"/>
        <v>70.141500000000036</v>
      </c>
      <c r="U563" s="311">
        <f t="shared" ca="1" si="234"/>
        <v>0</v>
      </c>
      <c r="V563" s="306">
        <f t="shared" ca="1" si="235"/>
        <v>1.225867062655464</v>
      </c>
      <c r="W563" s="304">
        <f t="shared" ca="1" si="236"/>
        <v>54.62008648027377</v>
      </c>
      <c r="Y563" s="314" t="str">
        <f t="shared" ca="1" si="254"/>
        <v/>
      </c>
      <c r="Z563" s="315" t="str">
        <f t="shared" ca="1" si="255"/>
        <v/>
      </c>
      <c r="AA563" s="316" t="str">
        <f t="shared" ca="1" si="256"/>
        <v/>
      </c>
      <c r="AC563" s="310" t="e">
        <f t="shared" ca="1" si="257"/>
        <v>#N/A</v>
      </c>
      <c r="AD563" s="323" t="e">
        <f t="shared" ca="1" si="258"/>
        <v>#N/A</v>
      </c>
      <c r="AE563" s="324" t="e">
        <f t="shared" ca="1" si="237"/>
        <v>#N/A</v>
      </c>
      <c r="AG563" s="306">
        <f t="shared" ca="1" si="259"/>
        <v>2.1261761251280111</v>
      </c>
      <c r="AH563" s="304">
        <f t="shared" ca="1" si="260"/>
        <v>-7.6391381365698114</v>
      </c>
    </row>
    <row r="564" spans="1:34" x14ac:dyDescent="0.2">
      <c r="A564" s="347">
        <f t="shared" ca="1" si="238"/>
        <v>1E-4</v>
      </c>
      <c r="B564" s="304">
        <f t="shared" ca="1" si="239"/>
        <v>36.701300000000295</v>
      </c>
      <c r="D564" s="306">
        <f t="shared" ca="1" si="240"/>
        <v>-0.72830439162545479</v>
      </c>
      <c r="E564" s="307">
        <f t="shared" ca="1" si="241"/>
        <v>-2.2056239024268294</v>
      </c>
      <c r="F564" s="304">
        <f t="shared" ca="1" si="242"/>
        <v>2.3227578620720415</v>
      </c>
      <c r="G564" s="306">
        <f t="shared" ca="1" si="243"/>
        <v>12.456723787239984</v>
      </c>
      <c r="H564" s="307">
        <f t="shared" ca="1" si="244"/>
        <v>-130.06419867516314</v>
      </c>
      <c r="I564" s="304">
        <f t="shared" ca="1" si="245"/>
        <v>130.65935000804151</v>
      </c>
      <c r="J564" s="306">
        <f t="shared" ca="1" si="246"/>
        <v>889.84792314375909</v>
      </c>
      <c r="K564" s="307">
        <f t="shared" ca="1" si="247"/>
        <v>-7.088564840185704</v>
      </c>
      <c r="L564" s="304">
        <f t="shared" ca="1" si="232"/>
        <v>889.87615659413802</v>
      </c>
      <c r="M564" s="306">
        <f t="shared" ca="1" si="248"/>
        <v>-1.4753139008593807</v>
      </c>
      <c r="N564" s="304">
        <f t="shared" ca="1" si="249"/>
        <v>-84.529259976224466</v>
      </c>
      <c r="P564" s="310">
        <f t="shared" ca="1" si="250"/>
        <v>23</v>
      </c>
      <c r="Q564" s="304">
        <f t="shared" ca="1" si="251"/>
        <v>0</v>
      </c>
      <c r="R564" s="306">
        <f t="shared" ca="1" si="252"/>
        <v>0</v>
      </c>
      <c r="S564" s="307">
        <f t="shared" ca="1" si="253"/>
        <v>7.150000000000003</v>
      </c>
      <c r="T564" s="304">
        <f t="shared" ca="1" si="233"/>
        <v>70.141500000000036</v>
      </c>
      <c r="U564" s="311">
        <f t="shared" ca="1" si="234"/>
        <v>0</v>
      </c>
      <c r="V564" s="306">
        <f t="shared" ca="1" si="235"/>
        <v>1.225868657069521</v>
      </c>
      <c r="W564" s="304">
        <f t="shared" ca="1" si="236"/>
        <v>54.620335282184605</v>
      </c>
      <c r="Y564" s="314" t="str">
        <f t="shared" ca="1" si="254"/>
        <v/>
      </c>
      <c r="Z564" s="315" t="str">
        <f t="shared" ca="1" si="255"/>
        <v/>
      </c>
      <c r="AA564" s="316" t="str">
        <f t="shared" ca="1" si="256"/>
        <v/>
      </c>
      <c r="AC564" s="310" t="e">
        <f t="shared" ca="1" si="257"/>
        <v>#N/A</v>
      </c>
      <c r="AD564" s="323" t="e">
        <f t="shared" ca="1" si="258"/>
        <v>#N/A</v>
      </c>
      <c r="AE564" s="324" t="e">
        <f t="shared" ca="1" si="237"/>
        <v>#N/A</v>
      </c>
      <c r="AG564" s="306">
        <f t="shared" ca="1" si="259"/>
        <v>2.1261419968717421</v>
      </c>
      <c r="AH564" s="304">
        <f t="shared" ca="1" si="260"/>
        <v>-7.6391729343040202</v>
      </c>
    </row>
    <row r="565" spans="1:34" x14ac:dyDescent="0.2">
      <c r="A565" s="347">
        <f t="shared" ca="1" si="238"/>
        <v>1E-4</v>
      </c>
      <c r="B565" s="304">
        <f t="shared" ca="1" si="239"/>
        <v>36.701400000000298</v>
      </c>
      <c r="D565" s="306">
        <f t="shared" ca="1" si="240"/>
        <v>-0.72830226587076197</v>
      </c>
      <c r="E565" s="307">
        <f t="shared" ca="1" si="241"/>
        <v>-2.2055887421362987</v>
      </c>
      <c r="F565" s="304">
        <f t="shared" ca="1" si="242"/>
        <v>2.3227238083575212</v>
      </c>
      <c r="G565" s="306">
        <f t="shared" ca="1" si="243"/>
        <v>12.456650957013396</v>
      </c>
      <c r="H565" s="307">
        <f t="shared" ca="1" si="244"/>
        <v>-130.06441923403736</v>
      </c>
      <c r="I565" s="304">
        <f t="shared" ca="1" si="245"/>
        <v>130.65956261886188</v>
      </c>
      <c r="J565" s="306">
        <f t="shared" ca="1" si="246"/>
        <v>889.84792314375909</v>
      </c>
      <c r="K565" s="307">
        <f t="shared" ca="1" si="247"/>
        <v>-7.1015712710811636</v>
      </c>
      <c r="L565" s="304">
        <f t="shared" ca="1" si="232"/>
        <v>889.87626029565456</v>
      </c>
      <c r="M565" s="306">
        <f t="shared" ca="1" si="248"/>
        <v>-1.4753146166584816</v>
      </c>
      <c r="N565" s="304">
        <f t="shared" ca="1" si="249"/>
        <v>-84.529300988491926</v>
      </c>
      <c r="P565" s="310">
        <f t="shared" ca="1" si="250"/>
        <v>23</v>
      </c>
      <c r="Q565" s="304">
        <f t="shared" ca="1" si="251"/>
        <v>0</v>
      </c>
      <c r="R565" s="306">
        <f t="shared" ca="1" si="252"/>
        <v>0</v>
      </c>
      <c r="S565" s="307">
        <f t="shared" ca="1" si="253"/>
        <v>7.150000000000003</v>
      </c>
      <c r="T565" s="304">
        <f t="shared" ca="1" si="233"/>
        <v>70.141500000000036</v>
      </c>
      <c r="U565" s="311">
        <f t="shared" ca="1" si="234"/>
        <v>0</v>
      </c>
      <c r="V565" s="306">
        <f t="shared" ca="1" si="235"/>
        <v>1.2258702514883557</v>
      </c>
      <c r="W565" s="304">
        <f t="shared" ca="1" si="236"/>
        <v>54.620584082206648</v>
      </c>
      <c r="Y565" s="314" t="str">
        <f t="shared" ca="1" si="254"/>
        <v/>
      </c>
      <c r="Z565" s="315" t="str">
        <f t="shared" ca="1" si="255"/>
        <v/>
      </c>
      <c r="AA565" s="316" t="str">
        <f t="shared" ca="1" si="256"/>
        <v/>
      </c>
      <c r="AC565" s="310" t="e">
        <f t="shared" ca="1" si="257"/>
        <v>#N/A</v>
      </c>
      <c r="AD565" s="323" t="e">
        <f t="shared" ca="1" si="258"/>
        <v>#N/A</v>
      </c>
      <c r="AE565" s="324" t="e">
        <f t="shared" ca="1" si="237"/>
        <v>#N/A</v>
      </c>
      <c r="AG565" s="306">
        <f t="shared" ca="1" si="259"/>
        <v>2.1261078688685391</v>
      </c>
      <c r="AH565" s="304">
        <f t="shared" ca="1" si="260"/>
        <v>-7.6392077317740679</v>
      </c>
    </row>
    <row r="566" spans="1:34" x14ac:dyDescent="0.2">
      <c r="A566" s="347">
        <f t="shared" ca="1" si="238"/>
        <v>1E-4</v>
      </c>
      <c r="B566" s="304">
        <f t="shared" ca="1" si="239"/>
        <v>36.701500000000301</v>
      </c>
      <c r="D566" s="306">
        <f t="shared" ca="1" si="240"/>
        <v>-0.72830014009046118</v>
      </c>
      <c r="E566" s="307">
        <f t="shared" ca="1" si="241"/>
        <v>-2.205553582112624</v>
      </c>
      <c r="F566" s="304">
        <f t="shared" ca="1" si="242"/>
        <v>2.3226897549232901</v>
      </c>
      <c r="G566" s="306">
        <f t="shared" ca="1" si="243"/>
        <v>12.456578126999387</v>
      </c>
      <c r="H566" s="307">
        <f t="shared" ca="1" si="244"/>
        <v>-130.06463978939556</v>
      </c>
      <c r="I566" s="304">
        <f t="shared" ca="1" si="245"/>
        <v>130.65977522626946</v>
      </c>
      <c r="J566" s="306">
        <f t="shared" ca="1" si="246"/>
        <v>889.84792314375909</v>
      </c>
      <c r="K566" s="307">
        <f t="shared" ca="1" si="247"/>
        <v>-7.1145777240323351</v>
      </c>
      <c r="L566" s="304">
        <f t="shared" ca="1" si="232"/>
        <v>889.87636418743739</v>
      </c>
      <c r="M566" s="306">
        <f t="shared" ca="1" si="248"/>
        <v>-1.4753153324510679</v>
      </c>
      <c r="N566" s="304">
        <f t="shared" ca="1" si="249"/>
        <v>-84.529342000386137</v>
      </c>
      <c r="P566" s="310">
        <f t="shared" ca="1" si="250"/>
        <v>23</v>
      </c>
      <c r="Q566" s="304">
        <f t="shared" ca="1" si="251"/>
        <v>0</v>
      </c>
      <c r="R566" s="306">
        <f t="shared" ca="1" si="252"/>
        <v>0</v>
      </c>
      <c r="S566" s="307">
        <f t="shared" ca="1" si="253"/>
        <v>7.150000000000003</v>
      </c>
      <c r="T566" s="304">
        <f t="shared" ca="1" si="233"/>
        <v>70.141500000000036</v>
      </c>
      <c r="U566" s="311">
        <f t="shared" ca="1" si="234"/>
        <v>0</v>
      </c>
      <c r="V566" s="306">
        <f t="shared" ca="1" si="235"/>
        <v>1.2258718459119691</v>
      </c>
      <c r="W566" s="304">
        <f t="shared" ca="1" si="236"/>
        <v>54.620832880339897</v>
      </c>
      <c r="Y566" s="314" t="str">
        <f t="shared" ca="1" si="254"/>
        <v/>
      </c>
      <c r="Z566" s="315" t="str">
        <f t="shared" ca="1" si="255"/>
        <v/>
      </c>
      <c r="AA566" s="316" t="str">
        <f t="shared" ca="1" si="256"/>
        <v/>
      </c>
      <c r="AC566" s="310" t="e">
        <f t="shared" ca="1" si="257"/>
        <v>#N/A</v>
      </c>
      <c r="AD566" s="323" t="e">
        <f t="shared" ca="1" si="258"/>
        <v>#N/A</v>
      </c>
      <c r="AE566" s="324" t="e">
        <f t="shared" ca="1" si="237"/>
        <v>#N/A</v>
      </c>
      <c r="AG566" s="306">
        <f t="shared" ca="1" si="259"/>
        <v>2.1260737411184056</v>
      </c>
      <c r="AH566" s="304">
        <f t="shared" ca="1" si="260"/>
        <v>-7.6392425289799473</v>
      </c>
    </row>
    <row r="567" spans="1:34" x14ac:dyDescent="0.2">
      <c r="A567" s="347">
        <f t="shared" ca="1" si="238"/>
        <v>1E-4</v>
      </c>
      <c r="B567" s="304">
        <f t="shared" ca="1" si="239"/>
        <v>36.701600000000305</v>
      </c>
      <c r="D567" s="306">
        <f t="shared" ca="1" si="240"/>
        <v>-0.72829801428455387</v>
      </c>
      <c r="E567" s="307">
        <f t="shared" ca="1" si="241"/>
        <v>-2.2055184223558024</v>
      </c>
      <c r="F567" s="304">
        <f t="shared" ca="1" si="242"/>
        <v>2.3226557017693454</v>
      </c>
      <c r="G567" s="306">
        <f t="shared" ca="1" si="243"/>
        <v>12.456505297197959</v>
      </c>
      <c r="H567" s="307">
        <f t="shared" ca="1" si="244"/>
        <v>-130.06486034123779</v>
      </c>
      <c r="I567" s="304">
        <f t="shared" ca="1" si="245"/>
        <v>130.6599878302643</v>
      </c>
      <c r="J567" s="306">
        <f t="shared" ca="1" si="246"/>
        <v>889.84792314375909</v>
      </c>
      <c r="K567" s="307">
        <f t="shared" ca="1" si="247"/>
        <v>-7.1275841990388669</v>
      </c>
      <c r="L567" s="304">
        <f t="shared" ca="1" si="232"/>
        <v>889.8764682694873</v>
      </c>
      <c r="M567" s="306">
        <f t="shared" ca="1" si="248"/>
        <v>-1.4753160482371399</v>
      </c>
      <c r="N567" s="304">
        <f t="shared" ca="1" si="249"/>
        <v>-84.529383011907086</v>
      </c>
      <c r="P567" s="310">
        <f t="shared" ca="1" si="250"/>
        <v>23</v>
      </c>
      <c r="Q567" s="304">
        <f t="shared" ca="1" si="251"/>
        <v>0</v>
      </c>
      <c r="R567" s="306">
        <f t="shared" ca="1" si="252"/>
        <v>0</v>
      </c>
      <c r="S567" s="307">
        <f t="shared" ca="1" si="253"/>
        <v>7.150000000000003</v>
      </c>
      <c r="T567" s="304">
        <f t="shared" ca="1" si="233"/>
        <v>70.141500000000036</v>
      </c>
      <c r="U567" s="311">
        <f t="shared" ca="1" si="234"/>
        <v>0</v>
      </c>
      <c r="V567" s="306">
        <f t="shared" ca="1" si="235"/>
        <v>1.2258734403403608</v>
      </c>
      <c r="W567" s="304">
        <f t="shared" ca="1" si="236"/>
        <v>54.62108167658436</v>
      </c>
      <c r="Y567" s="314" t="str">
        <f t="shared" ca="1" si="254"/>
        <v/>
      </c>
      <c r="Z567" s="315" t="str">
        <f t="shared" ca="1" si="255"/>
        <v/>
      </c>
      <c r="AA567" s="316" t="str">
        <f t="shared" ca="1" si="256"/>
        <v/>
      </c>
      <c r="AC567" s="310" t="e">
        <f t="shared" ca="1" si="257"/>
        <v>#N/A</v>
      </c>
      <c r="AD567" s="323" t="e">
        <f t="shared" ca="1" si="258"/>
        <v>#N/A</v>
      </c>
      <c r="AE567" s="324" t="e">
        <f t="shared" ca="1" si="237"/>
        <v>#N/A</v>
      </c>
      <c r="AG567" s="306">
        <f t="shared" ca="1" si="259"/>
        <v>2.1260396136213444</v>
      </c>
      <c r="AH567" s="304">
        <f t="shared" ca="1" si="260"/>
        <v>-7.6392773259216611</v>
      </c>
    </row>
    <row r="568" spans="1:34" x14ac:dyDescent="0.2">
      <c r="A568" s="347">
        <f t="shared" ca="1" si="238"/>
        <v>1E-4</v>
      </c>
      <c r="B568" s="304">
        <f t="shared" ca="1" si="239"/>
        <v>36.701700000000308</v>
      </c>
      <c r="D568" s="306">
        <f t="shared" ca="1" si="240"/>
        <v>-0.72829588845303972</v>
      </c>
      <c r="E568" s="307">
        <f t="shared" ca="1" si="241"/>
        <v>-2.2054832628658367</v>
      </c>
      <c r="F568" s="304">
        <f t="shared" ca="1" si="242"/>
        <v>2.3226216488956912</v>
      </c>
      <c r="G568" s="306">
        <f t="shared" ca="1" si="243"/>
        <v>12.456432467609114</v>
      </c>
      <c r="H568" s="307">
        <f t="shared" ca="1" si="244"/>
        <v>-130.06508088956409</v>
      </c>
      <c r="I568" s="304">
        <f t="shared" ca="1" si="245"/>
        <v>130.6602004308464</v>
      </c>
      <c r="J568" s="306">
        <f t="shared" ca="1" si="246"/>
        <v>889.84792314375909</v>
      </c>
      <c r="K568" s="307">
        <f t="shared" ca="1" si="247"/>
        <v>-7.1405906961004071</v>
      </c>
      <c r="L568" s="304">
        <f t="shared" ca="1" si="232"/>
        <v>889.8765725418051</v>
      </c>
      <c r="M568" s="306">
        <f t="shared" ca="1" si="248"/>
        <v>-1.4753167640166975</v>
      </c>
      <c r="N568" s="304">
        <f t="shared" ca="1" si="249"/>
        <v>-84.529424023054801</v>
      </c>
      <c r="P568" s="310">
        <f t="shared" ca="1" si="250"/>
        <v>23</v>
      </c>
      <c r="Q568" s="304">
        <f t="shared" ca="1" si="251"/>
        <v>0</v>
      </c>
      <c r="R568" s="306">
        <f t="shared" ca="1" si="252"/>
        <v>0</v>
      </c>
      <c r="S568" s="307">
        <f t="shared" ca="1" si="253"/>
        <v>7.150000000000003</v>
      </c>
      <c r="T568" s="304">
        <f t="shared" ca="1" si="233"/>
        <v>70.141500000000036</v>
      </c>
      <c r="U568" s="311">
        <f t="shared" ca="1" si="234"/>
        <v>0</v>
      </c>
      <c r="V568" s="306">
        <f t="shared" ca="1" si="235"/>
        <v>1.2258750347735305</v>
      </c>
      <c r="W568" s="304">
        <f t="shared" ca="1" si="236"/>
        <v>54.62133047094003</v>
      </c>
      <c r="Y568" s="314" t="str">
        <f t="shared" ca="1" si="254"/>
        <v/>
      </c>
      <c r="Z568" s="315" t="str">
        <f t="shared" ca="1" si="255"/>
        <v/>
      </c>
      <c r="AA568" s="316" t="str">
        <f t="shared" ca="1" si="256"/>
        <v/>
      </c>
      <c r="AC568" s="310" t="e">
        <f t="shared" ca="1" si="257"/>
        <v>#N/A</v>
      </c>
      <c r="AD568" s="323" t="e">
        <f t="shared" ca="1" si="258"/>
        <v>#N/A</v>
      </c>
      <c r="AE568" s="324" t="e">
        <f t="shared" ca="1" si="237"/>
        <v>#N/A</v>
      </c>
      <c r="AG568" s="306">
        <f t="shared" ca="1" si="259"/>
        <v>2.1260054863773528</v>
      </c>
      <c r="AH568" s="304">
        <f t="shared" ca="1" si="260"/>
        <v>-7.6393121225992084</v>
      </c>
    </row>
    <row r="569" spans="1:34" x14ac:dyDescent="0.2">
      <c r="A569" s="347">
        <f t="shared" ca="1" si="238"/>
        <v>1E-4</v>
      </c>
      <c r="B569" s="304">
        <f t="shared" ca="1" si="239"/>
        <v>36.701800000000311</v>
      </c>
      <c r="D569" s="306">
        <f t="shared" ca="1" si="240"/>
        <v>-0.7282937625959196</v>
      </c>
      <c r="E569" s="307">
        <f t="shared" ca="1" si="241"/>
        <v>-2.2054481036427269</v>
      </c>
      <c r="F569" s="304">
        <f t="shared" ca="1" si="242"/>
        <v>2.322587596302327</v>
      </c>
      <c r="G569" s="306">
        <f t="shared" ca="1" si="243"/>
        <v>12.456359638232854</v>
      </c>
      <c r="H569" s="307">
        <f t="shared" ca="1" si="244"/>
        <v>-130.06530143437445</v>
      </c>
      <c r="I569" s="304">
        <f t="shared" ca="1" si="245"/>
        <v>130.66041302801582</v>
      </c>
      <c r="J569" s="306">
        <f t="shared" ca="1" si="246"/>
        <v>889.84792314375909</v>
      </c>
      <c r="K569" s="307">
        <f t="shared" ca="1" si="247"/>
        <v>-7.1535972152166041</v>
      </c>
      <c r="L569" s="304">
        <f t="shared" ca="1" si="232"/>
        <v>889.87667700439192</v>
      </c>
      <c r="M569" s="306">
        <f t="shared" ca="1" si="248"/>
        <v>-1.475317479789741</v>
      </c>
      <c r="N569" s="304">
        <f t="shared" ca="1" si="249"/>
        <v>-84.529465033829283</v>
      </c>
      <c r="P569" s="310">
        <f t="shared" ca="1" si="250"/>
        <v>23</v>
      </c>
      <c r="Q569" s="304">
        <f t="shared" ca="1" si="251"/>
        <v>0</v>
      </c>
      <c r="R569" s="306">
        <f t="shared" ca="1" si="252"/>
        <v>0</v>
      </c>
      <c r="S569" s="307">
        <f t="shared" ca="1" si="253"/>
        <v>7.150000000000003</v>
      </c>
      <c r="T569" s="304">
        <f t="shared" ca="1" si="233"/>
        <v>70.141500000000036</v>
      </c>
      <c r="U569" s="311">
        <f t="shared" ca="1" si="234"/>
        <v>0</v>
      </c>
      <c r="V569" s="306">
        <f t="shared" ca="1" si="235"/>
        <v>1.2258766292114782</v>
      </c>
      <c r="W569" s="304">
        <f t="shared" ca="1" si="236"/>
        <v>54.6215792634069</v>
      </c>
      <c r="Y569" s="314" t="str">
        <f t="shared" ca="1" si="254"/>
        <v/>
      </c>
      <c r="Z569" s="315" t="str">
        <f t="shared" ca="1" si="255"/>
        <v/>
      </c>
      <c r="AA569" s="316" t="str">
        <f t="shared" ca="1" si="256"/>
        <v/>
      </c>
      <c r="AC569" s="310" t="e">
        <f t="shared" ca="1" si="257"/>
        <v>#N/A</v>
      </c>
      <c r="AD569" s="323" t="e">
        <f t="shared" ca="1" si="258"/>
        <v>#N/A</v>
      </c>
      <c r="AE569" s="324" t="e">
        <f t="shared" ca="1" si="237"/>
        <v>#N/A</v>
      </c>
      <c r="AG569" s="306">
        <f t="shared" ca="1" si="259"/>
        <v>2.1259713593864316</v>
      </c>
      <c r="AH569" s="304">
        <f t="shared" ca="1" si="260"/>
        <v>-7.6393469190125884</v>
      </c>
    </row>
    <row r="570" spans="1:34" x14ac:dyDescent="0.2">
      <c r="A570" s="347">
        <f t="shared" ca="1" si="238"/>
        <v>1E-4</v>
      </c>
      <c r="B570" s="304">
        <f t="shared" ca="1" si="239"/>
        <v>36.701900000000315</v>
      </c>
      <c r="D570" s="306">
        <f t="shared" ca="1" si="240"/>
        <v>-0.7282916367131933</v>
      </c>
      <c r="E570" s="307">
        <f t="shared" ca="1" si="241"/>
        <v>-2.2054129446864721</v>
      </c>
      <c r="F570" s="304">
        <f t="shared" ca="1" si="242"/>
        <v>2.3225535439892528</v>
      </c>
      <c r="G570" s="306">
        <f t="shared" ca="1" si="243"/>
        <v>12.456286809069184</v>
      </c>
      <c r="H570" s="307">
        <f t="shared" ca="1" si="244"/>
        <v>-130.06552197566893</v>
      </c>
      <c r="I570" s="304">
        <f t="shared" ca="1" si="245"/>
        <v>130.66062562177257</v>
      </c>
      <c r="J570" s="306">
        <f t="shared" ca="1" si="246"/>
        <v>889.84792314375909</v>
      </c>
      <c r="K570" s="307">
        <f t="shared" ca="1" si="247"/>
        <v>-7.1666037563871061</v>
      </c>
      <c r="L570" s="304">
        <f t="shared" ca="1" si="232"/>
        <v>889.87678165724856</v>
      </c>
      <c r="M570" s="306">
        <f t="shared" ca="1" si="248"/>
        <v>-1.4753181955562702</v>
      </c>
      <c r="N570" s="304">
        <f t="shared" ca="1" si="249"/>
        <v>-84.52950604423053</v>
      </c>
      <c r="P570" s="310">
        <f t="shared" ca="1" si="250"/>
        <v>23</v>
      </c>
      <c r="Q570" s="304">
        <f t="shared" ca="1" si="251"/>
        <v>0</v>
      </c>
      <c r="R570" s="306">
        <f t="shared" ca="1" si="252"/>
        <v>0</v>
      </c>
      <c r="S570" s="307">
        <f t="shared" ca="1" si="253"/>
        <v>7.150000000000003</v>
      </c>
      <c r="T570" s="304">
        <f t="shared" ca="1" si="233"/>
        <v>70.141500000000036</v>
      </c>
      <c r="U570" s="311">
        <f t="shared" ca="1" si="234"/>
        <v>0</v>
      </c>
      <c r="V570" s="306">
        <f t="shared" ca="1" si="235"/>
        <v>1.2258782236542045</v>
      </c>
      <c r="W570" s="304">
        <f t="shared" ca="1" si="236"/>
        <v>54.621828053984991</v>
      </c>
      <c r="Y570" s="314" t="str">
        <f t="shared" ca="1" si="254"/>
        <v/>
      </c>
      <c r="Z570" s="315" t="str">
        <f t="shared" ca="1" si="255"/>
        <v/>
      </c>
      <c r="AA570" s="316" t="str">
        <f t="shared" ca="1" si="256"/>
        <v/>
      </c>
      <c r="AC570" s="310" t="e">
        <f t="shared" ca="1" si="257"/>
        <v>#N/A</v>
      </c>
      <c r="AD570" s="323" t="e">
        <f t="shared" ca="1" si="258"/>
        <v>#N/A</v>
      </c>
      <c r="AE570" s="324" t="e">
        <f t="shared" ca="1" si="237"/>
        <v>#N/A</v>
      </c>
      <c r="AG570" s="306">
        <f t="shared" ca="1" si="259"/>
        <v>2.1259372326485826</v>
      </c>
      <c r="AH570" s="304">
        <f t="shared" ca="1" si="260"/>
        <v>-7.6393817151618011</v>
      </c>
    </row>
    <row r="571" spans="1:34" x14ac:dyDescent="0.2">
      <c r="A571" s="347">
        <f t="shared" ca="1" si="238"/>
        <v>1E-4</v>
      </c>
      <c r="B571" s="304">
        <f t="shared" ca="1" si="239"/>
        <v>36.702000000000318</v>
      </c>
      <c r="D571" s="306">
        <f t="shared" ca="1" si="240"/>
        <v>-0.72828951080486404</v>
      </c>
      <c r="E571" s="307">
        <f t="shared" ca="1" si="241"/>
        <v>-2.2053777859970705</v>
      </c>
      <c r="F571" s="304">
        <f t="shared" ca="1" si="242"/>
        <v>2.3225194919564673</v>
      </c>
      <c r="G571" s="306">
        <f t="shared" ca="1" si="243"/>
        <v>12.456213980118104</v>
      </c>
      <c r="H571" s="307">
        <f t="shared" ca="1" si="244"/>
        <v>-130.06574251344753</v>
      </c>
      <c r="I571" s="304">
        <f t="shared" ca="1" si="245"/>
        <v>130.66083821211666</v>
      </c>
      <c r="J571" s="306">
        <f t="shared" ca="1" si="246"/>
        <v>889.84792314375909</v>
      </c>
      <c r="K571" s="307">
        <f t="shared" ca="1" si="247"/>
        <v>-7.1796103196115624</v>
      </c>
      <c r="L571" s="304">
        <f t="shared" ca="1" si="232"/>
        <v>889.87688650037592</v>
      </c>
      <c r="M571" s="306">
        <f t="shared" ca="1" si="248"/>
        <v>-1.4753189113162855</v>
      </c>
      <c r="N571" s="304">
        <f t="shared" ca="1" si="249"/>
        <v>-84.529547054258543</v>
      </c>
      <c r="P571" s="310">
        <f t="shared" ca="1" si="250"/>
        <v>23</v>
      </c>
      <c r="Q571" s="304">
        <f t="shared" ca="1" si="251"/>
        <v>0</v>
      </c>
      <c r="R571" s="306">
        <f t="shared" ca="1" si="252"/>
        <v>0</v>
      </c>
      <c r="S571" s="307">
        <f t="shared" ca="1" si="253"/>
        <v>7.150000000000003</v>
      </c>
      <c r="T571" s="304">
        <f t="shared" ca="1" si="233"/>
        <v>70.141500000000036</v>
      </c>
      <c r="U571" s="311">
        <f t="shared" ca="1" si="234"/>
        <v>0</v>
      </c>
      <c r="V571" s="306">
        <f t="shared" ca="1" si="235"/>
        <v>1.2258798181017083</v>
      </c>
      <c r="W571" s="304">
        <f t="shared" ca="1" si="236"/>
        <v>54.622076842674261</v>
      </c>
      <c r="Y571" s="314" t="str">
        <f t="shared" ca="1" si="254"/>
        <v/>
      </c>
      <c r="Z571" s="315" t="str">
        <f t="shared" ca="1" si="255"/>
        <v/>
      </c>
      <c r="AA571" s="316" t="str">
        <f t="shared" ca="1" si="256"/>
        <v/>
      </c>
      <c r="AC571" s="310" t="e">
        <f t="shared" ca="1" si="257"/>
        <v>#N/A</v>
      </c>
      <c r="AD571" s="323" t="e">
        <f t="shared" ca="1" si="258"/>
        <v>#N/A</v>
      </c>
      <c r="AE571" s="324" t="e">
        <f t="shared" ca="1" si="237"/>
        <v>#N/A</v>
      </c>
      <c r="AG571" s="306">
        <f t="shared" ca="1" si="259"/>
        <v>2.1259031061638032</v>
      </c>
      <c r="AH571" s="304">
        <f t="shared" ca="1" si="260"/>
        <v>-7.639416511046849</v>
      </c>
    </row>
    <row r="572" spans="1:34" x14ac:dyDescent="0.2">
      <c r="A572" s="347">
        <f t="shared" ca="1" si="238"/>
        <v>1E-4</v>
      </c>
      <c r="B572" s="304">
        <f t="shared" ca="1" si="239"/>
        <v>36.702100000000321</v>
      </c>
      <c r="D572" s="306">
        <f t="shared" ca="1" si="240"/>
        <v>-0.72828738487092881</v>
      </c>
      <c r="E572" s="307">
        <f t="shared" ca="1" si="241"/>
        <v>-2.2053426275745291</v>
      </c>
      <c r="F572" s="304">
        <f t="shared" ca="1" si="242"/>
        <v>2.3224854402039776</v>
      </c>
      <c r="G572" s="306">
        <f t="shared" ca="1" si="243"/>
        <v>12.456141151379617</v>
      </c>
      <c r="H572" s="307">
        <f t="shared" ca="1" si="244"/>
        <v>-130.06596304771028</v>
      </c>
      <c r="I572" s="304">
        <f t="shared" ca="1" si="245"/>
        <v>130.6610507990481</v>
      </c>
      <c r="J572" s="306">
        <f t="shared" ca="1" si="246"/>
        <v>889.84792314375909</v>
      </c>
      <c r="K572" s="307">
        <f t="shared" ca="1" si="247"/>
        <v>-7.1926169048896202</v>
      </c>
      <c r="L572" s="304">
        <f t="shared" ca="1" si="232"/>
        <v>889.8769915337748</v>
      </c>
      <c r="M572" s="306">
        <f t="shared" ca="1" si="248"/>
        <v>-1.4753196270697866</v>
      </c>
      <c r="N572" s="304">
        <f t="shared" ca="1" si="249"/>
        <v>-84.529588063913337</v>
      </c>
      <c r="P572" s="310">
        <f t="shared" ca="1" si="250"/>
        <v>23</v>
      </c>
      <c r="Q572" s="304">
        <f t="shared" ca="1" si="251"/>
        <v>0</v>
      </c>
      <c r="R572" s="306">
        <f t="shared" ca="1" si="252"/>
        <v>0</v>
      </c>
      <c r="S572" s="307">
        <f t="shared" ca="1" si="253"/>
        <v>7.150000000000003</v>
      </c>
      <c r="T572" s="304">
        <f t="shared" ca="1" si="233"/>
        <v>70.141500000000036</v>
      </c>
      <c r="U572" s="311">
        <f t="shared" ca="1" si="234"/>
        <v>0</v>
      </c>
      <c r="V572" s="306">
        <f t="shared" ca="1" si="235"/>
        <v>1.2258814125539907</v>
      </c>
      <c r="W572" s="304">
        <f t="shared" ca="1" si="236"/>
        <v>54.622325629474716</v>
      </c>
      <c r="Y572" s="314" t="str">
        <f t="shared" ca="1" si="254"/>
        <v/>
      </c>
      <c r="Z572" s="315" t="str">
        <f t="shared" ca="1" si="255"/>
        <v/>
      </c>
      <c r="AA572" s="316" t="str">
        <f t="shared" ca="1" si="256"/>
        <v/>
      </c>
      <c r="AC572" s="310" t="e">
        <f t="shared" ca="1" si="257"/>
        <v>#N/A</v>
      </c>
      <c r="AD572" s="323" t="e">
        <f t="shared" ca="1" si="258"/>
        <v>#N/A</v>
      </c>
      <c r="AE572" s="324" t="e">
        <f t="shared" ca="1" si="237"/>
        <v>#N/A</v>
      </c>
      <c r="AG572" s="306">
        <f t="shared" ca="1" si="259"/>
        <v>2.1258689799321004</v>
      </c>
      <c r="AH572" s="304">
        <f t="shared" ca="1" si="260"/>
        <v>-7.6394513066677252</v>
      </c>
    </row>
    <row r="573" spans="1:34" x14ac:dyDescent="0.2">
      <c r="A573" s="347">
        <f t="shared" ca="1" si="238"/>
        <v>1E-4</v>
      </c>
      <c r="B573" s="304">
        <f t="shared" ca="1" si="239"/>
        <v>36.702200000000325</v>
      </c>
      <c r="D573" s="306">
        <f t="shared" ca="1" si="240"/>
        <v>-0.72828525891139084</v>
      </c>
      <c r="E573" s="307">
        <f t="shared" ca="1" si="241"/>
        <v>-2.2053074694188446</v>
      </c>
      <c r="F573" s="304">
        <f t="shared" ca="1" si="242"/>
        <v>2.3224513887317815</v>
      </c>
      <c r="G573" s="306">
        <f t="shared" ca="1" si="243"/>
        <v>12.456068322853726</v>
      </c>
      <c r="H573" s="307">
        <f t="shared" ca="1" si="244"/>
        <v>-130.06618357845721</v>
      </c>
      <c r="I573" s="304">
        <f t="shared" ca="1" si="245"/>
        <v>130.66126338256694</v>
      </c>
      <c r="J573" s="306">
        <f t="shared" ca="1" si="246"/>
        <v>889.84792314375909</v>
      </c>
      <c r="K573" s="307">
        <f t="shared" ca="1" si="247"/>
        <v>-7.2056235122209289</v>
      </c>
      <c r="L573" s="304">
        <f t="shared" ca="1" si="232"/>
        <v>889.87709675744611</v>
      </c>
      <c r="M573" s="306">
        <f t="shared" ca="1" si="248"/>
        <v>-1.4753203428167738</v>
      </c>
      <c r="N573" s="304">
        <f t="shared" ca="1" si="249"/>
        <v>-84.529629073194897</v>
      </c>
      <c r="P573" s="310">
        <f t="shared" ca="1" si="250"/>
        <v>23</v>
      </c>
      <c r="Q573" s="304">
        <f t="shared" ca="1" si="251"/>
        <v>0</v>
      </c>
      <c r="R573" s="306">
        <f t="shared" ca="1" si="252"/>
        <v>0</v>
      </c>
      <c r="S573" s="307">
        <f t="shared" ca="1" si="253"/>
        <v>7.150000000000003</v>
      </c>
      <c r="T573" s="304">
        <f t="shared" ca="1" si="233"/>
        <v>70.141500000000036</v>
      </c>
      <c r="U573" s="311">
        <f t="shared" ca="1" si="234"/>
        <v>0</v>
      </c>
      <c r="V573" s="306">
        <f t="shared" ca="1" si="235"/>
        <v>1.2258830070110511</v>
      </c>
      <c r="W573" s="304">
        <f t="shared" ca="1" si="236"/>
        <v>54.622574414386385</v>
      </c>
      <c r="Y573" s="314" t="str">
        <f t="shared" ca="1" si="254"/>
        <v/>
      </c>
      <c r="Z573" s="315" t="str">
        <f t="shared" ca="1" si="255"/>
        <v/>
      </c>
      <c r="AA573" s="316" t="str">
        <f t="shared" ca="1" si="256"/>
        <v/>
      </c>
      <c r="AC573" s="310" t="e">
        <f t="shared" ca="1" si="257"/>
        <v>#N/A</v>
      </c>
      <c r="AD573" s="323" t="e">
        <f t="shared" ca="1" si="258"/>
        <v>#N/A</v>
      </c>
      <c r="AE573" s="324" t="e">
        <f t="shared" ca="1" si="237"/>
        <v>#N/A</v>
      </c>
      <c r="AG573" s="306">
        <f t="shared" ca="1" si="259"/>
        <v>2.1258348539534735</v>
      </c>
      <c r="AH573" s="304">
        <f t="shared" ca="1" si="260"/>
        <v>-7.6394861020244322</v>
      </c>
    </row>
    <row r="574" spans="1:34" x14ac:dyDescent="0.2">
      <c r="A574" s="347">
        <f t="shared" ca="1" si="238"/>
        <v>1E-4</v>
      </c>
      <c r="B574" s="304">
        <f t="shared" ca="1" si="239"/>
        <v>36.702300000000328</v>
      </c>
      <c r="D574" s="306">
        <f t="shared" ca="1" si="240"/>
        <v>-0.72828313292625024</v>
      </c>
      <c r="E574" s="307">
        <f t="shared" ca="1" si="241"/>
        <v>-2.2052723115300141</v>
      </c>
      <c r="F574" s="304">
        <f t="shared" ca="1" si="242"/>
        <v>2.3224173375398758</v>
      </c>
      <c r="G574" s="306">
        <f t="shared" ca="1" si="243"/>
        <v>12.455995494540433</v>
      </c>
      <c r="H574" s="307">
        <f t="shared" ca="1" si="244"/>
        <v>-130.06640410568838</v>
      </c>
      <c r="I574" s="304">
        <f t="shared" ca="1" si="245"/>
        <v>130.66147596267325</v>
      </c>
      <c r="J574" s="306">
        <f t="shared" ca="1" si="246"/>
        <v>889.84792314375909</v>
      </c>
      <c r="K574" s="307">
        <f t="shared" ca="1" si="247"/>
        <v>-7.2186301416051366</v>
      </c>
      <c r="L574" s="304">
        <f t="shared" ca="1" si="232"/>
        <v>889.87720217139099</v>
      </c>
      <c r="M574" s="306">
        <f t="shared" ca="1" si="248"/>
        <v>-1.4753210585572474</v>
      </c>
      <c r="N574" s="304">
        <f t="shared" ca="1" si="249"/>
        <v>-84.529670082103266</v>
      </c>
      <c r="P574" s="310">
        <f t="shared" ca="1" si="250"/>
        <v>23</v>
      </c>
      <c r="Q574" s="304">
        <f t="shared" ca="1" si="251"/>
        <v>0</v>
      </c>
      <c r="R574" s="306">
        <f t="shared" ca="1" si="252"/>
        <v>0</v>
      </c>
      <c r="S574" s="307">
        <f t="shared" ca="1" si="253"/>
        <v>7.150000000000003</v>
      </c>
      <c r="T574" s="304">
        <f t="shared" ca="1" si="233"/>
        <v>70.141500000000036</v>
      </c>
      <c r="U574" s="311">
        <f t="shared" ca="1" si="234"/>
        <v>0</v>
      </c>
      <c r="V574" s="306">
        <f t="shared" ca="1" si="235"/>
        <v>1.2258846014728892</v>
      </c>
      <c r="W574" s="304">
        <f t="shared" ca="1" si="236"/>
        <v>54.622823197409254</v>
      </c>
      <c r="Y574" s="314" t="str">
        <f t="shared" ca="1" si="254"/>
        <v/>
      </c>
      <c r="Z574" s="315" t="str">
        <f t="shared" ca="1" si="255"/>
        <v/>
      </c>
      <c r="AA574" s="316" t="str">
        <f t="shared" ca="1" si="256"/>
        <v/>
      </c>
      <c r="AC574" s="310" t="e">
        <f t="shared" ca="1" si="257"/>
        <v>#N/A</v>
      </c>
      <c r="AD574" s="323" t="e">
        <f t="shared" ca="1" si="258"/>
        <v>#N/A</v>
      </c>
      <c r="AE574" s="324" t="e">
        <f t="shared" ca="1" si="237"/>
        <v>#N/A</v>
      </c>
      <c r="AG574" s="306">
        <f t="shared" ca="1" si="259"/>
        <v>2.1258007282279152</v>
      </c>
      <c r="AH574" s="304">
        <f t="shared" ca="1" si="260"/>
        <v>-7.6395208971169737</v>
      </c>
    </row>
    <row r="575" spans="1:34" x14ac:dyDescent="0.2">
      <c r="A575" s="347">
        <f t="shared" ca="1" si="238"/>
        <v>1E-4</v>
      </c>
      <c r="B575" s="304">
        <f t="shared" ca="1" si="239"/>
        <v>36.702400000000331</v>
      </c>
      <c r="D575" s="306">
        <f t="shared" ca="1" si="240"/>
        <v>-0.72828100691550612</v>
      </c>
      <c r="E575" s="307">
        <f t="shared" ca="1" si="241"/>
        <v>-2.2052371539080404</v>
      </c>
      <c r="F575" s="304">
        <f t="shared" ca="1" si="242"/>
        <v>2.3223832866282641</v>
      </c>
      <c r="G575" s="306">
        <f t="shared" ca="1" si="243"/>
        <v>12.455922666439742</v>
      </c>
      <c r="H575" s="307">
        <f t="shared" ca="1" si="244"/>
        <v>-130.06662462940378</v>
      </c>
      <c r="I575" s="304">
        <f t="shared" ca="1" si="245"/>
        <v>130.66168853936702</v>
      </c>
      <c r="J575" s="306">
        <f t="shared" ca="1" si="246"/>
        <v>889.84792314375909</v>
      </c>
      <c r="K575" s="307">
        <f t="shared" ca="1" si="247"/>
        <v>-7.2316367930418908</v>
      </c>
      <c r="L575" s="304">
        <f t="shared" ca="1" si="232"/>
        <v>889.87730777561012</v>
      </c>
      <c r="M575" s="306">
        <f t="shared" ca="1" si="248"/>
        <v>-1.475321774291207</v>
      </c>
      <c r="N575" s="304">
        <f t="shared" ca="1" si="249"/>
        <v>-84.529711090638401</v>
      </c>
      <c r="P575" s="310">
        <f t="shared" ca="1" si="250"/>
        <v>23</v>
      </c>
      <c r="Q575" s="304">
        <f t="shared" ca="1" si="251"/>
        <v>0</v>
      </c>
      <c r="R575" s="306">
        <f t="shared" ca="1" si="252"/>
        <v>0</v>
      </c>
      <c r="S575" s="307">
        <f t="shared" ca="1" si="253"/>
        <v>7.150000000000003</v>
      </c>
      <c r="T575" s="304">
        <f t="shared" ca="1" si="233"/>
        <v>70.141500000000036</v>
      </c>
      <c r="U575" s="311">
        <f t="shared" ca="1" si="234"/>
        <v>0</v>
      </c>
      <c r="V575" s="306">
        <f t="shared" ca="1" si="235"/>
        <v>1.225886195939506</v>
      </c>
      <c r="W575" s="304">
        <f t="shared" ca="1" si="236"/>
        <v>54.623071978543351</v>
      </c>
      <c r="Y575" s="314" t="str">
        <f t="shared" ca="1" si="254"/>
        <v/>
      </c>
      <c r="Z575" s="315" t="str">
        <f t="shared" ca="1" si="255"/>
        <v/>
      </c>
      <c r="AA575" s="316" t="str">
        <f t="shared" ca="1" si="256"/>
        <v/>
      </c>
      <c r="AC575" s="310" t="e">
        <f t="shared" ca="1" si="257"/>
        <v>#N/A</v>
      </c>
      <c r="AD575" s="323" t="e">
        <f t="shared" ca="1" si="258"/>
        <v>#N/A</v>
      </c>
      <c r="AE575" s="324" t="e">
        <f t="shared" ca="1" si="237"/>
        <v>#N/A</v>
      </c>
      <c r="AG575" s="306">
        <f t="shared" ca="1" si="259"/>
        <v>2.1257666027554318</v>
      </c>
      <c r="AH575" s="304">
        <f t="shared" ca="1" si="260"/>
        <v>-7.6395556919453469</v>
      </c>
    </row>
    <row r="576" spans="1:34" x14ac:dyDescent="0.2">
      <c r="A576" s="347">
        <f t="shared" ca="1" si="238"/>
        <v>1E-4</v>
      </c>
      <c r="B576" s="304">
        <f t="shared" ca="1" si="239"/>
        <v>36.702500000000335</v>
      </c>
      <c r="D576" s="306">
        <f t="shared" ca="1" si="240"/>
        <v>-0.72827888087916193</v>
      </c>
      <c r="E576" s="307">
        <f t="shared" ca="1" si="241"/>
        <v>-2.205201996552919</v>
      </c>
      <c r="F576" s="304">
        <f t="shared" ca="1" si="242"/>
        <v>2.3223492359969433</v>
      </c>
      <c r="G576" s="306">
        <f t="shared" ca="1" si="243"/>
        <v>12.455849838551654</v>
      </c>
      <c r="H576" s="307">
        <f t="shared" ca="1" si="244"/>
        <v>-130.06684514960344</v>
      </c>
      <c r="I576" s="304">
        <f t="shared" ca="1" si="245"/>
        <v>130.66190111264825</v>
      </c>
      <c r="J576" s="306">
        <f t="shared" ca="1" si="246"/>
        <v>889.84792314375909</v>
      </c>
      <c r="K576" s="307">
        <f t="shared" ca="1" si="247"/>
        <v>-7.2446434665308415</v>
      </c>
      <c r="L576" s="304">
        <f t="shared" ca="1" si="232"/>
        <v>889.8774135701043</v>
      </c>
      <c r="M576" s="306">
        <f t="shared" ca="1" si="248"/>
        <v>-1.4753224900186532</v>
      </c>
      <c r="N576" s="304">
        <f t="shared" ca="1" si="249"/>
        <v>-84.529752098800358</v>
      </c>
      <c r="P576" s="310">
        <f t="shared" ca="1" si="250"/>
        <v>23</v>
      </c>
      <c r="Q576" s="304">
        <f t="shared" ca="1" si="251"/>
        <v>0</v>
      </c>
      <c r="R576" s="306">
        <f t="shared" ca="1" si="252"/>
        <v>0</v>
      </c>
      <c r="S576" s="307">
        <f t="shared" ca="1" si="253"/>
        <v>7.150000000000003</v>
      </c>
      <c r="T576" s="304">
        <f t="shared" ca="1" si="233"/>
        <v>70.141500000000036</v>
      </c>
      <c r="U576" s="311">
        <f t="shared" ca="1" si="234"/>
        <v>0</v>
      </c>
      <c r="V576" s="306">
        <f t="shared" ca="1" si="235"/>
        <v>1.2258877904109005</v>
      </c>
      <c r="W576" s="304">
        <f t="shared" ca="1" si="236"/>
        <v>54.623320757788626</v>
      </c>
      <c r="Y576" s="314" t="str">
        <f t="shared" ca="1" si="254"/>
        <v/>
      </c>
      <c r="Z576" s="315" t="str">
        <f t="shared" ca="1" si="255"/>
        <v/>
      </c>
      <c r="AA576" s="316" t="str">
        <f t="shared" ca="1" si="256"/>
        <v/>
      </c>
      <c r="AC576" s="310" t="e">
        <f t="shared" ca="1" si="257"/>
        <v>#N/A</v>
      </c>
      <c r="AD576" s="323" t="e">
        <f t="shared" ca="1" si="258"/>
        <v>#N/A</v>
      </c>
      <c r="AE576" s="324" t="e">
        <f t="shared" ca="1" si="237"/>
        <v>#N/A</v>
      </c>
      <c r="AG576" s="306">
        <f t="shared" ca="1" si="259"/>
        <v>2.1257324775360189</v>
      </c>
      <c r="AH576" s="304">
        <f t="shared" ca="1" si="260"/>
        <v>-7.6395904865095563</v>
      </c>
    </row>
    <row r="577" spans="1:34" x14ac:dyDescent="0.2">
      <c r="A577" s="347">
        <f t="shared" ca="1" si="238"/>
        <v>1E-4</v>
      </c>
      <c r="B577" s="304">
        <f t="shared" ca="1" si="239"/>
        <v>36.702600000000338</v>
      </c>
      <c r="D577" s="306">
        <f t="shared" ca="1" si="240"/>
        <v>-0.72827675481721477</v>
      </c>
      <c r="E577" s="307">
        <f t="shared" ca="1" si="241"/>
        <v>-2.2051668394646571</v>
      </c>
      <c r="F577" s="304">
        <f t="shared" ca="1" si="242"/>
        <v>2.3223151856459188</v>
      </c>
      <c r="G577" s="306">
        <f t="shared" ca="1" si="243"/>
        <v>12.455777010876172</v>
      </c>
      <c r="H577" s="307">
        <f t="shared" ca="1" si="244"/>
        <v>-130.06706566628739</v>
      </c>
      <c r="I577" s="304">
        <f t="shared" ca="1" si="245"/>
        <v>130.66211368251697</v>
      </c>
      <c r="J577" s="306">
        <f t="shared" ca="1" si="246"/>
        <v>889.84792314375909</v>
      </c>
      <c r="K577" s="307">
        <f t="shared" ca="1" si="247"/>
        <v>-7.257650162071636</v>
      </c>
      <c r="L577" s="304">
        <f t="shared" ca="1" si="232"/>
        <v>889.87751955487465</v>
      </c>
      <c r="M577" s="306">
        <f t="shared" ca="1" si="248"/>
        <v>-1.4753232057395858</v>
      </c>
      <c r="N577" s="304">
        <f t="shared" ca="1" si="249"/>
        <v>-84.529793106589096</v>
      </c>
      <c r="P577" s="310">
        <f t="shared" ca="1" si="250"/>
        <v>23</v>
      </c>
      <c r="Q577" s="304">
        <f t="shared" ca="1" si="251"/>
        <v>0</v>
      </c>
      <c r="R577" s="306">
        <f t="shared" ca="1" si="252"/>
        <v>0</v>
      </c>
      <c r="S577" s="307">
        <f t="shared" ca="1" si="253"/>
        <v>7.150000000000003</v>
      </c>
      <c r="T577" s="304">
        <f t="shared" ca="1" si="233"/>
        <v>70.141500000000036</v>
      </c>
      <c r="U577" s="311">
        <f t="shared" ca="1" si="234"/>
        <v>0</v>
      </c>
      <c r="V577" s="306">
        <f t="shared" ca="1" si="235"/>
        <v>1.2258893848870724</v>
      </c>
      <c r="W577" s="304">
        <f t="shared" ca="1" si="236"/>
        <v>54.623569535145045</v>
      </c>
      <c r="Y577" s="314" t="str">
        <f t="shared" ca="1" si="254"/>
        <v/>
      </c>
      <c r="Z577" s="315" t="str">
        <f t="shared" ca="1" si="255"/>
        <v/>
      </c>
      <c r="AA577" s="316" t="str">
        <f t="shared" ca="1" si="256"/>
        <v/>
      </c>
      <c r="AC577" s="310" t="e">
        <f t="shared" ca="1" si="257"/>
        <v>#N/A</v>
      </c>
      <c r="AD577" s="323" t="e">
        <f t="shared" ca="1" si="258"/>
        <v>#N/A</v>
      </c>
      <c r="AE577" s="324" t="e">
        <f t="shared" ca="1" si="237"/>
        <v>#N/A</v>
      </c>
      <c r="AG577" s="306">
        <f t="shared" ca="1" si="259"/>
        <v>2.1256983525696818</v>
      </c>
      <c r="AH577" s="304">
        <f t="shared" ca="1" si="260"/>
        <v>-7.6396252808095948</v>
      </c>
    </row>
    <row r="578" spans="1:34" x14ac:dyDescent="0.2">
      <c r="A578" s="347">
        <f t="shared" ca="1" si="238"/>
        <v>1E-4</v>
      </c>
      <c r="B578" s="304">
        <f t="shared" ca="1" si="239"/>
        <v>36.702700000000341</v>
      </c>
      <c r="D578" s="306">
        <f t="shared" ca="1" si="240"/>
        <v>-0.72827462872966719</v>
      </c>
      <c r="E578" s="307">
        <f t="shared" ca="1" si="241"/>
        <v>-2.2051316826432581</v>
      </c>
      <c r="F578" s="304">
        <f t="shared" ca="1" si="242"/>
        <v>2.3222811355751958</v>
      </c>
      <c r="G578" s="306">
        <f t="shared" ca="1" si="243"/>
        <v>12.4557041834133</v>
      </c>
      <c r="H578" s="307">
        <f t="shared" ca="1" si="244"/>
        <v>-130.06728617945566</v>
      </c>
      <c r="I578" s="304">
        <f t="shared" ca="1" si="245"/>
        <v>130.66232624897322</v>
      </c>
      <c r="J578" s="306">
        <f t="shared" ca="1" si="246"/>
        <v>889.84792314375909</v>
      </c>
      <c r="K578" s="307">
        <f t="shared" ca="1" si="247"/>
        <v>-7.2706568796639228</v>
      </c>
      <c r="L578" s="304">
        <f t="shared" ca="1" si="232"/>
        <v>889.87762572992199</v>
      </c>
      <c r="M578" s="306">
        <f t="shared" ca="1" si="248"/>
        <v>-1.4753239214540048</v>
      </c>
      <c r="N578" s="304">
        <f t="shared" ca="1" si="249"/>
        <v>-84.529834114004643</v>
      </c>
      <c r="P578" s="310">
        <f t="shared" ca="1" si="250"/>
        <v>23</v>
      </c>
      <c r="Q578" s="304">
        <f t="shared" ca="1" si="251"/>
        <v>0</v>
      </c>
      <c r="R578" s="306">
        <f t="shared" ca="1" si="252"/>
        <v>0</v>
      </c>
      <c r="S578" s="307">
        <f t="shared" ca="1" si="253"/>
        <v>7.150000000000003</v>
      </c>
      <c r="T578" s="304">
        <f t="shared" ca="1" si="233"/>
        <v>70.141500000000036</v>
      </c>
      <c r="U578" s="311">
        <f t="shared" ca="1" si="234"/>
        <v>0</v>
      </c>
      <c r="V578" s="306">
        <f t="shared" ca="1" si="235"/>
        <v>1.2258909793680224</v>
      </c>
      <c r="W578" s="304">
        <f t="shared" ca="1" si="236"/>
        <v>54.623818310612648</v>
      </c>
      <c r="Y578" s="314" t="str">
        <f t="shared" ca="1" si="254"/>
        <v/>
      </c>
      <c r="Z578" s="315" t="str">
        <f t="shared" ca="1" si="255"/>
        <v/>
      </c>
      <c r="AA578" s="316" t="str">
        <f t="shared" ca="1" si="256"/>
        <v/>
      </c>
      <c r="AC578" s="310" t="e">
        <f t="shared" ca="1" si="257"/>
        <v>#N/A</v>
      </c>
      <c r="AD578" s="323" t="e">
        <f t="shared" ca="1" si="258"/>
        <v>#N/A</v>
      </c>
      <c r="AE578" s="324" t="e">
        <f t="shared" ca="1" si="237"/>
        <v>#N/A</v>
      </c>
      <c r="AG578" s="306">
        <f t="shared" ca="1" si="259"/>
        <v>2.1256642278564266</v>
      </c>
      <c r="AH578" s="304">
        <f t="shared" ca="1" si="260"/>
        <v>-7.6396600748454579</v>
      </c>
    </row>
    <row r="579" spans="1:34" x14ac:dyDescent="0.2">
      <c r="A579" s="347">
        <f t="shared" ca="1" si="238"/>
        <v>1E-4</v>
      </c>
      <c r="B579" s="304">
        <f t="shared" ca="1" si="239"/>
        <v>36.702800000000344</v>
      </c>
      <c r="D579" s="306">
        <f t="shared" ca="1" si="240"/>
        <v>-0.72827250261651932</v>
      </c>
      <c r="E579" s="307">
        <f t="shared" ca="1" si="241"/>
        <v>-2.2050965260887185</v>
      </c>
      <c r="F579" s="304">
        <f t="shared" ca="1" si="242"/>
        <v>2.3222470857847712</v>
      </c>
      <c r="G579" s="306">
        <f t="shared" ca="1" si="243"/>
        <v>12.455631356163037</v>
      </c>
      <c r="H579" s="307">
        <f t="shared" ca="1" si="244"/>
        <v>-130.06750668910828</v>
      </c>
      <c r="I579" s="304">
        <f t="shared" ca="1" si="245"/>
        <v>130.66253881201703</v>
      </c>
      <c r="J579" s="306">
        <f t="shared" ca="1" si="246"/>
        <v>889.84792314375909</v>
      </c>
      <c r="K579" s="307">
        <f t="shared" ca="1" si="247"/>
        <v>-7.283663619307351</v>
      </c>
      <c r="L579" s="304">
        <f t="shared" ca="1" si="232"/>
        <v>889.87773209524721</v>
      </c>
      <c r="M579" s="306">
        <f t="shared" ca="1" si="248"/>
        <v>-1.4753246371619106</v>
      </c>
      <c r="N579" s="304">
        <f t="shared" ca="1" si="249"/>
        <v>-84.529875121047013</v>
      </c>
      <c r="P579" s="310">
        <f t="shared" ca="1" si="250"/>
        <v>23</v>
      </c>
      <c r="Q579" s="304">
        <f t="shared" ca="1" si="251"/>
        <v>0</v>
      </c>
      <c r="R579" s="306">
        <f t="shared" ca="1" si="252"/>
        <v>0</v>
      </c>
      <c r="S579" s="307">
        <f t="shared" ca="1" si="253"/>
        <v>7.150000000000003</v>
      </c>
      <c r="T579" s="304">
        <f t="shared" ca="1" si="233"/>
        <v>70.141500000000036</v>
      </c>
      <c r="U579" s="311">
        <f t="shared" ca="1" si="234"/>
        <v>0</v>
      </c>
      <c r="V579" s="306">
        <f t="shared" ca="1" si="235"/>
        <v>1.2258925738537503</v>
      </c>
      <c r="W579" s="304">
        <f t="shared" ca="1" si="236"/>
        <v>54.624067084191466</v>
      </c>
      <c r="Y579" s="314" t="str">
        <f t="shared" ca="1" si="254"/>
        <v/>
      </c>
      <c r="Z579" s="315" t="str">
        <f t="shared" ca="1" si="255"/>
        <v/>
      </c>
      <c r="AA579" s="316" t="str">
        <f t="shared" ca="1" si="256"/>
        <v/>
      </c>
      <c r="AC579" s="310" t="e">
        <f t="shared" ca="1" si="257"/>
        <v>#N/A</v>
      </c>
      <c r="AD579" s="323" t="e">
        <f t="shared" ca="1" si="258"/>
        <v>#N/A</v>
      </c>
      <c r="AE579" s="324" t="e">
        <f t="shared" ca="1" si="237"/>
        <v>#N/A</v>
      </c>
      <c r="AG579" s="306">
        <f t="shared" ca="1" si="259"/>
        <v>2.125630103396249</v>
      </c>
      <c r="AH579" s="304">
        <f t="shared" ca="1" si="260"/>
        <v>-7.6396948686171502</v>
      </c>
    </row>
    <row r="580" spans="1:34" x14ac:dyDescent="0.2">
      <c r="A580" s="347">
        <f t="shared" ca="1" si="238"/>
        <v>1E-4</v>
      </c>
      <c r="B580" s="304">
        <f t="shared" ca="1" si="239"/>
        <v>36.702900000000348</v>
      </c>
      <c r="D580" s="306">
        <f t="shared" ca="1" si="240"/>
        <v>-0.72827037647777115</v>
      </c>
      <c r="E580" s="307">
        <f t="shared" ca="1" si="241"/>
        <v>-2.2050613698010313</v>
      </c>
      <c r="F580" s="304">
        <f t="shared" ca="1" si="242"/>
        <v>2.3222130362746385</v>
      </c>
      <c r="G580" s="306">
        <f t="shared" ca="1" si="243"/>
        <v>12.455558529125389</v>
      </c>
      <c r="H580" s="307">
        <f t="shared" ca="1" si="244"/>
        <v>-130.06772719524525</v>
      </c>
      <c r="I580" s="304">
        <f t="shared" ca="1" si="245"/>
        <v>130.66275137164843</v>
      </c>
      <c r="J580" s="306">
        <f t="shared" ca="1" si="246"/>
        <v>889.84792314375909</v>
      </c>
      <c r="K580" s="307">
        <f t="shared" ca="1" si="247"/>
        <v>-7.2966703810015687</v>
      </c>
      <c r="L580" s="304">
        <f t="shared" ref="L580:L643" ca="1" si="261">SQRT(pos_x^2+pos_z^2)</f>
        <v>889.87783865085112</v>
      </c>
      <c r="M580" s="306">
        <f t="shared" ca="1" si="248"/>
        <v>-1.4753253528633032</v>
      </c>
      <c r="N580" s="304">
        <f t="shared" ca="1" si="249"/>
        <v>-84.529916127716206</v>
      </c>
      <c r="P580" s="310">
        <f t="shared" ca="1" si="250"/>
        <v>23</v>
      </c>
      <c r="Q580" s="304">
        <f t="shared" ca="1" si="251"/>
        <v>0</v>
      </c>
      <c r="R580" s="306">
        <f t="shared" ca="1" si="252"/>
        <v>0</v>
      </c>
      <c r="S580" s="307">
        <f t="shared" ca="1" si="253"/>
        <v>7.150000000000003</v>
      </c>
      <c r="T580" s="304">
        <f t="shared" ref="T580:T643" ca="1" si="262">m*g</f>
        <v>70.141500000000036</v>
      </c>
      <c r="U580" s="311">
        <f t="shared" ref="U580:U643" ca="1" si="263">IF(pos_xz&lt;L_rampe,Poids*COS(Beta),0)</f>
        <v>0</v>
      </c>
      <c r="V580" s="306">
        <f t="shared" ref="V580:V643" ca="1" si="264">Rho_moyen*(20000-Alt_rampe-pos_z)/(20000+Alt_rampe+pos_z)</f>
        <v>1.2258941683442564</v>
      </c>
      <c r="W580" s="304">
        <f t="shared" ref="W580:W643" ca="1" si="265">1/2*Rho*Sref*Cx*vit_xz^2</f>
        <v>54.624315855881491</v>
      </c>
      <c r="Y580" s="314" t="str">
        <f t="shared" ca="1" si="254"/>
        <v/>
      </c>
      <c r="Z580" s="315" t="str">
        <f t="shared" ca="1" si="255"/>
        <v/>
      </c>
      <c r="AA580" s="316" t="str">
        <f t="shared" ca="1" si="256"/>
        <v/>
      </c>
      <c r="AC580" s="310" t="e">
        <f t="shared" ca="1" si="257"/>
        <v>#N/A</v>
      </c>
      <c r="AD580" s="323" t="e">
        <f t="shared" ca="1" si="258"/>
        <v>#N/A</v>
      </c>
      <c r="AE580" s="324" t="e">
        <f t="shared" ref="AE580:AE643" ca="1" si="266">IF(t&lt;T_para, pos_z, NA())</f>
        <v>#N/A</v>
      </c>
      <c r="AG580" s="306">
        <f t="shared" ca="1" si="259"/>
        <v>2.1255959791891446</v>
      </c>
      <c r="AH580" s="304">
        <f t="shared" ca="1" si="260"/>
        <v>-7.6397296621246777</v>
      </c>
    </row>
    <row r="581" spans="1:34" x14ac:dyDescent="0.2">
      <c r="A581" s="347">
        <f t="shared" ref="A581:A644" ca="1" si="267">IF(B580+0.01&lt;=T_ini+ROUNDUP(Temps_fin_propu,0), 0.01, IF(K580&gt;0, 0.1, 0.0001))</f>
        <v>1E-4</v>
      </c>
      <c r="B581" s="304">
        <f t="shared" ref="B581:B644" ca="1" si="268">B580+pas</f>
        <v>36.703000000000351</v>
      </c>
      <c r="D581" s="306">
        <f t="shared" ref="D581:D644" ca="1" si="269">IF(AND(L580&lt;L_rampe,Poussee&lt;Poids*SIN(M580)),0,(-W580+Poussee)/m*COS(M580)-U580/m*SIN(M580))</f>
        <v>-0.72826825031342368</v>
      </c>
      <c r="E581" s="307">
        <f t="shared" ref="E581:E644" ca="1" si="270">IF(AND(L580&lt;L_rampe,Poussee&lt;Poids*SIN(M580)),0,(-W580+Poussee)/m*SIN(M580)+U580/m*COS(M580)-Poids/m)</f>
        <v>-2.2050262137802008</v>
      </c>
      <c r="F581" s="304">
        <f t="shared" ref="F581:F644" ca="1" si="271">SQRT(acc_x^2+acc_z^2)</f>
        <v>2.322178987044802</v>
      </c>
      <c r="G581" s="306">
        <f t="shared" ref="G581:G644" ca="1" si="272">G580+acc_x*pas</f>
        <v>12.455485702300358</v>
      </c>
      <c r="H581" s="307">
        <f t="shared" ref="H581:H644" ca="1" si="273">H580+acc_z*pas</f>
        <v>-130.06794769786663</v>
      </c>
      <c r="I581" s="304">
        <f t="shared" ref="I581:I644" ca="1" si="274">SQRT(vit_x^2+vit_z^2)</f>
        <v>130.66296392786739</v>
      </c>
      <c r="J581" s="306">
        <f t="shared" ref="J581:J644" ca="1" si="275">J580+0.5*(vit_x+G580)*pas*(K580&gt;=0)</f>
        <v>889.84792314375909</v>
      </c>
      <c r="K581" s="307">
        <f t="shared" ref="K581:K644" ca="1" si="276">K580+0.5*(vit_z+H580)*pas</f>
        <v>-7.3096771647462244</v>
      </c>
      <c r="L581" s="304">
        <f t="shared" ca="1" si="261"/>
        <v>889.87794539673484</v>
      </c>
      <c r="M581" s="306">
        <f t="shared" ref="M581:M644" ca="1" si="277">IF(AND(L580&gt;L_rampe,G581&gt;0),ATAN2(G581,H581),$M$4)</f>
        <v>-1.4753260685581824</v>
      </c>
      <c r="N581" s="304">
        <f t="shared" ref="N581:N644" ca="1" si="278">DEGREES(Beta)</f>
        <v>-84.529957134012193</v>
      </c>
      <c r="P581" s="310">
        <f t="shared" ref="P581:P644" ca="1" si="279">MATCH(t-pas/2-T_ini,CdP_t)</f>
        <v>23</v>
      </c>
      <c r="Q581" s="304">
        <f t="shared" ref="Q581:Q644" ca="1" si="280">(INDEX(CdP,2,i_P+1)-INDEX(CdP,2,i_P+0))/(INDEX(CdP,1,i_P+1)-INDEX(CdP,1,i_P+0))*(t-pas/2-T_ini-INDEX(CdP,1,i_P+0))+INDEX(CdP,2,i_P+0)</f>
        <v>0</v>
      </c>
      <c r="R581" s="306">
        <f t="shared" ref="R581:R644" ca="1" si="281">Poussee/(g*ISP)</f>
        <v>0</v>
      </c>
      <c r="S581" s="307">
        <f t="shared" ref="S581:S644" ca="1" si="282">S580-Débit*pas</f>
        <v>7.150000000000003</v>
      </c>
      <c r="T581" s="304">
        <f t="shared" ca="1" si="262"/>
        <v>70.141500000000036</v>
      </c>
      <c r="U581" s="311">
        <f t="shared" ca="1" si="263"/>
        <v>0</v>
      </c>
      <c r="V581" s="306">
        <f t="shared" ca="1" si="264"/>
        <v>1.2258957628395402</v>
      </c>
      <c r="W581" s="304">
        <f t="shared" ca="1" si="265"/>
        <v>54.624564625682645</v>
      </c>
      <c r="Y581" s="314" t="str">
        <f t="shared" ref="Y581:Y644" ca="1" si="283">IF(AND(pos_z&lt;=0,K580&gt;0),"Impact balistique","") &amp; IF(AND(H582&lt;0,vit_z&gt;=0),"Apogée","") &amp; IF(AND(Poussee=0,Q580&gt;0),"Fin de propulsion","") &amp; IF(AND(L582&gt;L_rampe,pos_xz&lt;=L_rampe),"Sortie de rampe","")</f>
        <v/>
      </c>
      <c r="Z581" s="315" t="str">
        <f t="shared" ref="Z581:Z644" ca="1" si="284">IF(ABS(t-T_para)&lt;pas/2,"Para","")</f>
        <v/>
      </c>
      <c r="AA581" s="316" t="str">
        <f t="shared" ref="AA581:AA644" ca="1" si="285">IF(ABS(t-T_satellite)&lt;pas/2,"Satellite","")</f>
        <v/>
      </c>
      <c r="AC581" s="310" t="e">
        <f t="shared" ref="AC581:AC644" ca="1" si="286">IF(ABS(t-ROUND(t,0))&lt;0.001,t,NA())</f>
        <v>#N/A</v>
      </c>
      <c r="AD581" s="323" t="e">
        <f t="shared" ref="AD581:AD644" ca="1" si="287">IF(ABS(t-ROUND(t,0))&lt;0.001,pos_x,NA())</f>
        <v>#N/A</v>
      </c>
      <c r="AE581" s="324" t="e">
        <f t="shared" ca="1" si="266"/>
        <v>#N/A</v>
      </c>
      <c r="AG581" s="306">
        <f t="shared" ref="AG581:AG644" ca="1" si="288">IF(AND(L580&lt;L_rampe,Poussee&lt;Poids*SIN(M580)),0,(-W580+Poussee)/m-Poids*SIN(M580)/m)</f>
        <v>2.1255618552351123</v>
      </c>
      <c r="AH581" s="304">
        <f t="shared" ref="AH581:AH644" ca="1" si="289">IF(AND(L580&lt;L_rampe,Poussee&lt;Poids*SIN(M580)), g*SIN(M580), (-W580+Poussee)/m)</f>
        <v>-7.6397644553680379</v>
      </c>
    </row>
    <row r="582" spans="1:34" x14ac:dyDescent="0.2">
      <c r="A582" s="347">
        <f t="shared" ca="1" si="267"/>
        <v>1E-4</v>
      </c>
      <c r="B582" s="304">
        <f t="shared" ca="1" si="268"/>
        <v>36.703100000000354</v>
      </c>
      <c r="D582" s="306">
        <f t="shared" ca="1" si="269"/>
        <v>-0.72826612412347891</v>
      </c>
      <c r="E582" s="307">
        <f t="shared" ca="1" si="270"/>
        <v>-2.204991058026236</v>
      </c>
      <c r="F582" s="304">
        <f t="shared" ca="1" si="271"/>
        <v>2.3221449380952719</v>
      </c>
      <c r="G582" s="306">
        <f t="shared" ca="1" si="272"/>
        <v>12.455412875687946</v>
      </c>
      <c r="H582" s="307">
        <f t="shared" ca="1" si="273"/>
        <v>-130.06816819697244</v>
      </c>
      <c r="I582" s="304">
        <f t="shared" ca="1" si="274"/>
        <v>130.66317648067403</v>
      </c>
      <c r="J582" s="306">
        <f t="shared" ca="1" si="275"/>
        <v>889.84792314375909</v>
      </c>
      <c r="K582" s="307">
        <f t="shared" ca="1" si="276"/>
        <v>-7.3226839705409663</v>
      </c>
      <c r="L582" s="304">
        <f t="shared" ca="1" si="261"/>
        <v>889.87805233289896</v>
      </c>
      <c r="M582" s="306">
        <f t="shared" ca="1" si="277"/>
        <v>-1.4753267842465487</v>
      </c>
      <c r="N582" s="304">
        <f t="shared" ca="1" si="278"/>
        <v>-84.529998139935032</v>
      </c>
      <c r="P582" s="310">
        <f t="shared" ca="1" si="279"/>
        <v>23</v>
      </c>
      <c r="Q582" s="304">
        <f t="shared" ca="1" si="280"/>
        <v>0</v>
      </c>
      <c r="R582" s="306">
        <f t="shared" ca="1" si="281"/>
        <v>0</v>
      </c>
      <c r="S582" s="307">
        <f t="shared" ca="1" si="282"/>
        <v>7.150000000000003</v>
      </c>
      <c r="T582" s="304">
        <f t="shared" ca="1" si="262"/>
        <v>70.141500000000036</v>
      </c>
      <c r="U582" s="311">
        <f t="shared" ca="1" si="263"/>
        <v>0</v>
      </c>
      <c r="V582" s="306">
        <f t="shared" ca="1" si="264"/>
        <v>1.2258973573396017</v>
      </c>
      <c r="W582" s="304">
        <f t="shared" ca="1" si="265"/>
        <v>54.624813393595012</v>
      </c>
      <c r="Y582" s="314" t="str">
        <f t="shared" ca="1" si="283"/>
        <v/>
      </c>
      <c r="Z582" s="315" t="str">
        <f t="shared" ca="1" si="284"/>
        <v/>
      </c>
      <c r="AA582" s="316" t="str">
        <f t="shared" ca="1" si="285"/>
        <v/>
      </c>
      <c r="AC582" s="310" t="e">
        <f t="shared" ca="1" si="286"/>
        <v>#N/A</v>
      </c>
      <c r="AD582" s="323" t="e">
        <f t="shared" ca="1" si="287"/>
        <v>#N/A</v>
      </c>
      <c r="AE582" s="324" t="e">
        <f t="shared" ca="1" si="266"/>
        <v>#N/A</v>
      </c>
      <c r="AG582" s="306">
        <f t="shared" ca="1" si="288"/>
        <v>2.1255277315341647</v>
      </c>
      <c r="AH582" s="304">
        <f t="shared" ca="1" si="289"/>
        <v>-7.6397992483472201</v>
      </c>
    </row>
    <row r="583" spans="1:34" x14ac:dyDescent="0.2">
      <c r="A583" s="347">
        <f t="shared" ca="1" si="267"/>
        <v>1E-4</v>
      </c>
      <c r="B583" s="304">
        <f t="shared" ca="1" si="268"/>
        <v>36.703200000000358</v>
      </c>
      <c r="D583" s="306">
        <f t="shared" ca="1" si="269"/>
        <v>-0.72826399790793406</v>
      </c>
      <c r="E583" s="307">
        <f t="shared" ca="1" si="270"/>
        <v>-2.2049559025391261</v>
      </c>
      <c r="F583" s="304">
        <f t="shared" ca="1" si="271"/>
        <v>2.3221108894260367</v>
      </c>
      <c r="G583" s="306">
        <f t="shared" ca="1" si="272"/>
        <v>12.455340049288155</v>
      </c>
      <c r="H583" s="307">
        <f t="shared" ca="1" si="273"/>
        <v>-130.06838869256268</v>
      </c>
      <c r="I583" s="304">
        <f t="shared" ca="1" si="274"/>
        <v>130.66338903006829</v>
      </c>
      <c r="J583" s="306">
        <f t="shared" ca="1" si="275"/>
        <v>889.84792314375909</v>
      </c>
      <c r="K583" s="307">
        <f t="shared" ca="1" si="276"/>
        <v>-7.3356907983854427</v>
      </c>
      <c r="L583" s="304">
        <f t="shared" ca="1" si="261"/>
        <v>889.87815945934472</v>
      </c>
      <c r="M583" s="306">
        <f t="shared" ca="1" si="277"/>
        <v>-1.4753274999284018</v>
      </c>
      <c r="N583" s="304">
        <f t="shared" ca="1" si="278"/>
        <v>-84.530039145484693</v>
      </c>
      <c r="P583" s="310">
        <f t="shared" ca="1" si="279"/>
        <v>23</v>
      </c>
      <c r="Q583" s="304">
        <f t="shared" ca="1" si="280"/>
        <v>0</v>
      </c>
      <c r="R583" s="306">
        <f t="shared" ca="1" si="281"/>
        <v>0</v>
      </c>
      <c r="S583" s="307">
        <f t="shared" ca="1" si="282"/>
        <v>7.150000000000003</v>
      </c>
      <c r="T583" s="304">
        <f t="shared" ca="1" si="262"/>
        <v>70.141500000000036</v>
      </c>
      <c r="U583" s="311">
        <f t="shared" ca="1" si="263"/>
        <v>0</v>
      </c>
      <c r="V583" s="306">
        <f t="shared" ca="1" si="264"/>
        <v>1.2258989518444412</v>
      </c>
      <c r="W583" s="304">
        <f t="shared" ca="1" si="265"/>
        <v>54.625062159618551</v>
      </c>
      <c r="Y583" s="314" t="str">
        <f t="shared" ca="1" si="283"/>
        <v/>
      </c>
      <c r="Z583" s="315" t="str">
        <f t="shared" ca="1" si="284"/>
        <v/>
      </c>
      <c r="AA583" s="316" t="str">
        <f t="shared" ca="1" si="285"/>
        <v/>
      </c>
      <c r="AC583" s="310" t="e">
        <f t="shared" ca="1" si="286"/>
        <v>#N/A</v>
      </c>
      <c r="AD583" s="323" t="e">
        <f t="shared" ca="1" si="287"/>
        <v>#N/A</v>
      </c>
      <c r="AE583" s="324" t="e">
        <f t="shared" ca="1" si="266"/>
        <v>#N/A</v>
      </c>
      <c r="AG583" s="306">
        <f t="shared" ca="1" si="288"/>
        <v>2.1254936080862921</v>
      </c>
      <c r="AH583" s="304">
        <f t="shared" ca="1" si="289"/>
        <v>-7.6398340410622358</v>
      </c>
    </row>
    <row r="584" spans="1:34" x14ac:dyDescent="0.2">
      <c r="A584" s="347">
        <f t="shared" ca="1" si="267"/>
        <v>1E-4</v>
      </c>
      <c r="B584" s="304">
        <f t="shared" ca="1" si="268"/>
        <v>36.703300000000361</v>
      </c>
      <c r="D584" s="306">
        <f t="shared" ca="1" si="269"/>
        <v>-0.72826187166679335</v>
      </c>
      <c r="E584" s="307">
        <f t="shared" ca="1" si="270"/>
        <v>-2.2049207473188757</v>
      </c>
      <c r="F584" s="304">
        <f t="shared" ca="1" si="271"/>
        <v>2.3220768410371027</v>
      </c>
      <c r="G584" s="306">
        <f t="shared" ca="1" si="272"/>
        <v>12.455267223100989</v>
      </c>
      <c r="H584" s="307">
        <f t="shared" ca="1" si="273"/>
        <v>-130.06860918463741</v>
      </c>
      <c r="I584" s="304">
        <f t="shared" ca="1" si="274"/>
        <v>130.66360157605024</v>
      </c>
      <c r="J584" s="306">
        <f t="shared" ca="1" si="275"/>
        <v>889.84792314375909</v>
      </c>
      <c r="K584" s="307">
        <f t="shared" ca="1" si="276"/>
        <v>-7.3486976482793027</v>
      </c>
      <c r="L584" s="304">
        <f t="shared" ca="1" si="261"/>
        <v>889.87826677607268</v>
      </c>
      <c r="M584" s="306">
        <f t="shared" ca="1" si="277"/>
        <v>-1.4753282156037422</v>
      </c>
      <c r="N584" s="304">
        <f t="shared" ca="1" si="278"/>
        <v>-84.530080150661192</v>
      </c>
      <c r="P584" s="310">
        <f t="shared" ca="1" si="279"/>
        <v>23</v>
      </c>
      <c r="Q584" s="304">
        <f t="shared" ca="1" si="280"/>
        <v>0</v>
      </c>
      <c r="R584" s="306">
        <f t="shared" ca="1" si="281"/>
        <v>0</v>
      </c>
      <c r="S584" s="307">
        <f t="shared" ca="1" si="282"/>
        <v>7.150000000000003</v>
      </c>
      <c r="T584" s="304">
        <f t="shared" ca="1" si="262"/>
        <v>70.141500000000036</v>
      </c>
      <c r="U584" s="311">
        <f t="shared" ca="1" si="263"/>
        <v>0</v>
      </c>
      <c r="V584" s="306">
        <f t="shared" ca="1" si="264"/>
        <v>1.2259005463540578</v>
      </c>
      <c r="W584" s="304">
        <f t="shared" ca="1" si="265"/>
        <v>54.625310923753247</v>
      </c>
      <c r="Y584" s="314" t="str">
        <f t="shared" ca="1" si="283"/>
        <v/>
      </c>
      <c r="Z584" s="315" t="str">
        <f t="shared" ca="1" si="284"/>
        <v/>
      </c>
      <c r="AA584" s="316" t="str">
        <f t="shared" ca="1" si="285"/>
        <v/>
      </c>
      <c r="AC584" s="310" t="e">
        <f t="shared" ca="1" si="286"/>
        <v>#N/A</v>
      </c>
      <c r="AD584" s="323" t="e">
        <f t="shared" ca="1" si="287"/>
        <v>#N/A</v>
      </c>
      <c r="AE584" s="324" t="e">
        <f t="shared" ca="1" si="266"/>
        <v>#N/A</v>
      </c>
      <c r="AG584" s="306">
        <f t="shared" ca="1" si="288"/>
        <v>2.1254594848914969</v>
      </c>
      <c r="AH584" s="304">
        <f t="shared" ca="1" si="289"/>
        <v>-7.6398688335130807</v>
      </c>
    </row>
    <row r="585" spans="1:34" x14ac:dyDescent="0.2">
      <c r="A585" s="347">
        <f t="shared" ca="1" si="267"/>
        <v>1E-4</v>
      </c>
      <c r="B585" s="304">
        <f t="shared" ca="1" si="268"/>
        <v>36.703400000000364</v>
      </c>
      <c r="D585" s="306">
        <f t="shared" ca="1" si="269"/>
        <v>-0.72825974540005434</v>
      </c>
      <c r="E585" s="307">
        <f t="shared" ca="1" si="270"/>
        <v>-2.2048855923654864</v>
      </c>
      <c r="F585" s="304">
        <f t="shared" ca="1" si="271"/>
        <v>2.322042792928471</v>
      </c>
      <c r="G585" s="306">
        <f t="shared" ca="1" si="272"/>
        <v>12.45519439712645</v>
      </c>
      <c r="H585" s="307">
        <f t="shared" ca="1" si="273"/>
        <v>-130.06882967319666</v>
      </c>
      <c r="I585" s="304">
        <f t="shared" ca="1" si="274"/>
        <v>130.66381411861991</v>
      </c>
      <c r="J585" s="306">
        <f t="shared" ca="1" si="275"/>
        <v>889.84792314375909</v>
      </c>
      <c r="K585" s="307">
        <f t="shared" ca="1" si="276"/>
        <v>-7.3617045202221947</v>
      </c>
      <c r="L585" s="304">
        <f t="shared" ca="1" si="261"/>
        <v>889.87837428308387</v>
      </c>
      <c r="M585" s="306">
        <f t="shared" ca="1" si="277"/>
        <v>-1.4753289312725695</v>
      </c>
      <c r="N585" s="304">
        <f t="shared" ca="1" si="278"/>
        <v>-84.530121155464528</v>
      </c>
      <c r="P585" s="310">
        <f t="shared" ca="1" si="279"/>
        <v>23</v>
      </c>
      <c r="Q585" s="304">
        <f t="shared" ca="1" si="280"/>
        <v>0</v>
      </c>
      <c r="R585" s="306">
        <f t="shared" ca="1" si="281"/>
        <v>0</v>
      </c>
      <c r="S585" s="307">
        <f t="shared" ca="1" si="282"/>
        <v>7.150000000000003</v>
      </c>
      <c r="T585" s="304">
        <f t="shared" ca="1" si="262"/>
        <v>70.141500000000036</v>
      </c>
      <c r="U585" s="311">
        <f t="shared" ca="1" si="263"/>
        <v>0</v>
      </c>
      <c r="V585" s="306">
        <f t="shared" ca="1" si="264"/>
        <v>1.2259021408684529</v>
      </c>
      <c r="W585" s="304">
        <f t="shared" ca="1" si="265"/>
        <v>54.625559685999164</v>
      </c>
      <c r="Y585" s="314" t="str">
        <f t="shared" ca="1" si="283"/>
        <v/>
      </c>
      <c r="Z585" s="315" t="str">
        <f t="shared" ca="1" si="284"/>
        <v/>
      </c>
      <c r="AA585" s="316" t="str">
        <f t="shared" ca="1" si="285"/>
        <v/>
      </c>
      <c r="AC585" s="310" t="e">
        <f t="shared" ca="1" si="286"/>
        <v>#N/A</v>
      </c>
      <c r="AD585" s="323" t="e">
        <f t="shared" ca="1" si="287"/>
        <v>#N/A</v>
      </c>
      <c r="AE585" s="324" t="e">
        <f t="shared" ca="1" si="266"/>
        <v>#N/A</v>
      </c>
      <c r="AG585" s="306">
        <f t="shared" ca="1" si="288"/>
        <v>2.1254253619497856</v>
      </c>
      <c r="AH585" s="304">
        <f t="shared" ca="1" si="289"/>
        <v>-7.6399036256997519</v>
      </c>
    </row>
    <row r="586" spans="1:34" x14ac:dyDescent="0.2">
      <c r="A586" s="347">
        <f t="shared" ca="1" si="267"/>
        <v>1E-4</v>
      </c>
      <c r="B586" s="304">
        <f t="shared" ca="1" si="268"/>
        <v>36.703500000000368</v>
      </c>
      <c r="D586" s="306">
        <f t="shared" ca="1" si="269"/>
        <v>-0.72825761910772091</v>
      </c>
      <c r="E586" s="307">
        <f t="shared" ca="1" si="270"/>
        <v>-2.2048504376789522</v>
      </c>
      <c r="F586" s="304">
        <f t="shared" ca="1" si="271"/>
        <v>2.322008745100137</v>
      </c>
      <c r="G586" s="306">
        <f t="shared" ca="1" si="272"/>
        <v>12.455121571364538</v>
      </c>
      <c r="H586" s="307">
        <f t="shared" ca="1" si="273"/>
        <v>-130.06905015824043</v>
      </c>
      <c r="I586" s="304">
        <f t="shared" ca="1" si="274"/>
        <v>130.6640266577773</v>
      </c>
      <c r="J586" s="306">
        <f t="shared" ca="1" si="275"/>
        <v>889.84792314375909</v>
      </c>
      <c r="K586" s="307">
        <f t="shared" ca="1" si="276"/>
        <v>-7.3747114142137669</v>
      </c>
      <c r="L586" s="304">
        <f t="shared" ca="1" si="261"/>
        <v>889.87848198037932</v>
      </c>
      <c r="M586" s="306">
        <f t="shared" ca="1" si="277"/>
        <v>-1.4753296469348842</v>
      </c>
      <c r="N586" s="304">
        <f t="shared" ca="1" si="278"/>
        <v>-84.530162159894715</v>
      </c>
      <c r="P586" s="310">
        <f t="shared" ca="1" si="279"/>
        <v>23</v>
      </c>
      <c r="Q586" s="304">
        <f t="shared" ca="1" si="280"/>
        <v>0</v>
      </c>
      <c r="R586" s="306">
        <f t="shared" ca="1" si="281"/>
        <v>0</v>
      </c>
      <c r="S586" s="307">
        <f t="shared" ca="1" si="282"/>
        <v>7.150000000000003</v>
      </c>
      <c r="T586" s="304">
        <f t="shared" ca="1" si="262"/>
        <v>70.141500000000036</v>
      </c>
      <c r="U586" s="311">
        <f t="shared" ca="1" si="263"/>
        <v>0</v>
      </c>
      <c r="V586" s="306">
        <f t="shared" ca="1" si="264"/>
        <v>1.2259037353876252</v>
      </c>
      <c r="W586" s="304">
        <f t="shared" ca="1" si="265"/>
        <v>54.62580844635621</v>
      </c>
      <c r="Y586" s="314" t="str">
        <f t="shared" ca="1" si="283"/>
        <v/>
      </c>
      <c r="Z586" s="315" t="str">
        <f t="shared" ca="1" si="284"/>
        <v/>
      </c>
      <c r="AA586" s="316" t="str">
        <f t="shared" ca="1" si="285"/>
        <v/>
      </c>
      <c r="AC586" s="310" t="e">
        <f t="shared" ca="1" si="286"/>
        <v>#N/A</v>
      </c>
      <c r="AD586" s="323" t="e">
        <f t="shared" ca="1" si="287"/>
        <v>#N/A</v>
      </c>
      <c r="AE586" s="324" t="e">
        <f t="shared" ca="1" si="266"/>
        <v>#N/A</v>
      </c>
      <c r="AG586" s="306">
        <f t="shared" ca="1" si="288"/>
        <v>2.1253912392611465</v>
      </c>
      <c r="AH586" s="304">
        <f t="shared" ca="1" si="289"/>
        <v>-7.6399384176222576</v>
      </c>
    </row>
    <row r="587" spans="1:34" x14ac:dyDescent="0.2">
      <c r="A587" s="347">
        <f t="shared" ca="1" si="267"/>
        <v>1E-4</v>
      </c>
      <c r="B587" s="304">
        <f t="shared" ca="1" si="268"/>
        <v>36.703600000000371</v>
      </c>
      <c r="D587" s="306">
        <f t="shared" ca="1" si="269"/>
        <v>-0.72825549278978963</v>
      </c>
      <c r="E587" s="307">
        <f t="shared" ca="1" si="270"/>
        <v>-2.2048152832592836</v>
      </c>
      <c r="F587" s="304">
        <f t="shared" ca="1" si="271"/>
        <v>2.3219746975521103</v>
      </c>
      <c r="G587" s="306">
        <f t="shared" ca="1" si="272"/>
        <v>12.45504874581526</v>
      </c>
      <c r="H587" s="307">
        <f t="shared" ca="1" si="273"/>
        <v>-130.06927063976875</v>
      </c>
      <c r="I587" s="304">
        <f t="shared" ca="1" si="274"/>
        <v>130.66423919352243</v>
      </c>
      <c r="J587" s="306">
        <f t="shared" ca="1" si="275"/>
        <v>889.84792314375909</v>
      </c>
      <c r="K587" s="307">
        <f t="shared" ca="1" si="276"/>
        <v>-7.3877183302536675</v>
      </c>
      <c r="L587" s="304">
        <f t="shared" ca="1" si="261"/>
        <v>889.87858986795982</v>
      </c>
      <c r="M587" s="306">
        <f t="shared" ca="1" si="277"/>
        <v>-1.4753303625906862</v>
      </c>
      <c r="N587" s="304">
        <f t="shared" ca="1" si="278"/>
        <v>-84.530203163951754</v>
      </c>
      <c r="P587" s="310">
        <f t="shared" ca="1" si="279"/>
        <v>23</v>
      </c>
      <c r="Q587" s="304">
        <f t="shared" ca="1" si="280"/>
        <v>0</v>
      </c>
      <c r="R587" s="306">
        <f t="shared" ca="1" si="281"/>
        <v>0</v>
      </c>
      <c r="S587" s="307">
        <f t="shared" ca="1" si="282"/>
        <v>7.150000000000003</v>
      </c>
      <c r="T587" s="304">
        <f t="shared" ca="1" si="262"/>
        <v>70.141500000000036</v>
      </c>
      <c r="U587" s="311">
        <f t="shared" ca="1" si="263"/>
        <v>0</v>
      </c>
      <c r="V587" s="306">
        <f t="shared" ca="1" si="264"/>
        <v>1.2259053299115754</v>
      </c>
      <c r="W587" s="304">
        <f t="shared" ca="1" si="265"/>
        <v>54.626057204824427</v>
      </c>
      <c r="Y587" s="314" t="str">
        <f t="shared" ca="1" si="283"/>
        <v/>
      </c>
      <c r="Z587" s="315" t="str">
        <f t="shared" ca="1" si="284"/>
        <v/>
      </c>
      <c r="AA587" s="316" t="str">
        <f t="shared" ca="1" si="285"/>
        <v/>
      </c>
      <c r="AC587" s="310" t="e">
        <f t="shared" ca="1" si="286"/>
        <v>#N/A</v>
      </c>
      <c r="AD587" s="323" t="e">
        <f t="shared" ca="1" si="287"/>
        <v>#N/A</v>
      </c>
      <c r="AE587" s="324" t="e">
        <f t="shared" ca="1" si="266"/>
        <v>#N/A</v>
      </c>
      <c r="AG587" s="306">
        <f t="shared" ca="1" si="288"/>
        <v>2.125357116825592</v>
      </c>
      <c r="AH587" s="304">
        <f t="shared" ca="1" si="289"/>
        <v>-7.6399732092805852</v>
      </c>
    </row>
    <row r="588" spans="1:34" x14ac:dyDescent="0.2">
      <c r="A588" s="347">
        <f t="shared" ca="1" si="267"/>
        <v>1E-4</v>
      </c>
      <c r="B588" s="304">
        <f t="shared" ca="1" si="268"/>
        <v>36.703700000000374</v>
      </c>
      <c r="D588" s="306">
        <f t="shared" ca="1" si="269"/>
        <v>-0.72825336644626404</v>
      </c>
      <c r="E588" s="307">
        <f t="shared" ca="1" si="270"/>
        <v>-2.2047801291064735</v>
      </c>
      <c r="F588" s="304">
        <f t="shared" ca="1" si="271"/>
        <v>2.3219406502843856</v>
      </c>
      <c r="G588" s="306">
        <f t="shared" ca="1" si="272"/>
        <v>12.454975920478615</v>
      </c>
      <c r="H588" s="307">
        <f t="shared" ca="1" si="273"/>
        <v>-130.06949111778167</v>
      </c>
      <c r="I588" s="304">
        <f t="shared" ca="1" si="274"/>
        <v>130.66445172585537</v>
      </c>
      <c r="J588" s="306">
        <f t="shared" ca="1" si="275"/>
        <v>889.84792314375909</v>
      </c>
      <c r="K588" s="307">
        <f t="shared" ca="1" si="276"/>
        <v>-7.400725268341545</v>
      </c>
      <c r="L588" s="304">
        <f t="shared" ca="1" si="261"/>
        <v>889.87869794582616</v>
      </c>
      <c r="M588" s="306">
        <f t="shared" ca="1" si="277"/>
        <v>-1.4753310782399758</v>
      </c>
      <c r="N588" s="304">
        <f t="shared" ca="1" si="278"/>
        <v>-84.530244167635658</v>
      </c>
      <c r="P588" s="310">
        <f t="shared" ca="1" si="279"/>
        <v>23</v>
      </c>
      <c r="Q588" s="304">
        <f t="shared" ca="1" si="280"/>
        <v>0</v>
      </c>
      <c r="R588" s="306">
        <f t="shared" ca="1" si="281"/>
        <v>0</v>
      </c>
      <c r="S588" s="307">
        <f t="shared" ca="1" si="282"/>
        <v>7.150000000000003</v>
      </c>
      <c r="T588" s="304">
        <f t="shared" ca="1" si="262"/>
        <v>70.141500000000036</v>
      </c>
      <c r="U588" s="311">
        <f t="shared" ca="1" si="263"/>
        <v>0</v>
      </c>
      <c r="V588" s="306">
        <f t="shared" ca="1" si="264"/>
        <v>1.2259069244403029</v>
      </c>
      <c r="W588" s="304">
        <f t="shared" ca="1" si="265"/>
        <v>54.626305961403823</v>
      </c>
      <c r="Y588" s="314" t="str">
        <f t="shared" ca="1" si="283"/>
        <v/>
      </c>
      <c r="Z588" s="315" t="str">
        <f t="shared" ca="1" si="284"/>
        <v/>
      </c>
      <c r="AA588" s="316" t="str">
        <f t="shared" ca="1" si="285"/>
        <v/>
      </c>
      <c r="AC588" s="310" t="e">
        <f t="shared" ca="1" si="286"/>
        <v>#N/A</v>
      </c>
      <c r="AD588" s="323" t="e">
        <f t="shared" ca="1" si="287"/>
        <v>#N/A</v>
      </c>
      <c r="AE588" s="324" t="e">
        <f t="shared" ca="1" si="266"/>
        <v>#N/A</v>
      </c>
      <c r="AG588" s="306">
        <f t="shared" ca="1" si="288"/>
        <v>2.1253229946431205</v>
      </c>
      <c r="AH588" s="304">
        <f t="shared" ca="1" si="289"/>
        <v>-7.640008000674742</v>
      </c>
    </row>
    <row r="589" spans="1:34" x14ac:dyDescent="0.2">
      <c r="A589" s="347">
        <f t="shared" ca="1" si="267"/>
        <v>1E-4</v>
      </c>
      <c r="B589" s="304">
        <f t="shared" ca="1" si="268"/>
        <v>36.703800000000378</v>
      </c>
      <c r="D589" s="306">
        <f t="shared" ca="1" si="269"/>
        <v>-0.72825124007714215</v>
      </c>
      <c r="E589" s="307">
        <f t="shared" ca="1" si="270"/>
        <v>-2.2047449752205237</v>
      </c>
      <c r="F589" s="304">
        <f t="shared" ca="1" si="271"/>
        <v>2.3219066032969637</v>
      </c>
      <c r="G589" s="306">
        <f t="shared" ca="1" si="272"/>
        <v>12.454903095354608</v>
      </c>
      <c r="H589" s="307">
        <f t="shared" ca="1" si="273"/>
        <v>-130.06971159227919</v>
      </c>
      <c r="I589" s="304">
        <f t="shared" ca="1" si="274"/>
        <v>130.66466425477608</v>
      </c>
      <c r="J589" s="306">
        <f t="shared" ca="1" si="275"/>
        <v>889.84792314375909</v>
      </c>
      <c r="K589" s="307">
        <f t="shared" ca="1" si="276"/>
        <v>-7.4137322284770484</v>
      </c>
      <c r="L589" s="304">
        <f t="shared" ca="1" si="261"/>
        <v>889.87880621397937</v>
      </c>
      <c r="M589" s="306">
        <f t="shared" ca="1" si="277"/>
        <v>-1.4753317938827526</v>
      </c>
      <c r="N589" s="304">
        <f t="shared" ca="1" si="278"/>
        <v>-84.530285170946414</v>
      </c>
      <c r="P589" s="310">
        <f t="shared" ca="1" si="279"/>
        <v>23</v>
      </c>
      <c r="Q589" s="304">
        <f t="shared" ca="1" si="280"/>
        <v>0</v>
      </c>
      <c r="R589" s="306">
        <f t="shared" ca="1" si="281"/>
        <v>0</v>
      </c>
      <c r="S589" s="307">
        <f t="shared" ca="1" si="282"/>
        <v>7.150000000000003</v>
      </c>
      <c r="T589" s="304">
        <f t="shared" ca="1" si="262"/>
        <v>70.141500000000036</v>
      </c>
      <c r="U589" s="311">
        <f t="shared" ca="1" si="263"/>
        <v>0</v>
      </c>
      <c r="V589" s="306">
        <f t="shared" ca="1" si="264"/>
        <v>1.2259085189738084</v>
      </c>
      <c r="W589" s="304">
        <f t="shared" ca="1" si="265"/>
        <v>54.626554716094368</v>
      </c>
      <c r="Y589" s="314" t="str">
        <f t="shared" ca="1" si="283"/>
        <v/>
      </c>
      <c r="Z589" s="315" t="str">
        <f t="shared" ca="1" si="284"/>
        <v/>
      </c>
      <c r="AA589" s="316" t="str">
        <f t="shared" ca="1" si="285"/>
        <v/>
      </c>
      <c r="AC589" s="310" t="e">
        <f t="shared" ca="1" si="286"/>
        <v>#N/A</v>
      </c>
      <c r="AD589" s="323" t="e">
        <f t="shared" ca="1" si="287"/>
        <v>#N/A</v>
      </c>
      <c r="AE589" s="324" t="e">
        <f t="shared" ca="1" si="266"/>
        <v>#N/A</v>
      </c>
      <c r="AG589" s="306">
        <f t="shared" ca="1" si="288"/>
        <v>2.1252888727137274</v>
      </c>
      <c r="AH589" s="304">
        <f t="shared" ca="1" si="289"/>
        <v>-7.6400427918047269</v>
      </c>
    </row>
    <row r="590" spans="1:34" x14ac:dyDescent="0.2">
      <c r="A590" s="347">
        <f t="shared" ca="1" si="267"/>
        <v>1E-4</v>
      </c>
      <c r="B590" s="304">
        <f t="shared" ca="1" si="268"/>
        <v>36.703900000000381</v>
      </c>
      <c r="D590" s="306">
        <f t="shared" ca="1" si="269"/>
        <v>-0.72824911368242806</v>
      </c>
      <c r="E590" s="307">
        <f t="shared" ca="1" si="270"/>
        <v>-2.2047098216014378</v>
      </c>
      <c r="F590" s="304">
        <f t="shared" ca="1" si="271"/>
        <v>2.3218725565898501</v>
      </c>
      <c r="G590" s="306">
        <f t="shared" ca="1" si="272"/>
        <v>12.454830270443239</v>
      </c>
      <c r="H590" s="307">
        <f t="shared" ca="1" si="273"/>
        <v>-130.06993206326135</v>
      </c>
      <c r="I590" s="304">
        <f t="shared" ca="1" si="274"/>
        <v>130.66487678028466</v>
      </c>
      <c r="J590" s="306">
        <f t="shared" ca="1" si="275"/>
        <v>889.84792314375909</v>
      </c>
      <c r="K590" s="307">
        <f t="shared" ca="1" si="276"/>
        <v>-7.4267392106598251</v>
      </c>
      <c r="L590" s="304">
        <f t="shared" ca="1" si="261"/>
        <v>889.87891467242025</v>
      </c>
      <c r="M590" s="306">
        <f t="shared" ca="1" si="277"/>
        <v>-1.4753325095190173</v>
      </c>
      <c r="N590" s="304">
        <f t="shared" ca="1" si="278"/>
        <v>-84.530326173884035</v>
      </c>
      <c r="P590" s="310">
        <f t="shared" ca="1" si="279"/>
        <v>23</v>
      </c>
      <c r="Q590" s="304">
        <f t="shared" ca="1" si="280"/>
        <v>0</v>
      </c>
      <c r="R590" s="306">
        <f t="shared" ca="1" si="281"/>
        <v>0</v>
      </c>
      <c r="S590" s="307">
        <f t="shared" ca="1" si="282"/>
        <v>7.150000000000003</v>
      </c>
      <c r="T590" s="304">
        <f t="shared" ca="1" si="262"/>
        <v>70.141500000000036</v>
      </c>
      <c r="U590" s="311">
        <f t="shared" ca="1" si="263"/>
        <v>0</v>
      </c>
      <c r="V590" s="306">
        <f t="shared" ca="1" si="264"/>
        <v>1.2259101135120913</v>
      </c>
      <c r="W590" s="304">
        <f t="shared" ca="1" si="265"/>
        <v>54.626803468896107</v>
      </c>
      <c r="Y590" s="314" t="str">
        <f t="shared" ca="1" si="283"/>
        <v/>
      </c>
      <c r="Z590" s="315" t="str">
        <f t="shared" ca="1" si="284"/>
        <v/>
      </c>
      <c r="AA590" s="316" t="str">
        <f t="shared" ca="1" si="285"/>
        <v/>
      </c>
      <c r="AC590" s="310" t="e">
        <f t="shared" ca="1" si="286"/>
        <v>#N/A</v>
      </c>
      <c r="AD590" s="323" t="e">
        <f t="shared" ca="1" si="287"/>
        <v>#N/A</v>
      </c>
      <c r="AE590" s="324" t="e">
        <f t="shared" ca="1" si="266"/>
        <v>#N/A</v>
      </c>
      <c r="AG590" s="306">
        <f t="shared" ca="1" si="288"/>
        <v>2.1252547510374171</v>
      </c>
      <c r="AH590" s="304">
        <f t="shared" ca="1" si="289"/>
        <v>-7.6400775826705374</v>
      </c>
    </row>
    <row r="591" spans="1:34" x14ac:dyDescent="0.2">
      <c r="A591" s="347">
        <f t="shared" ca="1" si="267"/>
        <v>1E-4</v>
      </c>
      <c r="B591" s="304">
        <f t="shared" ca="1" si="268"/>
        <v>36.704000000000384</v>
      </c>
      <c r="D591" s="306">
        <f t="shared" ca="1" si="269"/>
        <v>-0.72824698726211856</v>
      </c>
      <c r="E591" s="307">
        <f t="shared" ca="1" si="270"/>
        <v>-2.2046746682492078</v>
      </c>
      <c r="F591" s="304">
        <f t="shared" ca="1" si="271"/>
        <v>2.3218385101630359</v>
      </c>
      <c r="G591" s="306">
        <f t="shared" ca="1" si="272"/>
        <v>12.454757445744512</v>
      </c>
      <c r="H591" s="307">
        <f t="shared" ca="1" si="273"/>
        <v>-130.07015253072817</v>
      </c>
      <c r="I591" s="304">
        <f t="shared" ca="1" si="274"/>
        <v>130.66508930238106</v>
      </c>
      <c r="J591" s="306">
        <f t="shared" ca="1" si="275"/>
        <v>889.84792314375909</v>
      </c>
      <c r="K591" s="307">
        <f t="shared" ca="1" si="276"/>
        <v>-7.4397462148895244</v>
      </c>
      <c r="L591" s="304">
        <f t="shared" ca="1" si="261"/>
        <v>889.8790233211497</v>
      </c>
      <c r="M591" s="306">
        <f t="shared" ca="1" si="277"/>
        <v>-1.4753332251487696</v>
      </c>
      <c r="N591" s="304">
        <f t="shared" ca="1" si="278"/>
        <v>-84.53036717644855</v>
      </c>
      <c r="P591" s="310">
        <f t="shared" ca="1" si="279"/>
        <v>23</v>
      </c>
      <c r="Q591" s="304">
        <f t="shared" ca="1" si="280"/>
        <v>0</v>
      </c>
      <c r="R591" s="306">
        <f t="shared" ca="1" si="281"/>
        <v>0</v>
      </c>
      <c r="S591" s="307">
        <f t="shared" ca="1" si="282"/>
        <v>7.150000000000003</v>
      </c>
      <c r="T591" s="304">
        <f t="shared" ca="1" si="262"/>
        <v>70.141500000000036</v>
      </c>
      <c r="U591" s="311">
        <f t="shared" ca="1" si="263"/>
        <v>0</v>
      </c>
      <c r="V591" s="306">
        <f t="shared" ca="1" si="264"/>
        <v>1.2259117080551516</v>
      </c>
      <c r="W591" s="304">
        <f t="shared" ca="1" si="265"/>
        <v>54.627052219808967</v>
      </c>
      <c r="Y591" s="314" t="str">
        <f t="shared" ca="1" si="283"/>
        <v/>
      </c>
      <c r="Z591" s="315" t="str">
        <f t="shared" ca="1" si="284"/>
        <v/>
      </c>
      <c r="AA591" s="316" t="str">
        <f t="shared" ca="1" si="285"/>
        <v/>
      </c>
      <c r="AC591" s="310" t="e">
        <f t="shared" ca="1" si="286"/>
        <v>#N/A</v>
      </c>
      <c r="AD591" s="323" t="e">
        <f t="shared" ca="1" si="287"/>
        <v>#N/A</v>
      </c>
      <c r="AE591" s="324" t="e">
        <f t="shared" ca="1" si="266"/>
        <v>#N/A</v>
      </c>
      <c r="AG591" s="306">
        <f t="shared" ca="1" si="288"/>
        <v>2.1252206296141836</v>
      </c>
      <c r="AH591" s="304">
        <f t="shared" ca="1" si="289"/>
        <v>-7.6401123732721796</v>
      </c>
    </row>
    <row r="592" spans="1:34" x14ac:dyDescent="0.2">
      <c r="A592" s="347">
        <f t="shared" ca="1" si="267"/>
        <v>1E-4</v>
      </c>
      <c r="B592" s="304">
        <f t="shared" ca="1" si="268"/>
        <v>36.704100000000388</v>
      </c>
      <c r="D592" s="306">
        <f t="shared" ca="1" si="269"/>
        <v>-0.72824486081621587</v>
      </c>
      <c r="E592" s="307">
        <f t="shared" ca="1" si="270"/>
        <v>-2.204639515163846</v>
      </c>
      <c r="F592" s="304">
        <f t="shared" ca="1" si="271"/>
        <v>2.3218044640165347</v>
      </c>
      <c r="G592" s="306">
        <f t="shared" ca="1" si="272"/>
        <v>12.45468462125843</v>
      </c>
      <c r="H592" s="307">
        <f t="shared" ca="1" si="273"/>
        <v>-130.07037299467967</v>
      </c>
      <c r="I592" s="304">
        <f t="shared" ca="1" si="274"/>
        <v>130.66530182106536</v>
      </c>
      <c r="J592" s="306">
        <f t="shared" ca="1" si="275"/>
        <v>889.84792314375909</v>
      </c>
      <c r="K592" s="307">
        <f t="shared" ca="1" si="276"/>
        <v>-7.4527532411657944</v>
      </c>
      <c r="L592" s="304">
        <f t="shared" ca="1" si="261"/>
        <v>889.87913216016875</v>
      </c>
      <c r="M592" s="306">
        <f t="shared" ca="1" si="277"/>
        <v>-1.4753339407720096</v>
      </c>
      <c r="N592" s="304">
        <f t="shared" ca="1" si="278"/>
        <v>-84.530408178639917</v>
      </c>
      <c r="P592" s="310">
        <f t="shared" ca="1" si="279"/>
        <v>23</v>
      </c>
      <c r="Q592" s="304">
        <f t="shared" ca="1" si="280"/>
        <v>0</v>
      </c>
      <c r="R592" s="306">
        <f t="shared" ca="1" si="281"/>
        <v>0</v>
      </c>
      <c r="S592" s="307">
        <f t="shared" ca="1" si="282"/>
        <v>7.150000000000003</v>
      </c>
      <c r="T592" s="304">
        <f t="shared" ca="1" si="262"/>
        <v>70.141500000000036</v>
      </c>
      <c r="U592" s="311">
        <f t="shared" ca="1" si="263"/>
        <v>0</v>
      </c>
      <c r="V592" s="306">
        <f t="shared" ca="1" si="264"/>
        <v>1.2259133026029896</v>
      </c>
      <c r="W592" s="304">
        <f t="shared" ca="1" si="265"/>
        <v>54.627300968833012</v>
      </c>
      <c r="Y592" s="314" t="str">
        <f t="shared" ca="1" si="283"/>
        <v/>
      </c>
      <c r="Z592" s="315" t="str">
        <f t="shared" ca="1" si="284"/>
        <v/>
      </c>
      <c r="AA592" s="316" t="str">
        <f t="shared" ca="1" si="285"/>
        <v/>
      </c>
      <c r="AC592" s="310" t="e">
        <f t="shared" ca="1" si="286"/>
        <v>#N/A</v>
      </c>
      <c r="AD592" s="323" t="e">
        <f t="shared" ca="1" si="287"/>
        <v>#N/A</v>
      </c>
      <c r="AE592" s="324" t="e">
        <f t="shared" ca="1" si="266"/>
        <v>#N/A</v>
      </c>
      <c r="AG592" s="306">
        <f t="shared" ca="1" si="288"/>
        <v>2.1251865084440418</v>
      </c>
      <c r="AH592" s="304">
        <f t="shared" ca="1" si="289"/>
        <v>-7.6401471636096421</v>
      </c>
    </row>
    <row r="593" spans="1:34" x14ac:dyDescent="0.2">
      <c r="A593" s="347">
        <f t="shared" ca="1" si="267"/>
        <v>1E-4</v>
      </c>
      <c r="B593" s="304">
        <f t="shared" ca="1" si="268"/>
        <v>36.704200000000391</v>
      </c>
      <c r="D593" s="306">
        <f t="shared" ca="1" si="269"/>
        <v>-0.72824273434472175</v>
      </c>
      <c r="E593" s="307">
        <f t="shared" ca="1" si="270"/>
        <v>-2.2046043623453411</v>
      </c>
      <c r="F593" s="304">
        <f t="shared" ca="1" si="271"/>
        <v>2.3217704181503356</v>
      </c>
      <c r="G593" s="306">
        <f t="shared" ca="1" si="272"/>
        <v>12.454611796984995</v>
      </c>
      <c r="H593" s="307">
        <f t="shared" ca="1" si="273"/>
        <v>-130.0705934551159</v>
      </c>
      <c r="I593" s="304">
        <f t="shared" ca="1" si="274"/>
        <v>130.66551433633757</v>
      </c>
      <c r="J593" s="306">
        <f t="shared" ca="1" si="275"/>
        <v>889.84792314375909</v>
      </c>
      <c r="K593" s="307">
        <f t="shared" ca="1" si="276"/>
        <v>-7.4657602894882844</v>
      </c>
      <c r="L593" s="304">
        <f t="shared" ca="1" si="261"/>
        <v>889.87924118947819</v>
      </c>
      <c r="M593" s="306">
        <f t="shared" ca="1" si="277"/>
        <v>-1.4753346563887375</v>
      </c>
      <c r="N593" s="304">
        <f t="shared" ca="1" si="278"/>
        <v>-84.530449180458177</v>
      </c>
      <c r="P593" s="310">
        <f t="shared" ca="1" si="279"/>
        <v>23</v>
      </c>
      <c r="Q593" s="304">
        <f t="shared" ca="1" si="280"/>
        <v>0</v>
      </c>
      <c r="R593" s="306">
        <f t="shared" ca="1" si="281"/>
        <v>0</v>
      </c>
      <c r="S593" s="307">
        <f t="shared" ca="1" si="282"/>
        <v>7.150000000000003</v>
      </c>
      <c r="T593" s="304">
        <f t="shared" ca="1" si="262"/>
        <v>70.141500000000036</v>
      </c>
      <c r="U593" s="311">
        <f t="shared" ca="1" si="263"/>
        <v>0</v>
      </c>
      <c r="V593" s="306">
        <f t="shared" ca="1" si="264"/>
        <v>1.2259148971556049</v>
      </c>
      <c r="W593" s="304">
        <f t="shared" ca="1" si="265"/>
        <v>54.627549715968193</v>
      </c>
      <c r="Y593" s="314" t="str">
        <f t="shared" ca="1" si="283"/>
        <v/>
      </c>
      <c r="Z593" s="315" t="str">
        <f t="shared" ca="1" si="284"/>
        <v/>
      </c>
      <c r="AA593" s="316" t="str">
        <f t="shared" ca="1" si="285"/>
        <v/>
      </c>
      <c r="AC593" s="310" t="e">
        <f t="shared" ca="1" si="286"/>
        <v>#N/A</v>
      </c>
      <c r="AD593" s="323" t="e">
        <f t="shared" ca="1" si="287"/>
        <v>#N/A</v>
      </c>
      <c r="AE593" s="324" t="e">
        <f t="shared" ca="1" si="266"/>
        <v>#N/A</v>
      </c>
      <c r="AG593" s="306">
        <f t="shared" ca="1" si="288"/>
        <v>2.1251523875269775</v>
      </c>
      <c r="AH593" s="304">
        <f t="shared" ca="1" si="289"/>
        <v>-7.6401819536829354</v>
      </c>
    </row>
    <row r="594" spans="1:34" x14ac:dyDescent="0.2">
      <c r="A594" s="347">
        <f t="shared" ca="1" si="267"/>
        <v>1E-4</v>
      </c>
      <c r="B594" s="304">
        <f t="shared" ca="1" si="268"/>
        <v>36.704300000000394</v>
      </c>
      <c r="D594" s="306">
        <f t="shared" ca="1" si="269"/>
        <v>-0.72824060784763534</v>
      </c>
      <c r="E594" s="307">
        <f t="shared" ca="1" si="270"/>
        <v>-2.2045692097937017</v>
      </c>
      <c r="F594" s="304">
        <f t="shared" ca="1" si="271"/>
        <v>2.3217363725644478</v>
      </c>
      <c r="G594" s="306">
        <f t="shared" ca="1" si="272"/>
        <v>12.45453897292421</v>
      </c>
      <c r="H594" s="307">
        <f t="shared" ca="1" si="273"/>
        <v>-130.07081391203687</v>
      </c>
      <c r="I594" s="304">
        <f t="shared" ca="1" si="274"/>
        <v>130.66572684819769</v>
      </c>
      <c r="J594" s="306">
        <f t="shared" ca="1" si="275"/>
        <v>889.84792314375909</v>
      </c>
      <c r="K594" s="307">
        <f t="shared" ca="1" si="276"/>
        <v>-7.4787673598566418</v>
      </c>
      <c r="L594" s="304">
        <f t="shared" ca="1" si="261"/>
        <v>889.87935040907894</v>
      </c>
      <c r="M594" s="306">
        <f t="shared" ca="1" si="277"/>
        <v>-1.4753353719989533</v>
      </c>
      <c r="N594" s="304">
        <f t="shared" ca="1" si="278"/>
        <v>-84.530490181903318</v>
      </c>
      <c r="P594" s="310">
        <f t="shared" ca="1" si="279"/>
        <v>23</v>
      </c>
      <c r="Q594" s="304">
        <f t="shared" ca="1" si="280"/>
        <v>0</v>
      </c>
      <c r="R594" s="306">
        <f t="shared" ca="1" si="281"/>
        <v>0</v>
      </c>
      <c r="S594" s="307">
        <f t="shared" ca="1" si="282"/>
        <v>7.150000000000003</v>
      </c>
      <c r="T594" s="304">
        <f t="shared" ca="1" si="262"/>
        <v>70.141500000000036</v>
      </c>
      <c r="U594" s="311">
        <f t="shared" ca="1" si="263"/>
        <v>0</v>
      </c>
      <c r="V594" s="306">
        <f t="shared" ca="1" si="264"/>
        <v>1.2259164917129977</v>
      </c>
      <c r="W594" s="304">
        <f t="shared" ca="1" si="265"/>
        <v>54.627798461214553</v>
      </c>
      <c r="Y594" s="314" t="str">
        <f t="shared" ca="1" si="283"/>
        <v/>
      </c>
      <c r="Z594" s="315" t="str">
        <f t="shared" ca="1" si="284"/>
        <v/>
      </c>
      <c r="AA594" s="316" t="str">
        <f t="shared" ca="1" si="285"/>
        <v/>
      </c>
      <c r="AC594" s="310" t="e">
        <f t="shared" ca="1" si="286"/>
        <v>#N/A</v>
      </c>
      <c r="AD594" s="323" t="e">
        <f t="shared" ca="1" si="287"/>
        <v>#N/A</v>
      </c>
      <c r="AE594" s="324" t="e">
        <f t="shared" ca="1" si="266"/>
        <v>#N/A</v>
      </c>
      <c r="AG594" s="306">
        <f t="shared" ca="1" si="288"/>
        <v>2.1251182668629989</v>
      </c>
      <c r="AH594" s="304">
        <f t="shared" ca="1" si="289"/>
        <v>-7.6402167434920516</v>
      </c>
    </row>
    <row r="595" spans="1:34" x14ac:dyDescent="0.2">
      <c r="A595" s="347">
        <f t="shared" ca="1" si="267"/>
        <v>1E-4</v>
      </c>
      <c r="B595" s="304">
        <f t="shared" ca="1" si="268"/>
        <v>36.704400000000398</v>
      </c>
      <c r="D595" s="306">
        <f t="shared" ca="1" si="269"/>
        <v>-0.72823848132495828</v>
      </c>
      <c r="E595" s="307">
        <f t="shared" ca="1" si="270"/>
        <v>-2.2045340575089227</v>
      </c>
      <c r="F595" s="304">
        <f t="shared" ca="1" si="271"/>
        <v>2.3217023272588664</v>
      </c>
      <c r="G595" s="306">
        <f t="shared" ca="1" si="272"/>
        <v>12.454466149076078</v>
      </c>
      <c r="H595" s="307">
        <f t="shared" ca="1" si="273"/>
        <v>-130.07103436544261</v>
      </c>
      <c r="I595" s="304">
        <f t="shared" ca="1" si="274"/>
        <v>130.66593935664579</v>
      </c>
      <c r="J595" s="306">
        <f t="shared" ca="1" si="275"/>
        <v>889.84792314375909</v>
      </c>
      <c r="K595" s="307">
        <f t="shared" ca="1" si="276"/>
        <v>-7.4917744522705156</v>
      </c>
      <c r="L595" s="304">
        <f t="shared" ca="1" si="261"/>
        <v>889.87945981897178</v>
      </c>
      <c r="M595" s="306">
        <f t="shared" ca="1" si="277"/>
        <v>-1.4753360876026573</v>
      </c>
      <c r="N595" s="304">
        <f t="shared" ca="1" si="278"/>
        <v>-84.530531182975366</v>
      </c>
      <c r="P595" s="310">
        <f t="shared" ca="1" si="279"/>
        <v>23</v>
      </c>
      <c r="Q595" s="304">
        <f t="shared" ca="1" si="280"/>
        <v>0</v>
      </c>
      <c r="R595" s="306">
        <f t="shared" ca="1" si="281"/>
        <v>0</v>
      </c>
      <c r="S595" s="307">
        <f t="shared" ca="1" si="282"/>
        <v>7.150000000000003</v>
      </c>
      <c r="T595" s="304">
        <f t="shared" ca="1" si="262"/>
        <v>70.141500000000036</v>
      </c>
      <c r="U595" s="311">
        <f t="shared" ca="1" si="263"/>
        <v>0</v>
      </c>
      <c r="V595" s="306">
        <f t="shared" ca="1" si="264"/>
        <v>1.2259180862751684</v>
      </c>
      <c r="W595" s="304">
        <f t="shared" ca="1" si="265"/>
        <v>54.62804720457207</v>
      </c>
      <c r="Y595" s="314" t="str">
        <f t="shared" ca="1" si="283"/>
        <v/>
      </c>
      <c r="Z595" s="315" t="str">
        <f t="shared" ca="1" si="284"/>
        <v/>
      </c>
      <c r="AA595" s="316" t="str">
        <f t="shared" ca="1" si="285"/>
        <v/>
      </c>
      <c r="AC595" s="310" t="e">
        <f t="shared" ca="1" si="286"/>
        <v>#N/A</v>
      </c>
      <c r="AD595" s="323" t="e">
        <f t="shared" ca="1" si="287"/>
        <v>#N/A</v>
      </c>
      <c r="AE595" s="324" t="e">
        <f t="shared" ca="1" si="266"/>
        <v>#N/A</v>
      </c>
      <c r="AG595" s="306">
        <f t="shared" ca="1" si="288"/>
        <v>2.1250841464521049</v>
      </c>
      <c r="AH595" s="304">
        <f t="shared" ca="1" si="289"/>
        <v>-7.6402515330369969</v>
      </c>
    </row>
    <row r="596" spans="1:34" x14ac:dyDescent="0.2">
      <c r="A596" s="347">
        <f t="shared" ca="1" si="267"/>
        <v>1E-4</v>
      </c>
      <c r="B596" s="304">
        <f t="shared" ca="1" si="268"/>
        <v>36.704500000000401</v>
      </c>
      <c r="D596" s="306">
        <f t="shared" ca="1" si="269"/>
        <v>-0.72823635477668847</v>
      </c>
      <c r="E596" s="307">
        <f t="shared" ca="1" si="270"/>
        <v>-2.204498905491004</v>
      </c>
      <c r="F596" s="304">
        <f t="shared" ca="1" si="271"/>
        <v>2.321668282233591</v>
      </c>
      <c r="G596" s="306">
        <f t="shared" ca="1" si="272"/>
        <v>12.4543933254406</v>
      </c>
      <c r="H596" s="307">
        <f t="shared" ca="1" si="273"/>
        <v>-130.07125481533316</v>
      </c>
      <c r="I596" s="304">
        <f t="shared" ca="1" si="274"/>
        <v>130.66615186168187</v>
      </c>
      <c r="J596" s="306">
        <f t="shared" ca="1" si="275"/>
        <v>889.84792314375909</v>
      </c>
      <c r="K596" s="307">
        <f t="shared" ca="1" si="276"/>
        <v>-7.5047815667295543</v>
      </c>
      <c r="L596" s="304">
        <f t="shared" ca="1" si="261"/>
        <v>889.87956941915786</v>
      </c>
      <c r="M596" s="306">
        <f t="shared" ca="1" si="277"/>
        <v>-1.4753368031998493</v>
      </c>
      <c r="N596" s="304">
        <f t="shared" ca="1" si="278"/>
        <v>-84.530572183674295</v>
      </c>
      <c r="P596" s="310">
        <f t="shared" ca="1" si="279"/>
        <v>23</v>
      </c>
      <c r="Q596" s="304">
        <f t="shared" ca="1" si="280"/>
        <v>0</v>
      </c>
      <c r="R596" s="306">
        <f t="shared" ca="1" si="281"/>
        <v>0</v>
      </c>
      <c r="S596" s="307">
        <f t="shared" ca="1" si="282"/>
        <v>7.150000000000003</v>
      </c>
      <c r="T596" s="304">
        <f t="shared" ca="1" si="262"/>
        <v>70.141500000000036</v>
      </c>
      <c r="U596" s="311">
        <f t="shared" ca="1" si="263"/>
        <v>0</v>
      </c>
      <c r="V596" s="306">
        <f t="shared" ca="1" si="264"/>
        <v>1.2259196808421162</v>
      </c>
      <c r="W596" s="304">
        <f t="shared" ca="1" si="265"/>
        <v>54.628295946040737</v>
      </c>
      <c r="Y596" s="314" t="str">
        <f t="shared" ca="1" si="283"/>
        <v/>
      </c>
      <c r="Z596" s="315" t="str">
        <f t="shared" ca="1" si="284"/>
        <v/>
      </c>
      <c r="AA596" s="316" t="str">
        <f t="shared" ca="1" si="285"/>
        <v/>
      </c>
      <c r="AC596" s="310" t="e">
        <f t="shared" ca="1" si="286"/>
        <v>#N/A</v>
      </c>
      <c r="AD596" s="323" t="e">
        <f t="shared" ca="1" si="287"/>
        <v>#N/A</v>
      </c>
      <c r="AE596" s="324" t="e">
        <f t="shared" ca="1" si="266"/>
        <v>#N/A</v>
      </c>
      <c r="AG596" s="306">
        <f t="shared" ca="1" si="288"/>
        <v>2.1250500262942911</v>
      </c>
      <c r="AH596" s="304">
        <f t="shared" ca="1" si="289"/>
        <v>-7.6402863223177686</v>
      </c>
    </row>
    <row r="597" spans="1:34" x14ac:dyDescent="0.2">
      <c r="A597" s="347">
        <f t="shared" ca="1" si="267"/>
        <v>1E-4</v>
      </c>
      <c r="B597" s="304">
        <f t="shared" ca="1" si="268"/>
        <v>36.704600000000404</v>
      </c>
      <c r="D597" s="306">
        <f t="shared" ca="1" si="269"/>
        <v>-0.72823422820283013</v>
      </c>
      <c r="E597" s="307">
        <f t="shared" ca="1" si="270"/>
        <v>-2.2044637537399501</v>
      </c>
      <c r="F597" s="304">
        <f t="shared" ca="1" si="271"/>
        <v>2.3216342374886278</v>
      </c>
      <c r="G597" s="306">
        <f t="shared" ca="1" si="272"/>
        <v>12.454320502017779</v>
      </c>
      <c r="H597" s="307">
        <f t="shared" ca="1" si="273"/>
        <v>-130.07147526170854</v>
      </c>
      <c r="I597" s="304">
        <f t="shared" ca="1" si="274"/>
        <v>130.66636436330597</v>
      </c>
      <c r="J597" s="306">
        <f t="shared" ca="1" si="275"/>
        <v>889.84792314375909</v>
      </c>
      <c r="K597" s="307">
        <f t="shared" ca="1" si="276"/>
        <v>-7.5177887032334061</v>
      </c>
      <c r="L597" s="304">
        <f t="shared" ca="1" si="261"/>
        <v>889.87967920963774</v>
      </c>
      <c r="M597" s="306">
        <f t="shared" ca="1" si="277"/>
        <v>-1.4753375187905295</v>
      </c>
      <c r="N597" s="304">
        <f t="shared" ca="1" si="278"/>
        <v>-84.530613184000131</v>
      </c>
      <c r="P597" s="310">
        <f t="shared" ca="1" si="279"/>
        <v>23</v>
      </c>
      <c r="Q597" s="304">
        <f t="shared" ca="1" si="280"/>
        <v>0</v>
      </c>
      <c r="R597" s="306">
        <f t="shared" ca="1" si="281"/>
        <v>0</v>
      </c>
      <c r="S597" s="307">
        <f t="shared" ca="1" si="282"/>
        <v>7.150000000000003</v>
      </c>
      <c r="T597" s="304">
        <f t="shared" ca="1" si="262"/>
        <v>70.141500000000036</v>
      </c>
      <c r="U597" s="311">
        <f t="shared" ca="1" si="263"/>
        <v>0</v>
      </c>
      <c r="V597" s="306">
        <f t="shared" ca="1" si="264"/>
        <v>1.2259212754138411</v>
      </c>
      <c r="W597" s="304">
        <f t="shared" ca="1" si="265"/>
        <v>54.628544685620547</v>
      </c>
      <c r="Y597" s="314" t="str">
        <f t="shared" ca="1" si="283"/>
        <v/>
      </c>
      <c r="Z597" s="315" t="str">
        <f t="shared" ca="1" si="284"/>
        <v/>
      </c>
      <c r="AA597" s="316" t="str">
        <f t="shared" ca="1" si="285"/>
        <v/>
      </c>
      <c r="AC597" s="310" t="e">
        <f t="shared" ca="1" si="286"/>
        <v>#N/A</v>
      </c>
      <c r="AD597" s="323" t="e">
        <f t="shared" ca="1" si="287"/>
        <v>#N/A</v>
      </c>
      <c r="AE597" s="324" t="e">
        <f t="shared" ca="1" si="266"/>
        <v>#N/A</v>
      </c>
      <c r="AG597" s="306">
        <f t="shared" ca="1" si="288"/>
        <v>2.1250159063895619</v>
      </c>
      <c r="AH597" s="304">
        <f t="shared" ca="1" si="289"/>
        <v>-7.6403211113343659</v>
      </c>
    </row>
    <row r="598" spans="1:34" x14ac:dyDescent="0.2">
      <c r="A598" s="347">
        <f t="shared" ca="1" si="267"/>
        <v>1E-4</v>
      </c>
      <c r="B598" s="304">
        <f t="shared" ca="1" si="268"/>
        <v>36.704700000000408</v>
      </c>
      <c r="D598" s="306">
        <f t="shared" ca="1" si="269"/>
        <v>-0.72823210160338114</v>
      </c>
      <c r="E598" s="307">
        <f t="shared" ca="1" si="270"/>
        <v>-2.2044286022557591</v>
      </c>
      <c r="F598" s="304">
        <f t="shared" ca="1" si="271"/>
        <v>2.3216001930239747</v>
      </c>
      <c r="G598" s="306">
        <f t="shared" ca="1" si="272"/>
        <v>12.454247678807619</v>
      </c>
      <c r="H598" s="307">
        <f t="shared" ca="1" si="273"/>
        <v>-130.07169570456878</v>
      </c>
      <c r="I598" s="304">
        <f t="shared" ca="1" si="274"/>
        <v>130.66657686151811</v>
      </c>
      <c r="J598" s="306">
        <f t="shared" ca="1" si="275"/>
        <v>889.84792314375909</v>
      </c>
      <c r="K598" s="307">
        <f t="shared" ca="1" si="276"/>
        <v>-7.5307958617817201</v>
      </c>
      <c r="L598" s="304">
        <f t="shared" ca="1" si="261"/>
        <v>889.87978919041257</v>
      </c>
      <c r="M598" s="306">
        <f t="shared" ca="1" si="277"/>
        <v>-1.4753382343746981</v>
      </c>
      <c r="N598" s="304">
        <f t="shared" ca="1" si="278"/>
        <v>-84.530654183952876</v>
      </c>
      <c r="P598" s="310">
        <f t="shared" ca="1" si="279"/>
        <v>23</v>
      </c>
      <c r="Q598" s="304">
        <f t="shared" ca="1" si="280"/>
        <v>0</v>
      </c>
      <c r="R598" s="306">
        <f t="shared" ca="1" si="281"/>
        <v>0</v>
      </c>
      <c r="S598" s="307">
        <f t="shared" ca="1" si="282"/>
        <v>7.150000000000003</v>
      </c>
      <c r="T598" s="304">
        <f t="shared" ca="1" si="262"/>
        <v>70.141500000000036</v>
      </c>
      <c r="U598" s="311">
        <f t="shared" ca="1" si="263"/>
        <v>0</v>
      </c>
      <c r="V598" s="306">
        <f t="shared" ca="1" si="264"/>
        <v>1.2259228699903435</v>
      </c>
      <c r="W598" s="304">
        <f t="shared" ca="1" si="265"/>
        <v>54.628793423311507</v>
      </c>
      <c r="Y598" s="314" t="str">
        <f t="shared" ca="1" si="283"/>
        <v/>
      </c>
      <c r="Z598" s="315" t="str">
        <f t="shared" ca="1" si="284"/>
        <v/>
      </c>
      <c r="AA598" s="316" t="str">
        <f t="shared" ca="1" si="285"/>
        <v/>
      </c>
      <c r="AC598" s="310" t="e">
        <f t="shared" ca="1" si="286"/>
        <v>#N/A</v>
      </c>
      <c r="AD598" s="323" t="e">
        <f t="shared" ca="1" si="287"/>
        <v>#N/A</v>
      </c>
      <c r="AE598" s="324" t="e">
        <f t="shared" ca="1" si="266"/>
        <v>#N/A</v>
      </c>
      <c r="AG598" s="306">
        <f t="shared" ca="1" si="288"/>
        <v>2.1249817867379228</v>
      </c>
      <c r="AH598" s="304">
        <f t="shared" ca="1" si="289"/>
        <v>-7.6403559000867869</v>
      </c>
    </row>
    <row r="599" spans="1:34" x14ac:dyDescent="0.2">
      <c r="A599" s="347">
        <f t="shared" ca="1" si="267"/>
        <v>1E-4</v>
      </c>
      <c r="B599" s="304">
        <f t="shared" ca="1" si="268"/>
        <v>36.704800000000411</v>
      </c>
      <c r="D599" s="306">
        <f t="shared" ca="1" si="269"/>
        <v>-0.72822997497834274</v>
      </c>
      <c r="E599" s="307">
        <f t="shared" ca="1" si="270"/>
        <v>-2.2043934510384311</v>
      </c>
      <c r="F599" s="304">
        <f t="shared" ca="1" si="271"/>
        <v>2.3215661488396324</v>
      </c>
      <c r="G599" s="306">
        <f t="shared" ca="1" si="272"/>
        <v>12.454174855810122</v>
      </c>
      <c r="H599" s="307">
        <f t="shared" ca="1" si="273"/>
        <v>-130.07191614391388</v>
      </c>
      <c r="I599" s="304">
        <f t="shared" ca="1" si="274"/>
        <v>130.6667893563183</v>
      </c>
      <c r="J599" s="306">
        <f t="shared" ca="1" si="275"/>
        <v>889.84792314375909</v>
      </c>
      <c r="K599" s="307">
        <f t="shared" ca="1" si="276"/>
        <v>-7.5438030423741447</v>
      </c>
      <c r="L599" s="304">
        <f t="shared" ca="1" si="261"/>
        <v>889.87989936148324</v>
      </c>
      <c r="M599" s="306">
        <f t="shared" ca="1" si="277"/>
        <v>-1.4753389499523553</v>
      </c>
      <c r="N599" s="304">
        <f t="shared" ca="1" si="278"/>
        <v>-84.530695183532544</v>
      </c>
      <c r="P599" s="310">
        <f t="shared" ca="1" si="279"/>
        <v>23</v>
      </c>
      <c r="Q599" s="304">
        <f t="shared" ca="1" si="280"/>
        <v>0</v>
      </c>
      <c r="R599" s="306">
        <f t="shared" ca="1" si="281"/>
        <v>0</v>
      </c>
      <c r="S599" s="307">
        <f t="shared" ca="1" si="282"/>
        <v>7.150000000000003</v>
      </c>
      <c r="T599" s="304">
        <f t="shared" ca="1" si="262"/>
        <v>70.141500000000036</v>
      </c>
      <c r="U599" s="311">
        <f t="shared" ca="1" si="263"/>
        <v>0</v>
      </c>
      <c r="V599" s="306">
        <f t="shared" ca="1" si="264"/>
        <v>1.2259244645716236</v>
      </c>
      <c r="W599" s="304">
        <f t="shared" ca="1" si="265"/>
        <v>54.629042159113652</v>
      </c>
      <c r="Y599" s="314" t="str">
        <f t="shared" ca="1" si="283"/>
        <v/>
      </c>
      <c r="Z599" s="315" t="str">
        <f t="shared" ca="1" si="284"/>
        <v/>
      </c>
      <c r="AA599" s="316" t="str">
        <f t="shared" ca="1" si="285"/>
        <v/>
      </c>
      <c r="AC599" s="310" t="e">
        <f t="shared" ca="1" si="286"/>
        <v>#N/A</v>
      </c>
      <c r="AD599" s="323" t="e">
        <f t="shared" ca="1" si="287"/>
        <v>#N/A</v>
      </c>
      <c r="AE599" s="324" t="e">
        <f t="shared" ca="1" si="266"/>
        <v>#N/A</v>
      </c>
      <c r="AG599" s="306">
        <f t="shared" ca="1" si="288"/>
        <v>2.1249476673393675</v>
      </c>
      <c r="AH599" s="304">
        <f t="shared" ca="1" si="289"/>
        <v>-7.6403906885750326</v>
      </c>
    </row>
    <row r="600" spans="1:34" x14ac:dyDescent="0.2">
      <c r="A600" s="347">
        <f t="shared" ca="1" si="267"/>
        <v>1E-4</v>
      </c>
      <c r="B600" s="304">
        <f t="shared" ca="1" si="268"/>
        <v>36.704900000000414</v>
      </c>
      <c r="D600" s="306">
        <f t="shared" ca="1" si="269"/>
        <v>-0.72822784832771514</v>
      </c>
      <c r="E600" s="307">
        <f t="shared" ca="1" si="270"/>
        <v>-2.2043583000879616</v>
      </c>
      <c r="F600" s="304">
        <f t="shared" ca="1" si="271"/>
        <v>2.3215321049355966</v>
      </c>
      <c r="G600" s="306">
        <f t="shared" ca="1" si="272"/>
        <v>12.454102033025288</v>
      </c>
      <c r="H600" s="307">
        <f t="shared" ca="1" si="273"/>
        <v>-130.0721365797439</v>
      </c>
      <c r="I600" s="304">
        <f t="shared" ca="1" si="274"/>
        <v>130.66700184770656</v>
      </c>
      <c r="J600" s="306">
        <f t="shared" ca="1" si="275"/>
        <v>889.84792314375909</v>
      </c>
      <c r="K600" s="307">
        <f t="shared" ca="1" si="276"/>
        <v>-7.5568102450103272</v>
      </c>
      <c r="L600" s="304">
        <f t="shared" ca="1" si="261"/>
        <v>889.88000972285045</v>
      </c>
      <c r="M600" s="306">
        <f t="shared" ca="1" si="277"/>
        <v>-1.4753396655235007</v>
      </c>
      <c r="N600" s="304">
        <f t="shared" ca="1" si="278"/>
        <v>-84.530736182739119</v>
      </c>
      <c r="P600" s="310">
        <f t="shared" ca="1" si="279"/>
        <v>23</v>
      </c>
      <c r="Q600" s="304">
        <f t="shared" ca="1" si="280"/>
        <v>0</v>
      </c>
      <c r="R600" s="306">
        <f t="shared" ca="1" si="281"/>
        <v>0</v>
      </c>
      <c r="S600" s="307">
        <f t="shared" ca="1" si="282"/>
        <v>7.150000000000003</v>
      </c>
      <c r="T600" s="304">
        <f t="shared" ca="1" si="262"/>
        <v>70.141500000000036</v>
      </c>
      <c r="U600" s="311">
        <f t="shared" ca="1" si="263"/>
        <v>0</v>
      </c>
      <c r="V600" s="306">
        <f t="shared" ca="1" si="264"/>
        <v>1.2259260591576802</v>
      </c>
      <c r="W600" s="304">
        <f t="shared" ca="1" si="265"/>
        <v>54.629290893026855</v>
      </c>
      <c r="Y600" s="314" t="str">
        <f t="shared" ca="1" si="283"/>
        <v/>
      </c>
      <c r="Z600" s="315" t="str">
        <f t="shared" ca="1" si="284"/>
        <v/>
      </c>
      <c r="AA600" s="316" t="str">
        <f t="shared" ca="1" si="285"/>
        <v/>
      </c>
      <c r="AC600" s="310" t="e">
        <f t="shared" ca="1" si="286"/>
        <v>#N/A</v>
      </c>
      <c r="AD600" s="323" t="e">
        <f t="shared" ca="1" si="287"/>
        <v>#N/A</v>
      </c>
      <c r="AE600" s="324" t="e">
        <f t="shared" ca="1" si="266"/>
        <v>#N/A</v>
      </c>
      <c r="AG600" s="306">
        <f t="shared" ca="1" si="288"/>
        <v>2.1249135481938932</v>
      </c>
      <c r="AH600" s="304">
        <f t="shared" ca="1" si="289"/>
        <v>-7.6404254767991091</v>
      </c>
    </row>
    <row r="601" spans="1:34" x14ac:dyDescent="0.2">
      <c r="A601" s="347">
        <f t="shared" ca="1" si="267"/>
        <v>1E-4</v>
      </c>
      <c r="B601" s="304">
        <f t="shared" ca="1" si="268"/>
        <v>36.705000000000418</v>
      </c>
      <c r="D601" s="306">
        <f t="shared" ca="1" si="269"/>
        <v>-0.72822572165149946</v>
      </c>
      <c r="E601" s="307">
        <f t="shared" ca="1" si="270"/>
        <v>-2.2043231494043694</v>
      </c>
      <c r="F601" s="304">
        <f t="shared" ca="1" si="271"/>
        <v>2.3214980613118859</v>
      </c>
      <c r="G601" s="306">
        <f t="shared" ca="1" si="272"/>
        <v>12.454029210453124</v>
      </c>
      <c r="H601" s="307">
        <f t="shared" ca="1" si="273"/>
        <v>-130.07235701205883</v>
      </c>
      <c r="I601" s="304">
        <f t="shared" ca="1" si="274"/>
        <v>130.66721433568296</v>
      </c>
      <c r="J601" s="306">
        <f t="shared" ca="1" si="275"/>
        <v>889.84792314375909</v>
      </c>
      <c r="K601" s="307">
        <f t="shared" ca="1" si="276"/>
        <v>-7.5698174696899176</v>
      </c>
      <c r="L601" s="304">
        <f t="shared" ca="1" si="261"/>
        <v>889.88012027451532</v>
      </c>
      <c r="M601" s="306">
        <f t="shared" ca="1" si="277"/>
        <v>-1.4753403810881347</v>
      </c>
      <c r="N601" s="304">
        <f t="shared" ca="1" si="278"/>
        <v>-84.530777181572617</v>
      </c>
      <c r="P601" s="310">
        <f t="shared" ca="1" si="279"/>
        <v>23</v>
      </c>
      <c r="Q601" s="304">
        <f t="shared" ca="1" si="280"/>
        <v>0</v>
      </c>
      <c r="R601" s="306">
        <f t="shared" ca="1" si="281"/>
        <v>0</v>
      </c>
      <c r="S601" s="307">
        <f t="shared" ca="1" si="282"/>
        <v>7.150000000000003</v>
      </c>
      <c r="T601" s="304">
        <f t="shared" ca="1" si="262"/>
        <v>70.141500000000036</v>
      </c>
      <c r="U601" s="311">
        <f t="shared" ca="1" si="263"/>
        <v>0</v>
      </c>
      <c r="V601" s="306">
        <f t="shared" ca="1" si="264"/>
        <v>1.2259276537485144</v>
      </c>
      <c r="W601" s="304">
        <f t="shared" ca="1" si="265"/>
        <v>54.629539625051258</v>
      </c>
      <c r="Y601" s="314" t="str">
        <f t="shared" ca="1" si="283"/>
        <v/>
      </c>
      <c r="Z601" s="315" t="str">
        <f t="shared" ca="1" si="284"/>
        <v/>
      </c>
      <c r="AA601" s="316" t="str">
        <f t="shared" ca="1" si="285"/>
        <v/>
      </c>
      <c r="AC601" s="310" t="e">
        <f t="shared" ca="1" si="286"/>
        <v>#N/A</v>
      </c>
      <c r="AD601" s="323" t="e">
        <f t="shared" ca="1" si="287"/>
        <v>#N/A</v>
      </c>
      <c r="AE601" s="324" t="e">
        <f t="shared" ca="1" si="266"/>
        <v>#N/A</v>
      </c>
      <c r="AG601" s="306">
        <f t="shared" ca="1" si="288"/>
        <v>2.124879429301517</v>
      </c>
      <c r="AH601" s="304">
        <f t="shared" ca="1" si="289"/>
        <v>-7.6404602647589979</v>
      </c>
    </row>
    <row r="602" spans="1:34" x14ac:dyDescent="0.2">
      <c r="A602" s="347">
        <f t="shared" ca="1" si="267"/>
        <v>1E-4</v>
      </c>
      <c r="B602" s="304">
        <f t="shared" ca="1" si="268"/>
        <v>36.705100000000421</v>
      </c>
      <c r="D602" s="306">
        <f t="shared" ca="1" si="269"/>
        <v>-0.72822359494969724</v>
      </c>
      <c r="E602" s="307">
        <f t="shared" ca="1" si="270"/>
        <v>-2.2042879989876321</v>
      </c>
      <c r="F602" s="304">
        <f t="shared" ca="1" si="271"/>
        <v>2.3214640179684802</v>
      </c>
      <c r="G602" s="306">
        <f t="shared" ca="1" si="272"/>
        <v>12.453956388093628</v>
      </c>
      <c r="H602" s="307">
        <f t="shared" ca="1" si="273"/>
        <v>-130.07257744085874</v>
      </c>
      <c r="I602" s="304">
        <f t="shared" ca="1" si="274"/>
        <v>130.6674268202475</v>
      </c>
      <c r="J602" s="306">
        <f t="shared" ca="1" si="275"/>
        <v>889.84792314375909</v>
      </c>
      <c r="K602" s="307">
        <f t="shared" ca="1" si="276"/>
        <v>-7.5828247164125635</v>
      </c>
      <c r="L602" s="304">
        <f t="shared" ca="1" si="261"/>
        <v>889.88023101647855</v>
      </c>
      <c r="M602" s="306">
        <f t="shared" ca="1" si="277"/>
        <v>-1.4753410966462575</v>
      </c>
      <c r="N602" s="304">
        <f t="shared" ca="1" si="278"/>
        <v>-84.530818180033052</v>
      </c>
      <c r="P602" s="310">
        <f t="shared" ca="1" si="279"/>
        <v>23</v>
      </c>
      <c r="Q602" s="304">
        <f t="shared" ca="1" si="280"/>
        <v>0</v>
      </c>
      <c r="R602" s="306">
        <f t="shared" ca="1" si="281"/>
        <v>0</v>
      </c>
      <c r="S602" s="307">
        <f t="shared" ca="1" si="282"/>
        <v>7.150000000000003</v>
      </c>
      <c r="T602" s="304">
        <f t="shared" ca="1" si="262"/>
        <v>70.141500000000036</v>
      </c>
      <c r="U602" s="311">
        <f t="shared" ca="1" si="263"/>
        <v>0</v>
      </c>
      <c r="V602" s="306">
        <f t="shared" ca="1" si="264"/>
        <v>1.2259292483441264</v>
      </c>
      <c r="W602" s="304">
        <f t="shared" ca="1" si="265"/>
        <v>54.62978835518684</v>
      </c>
      <c r="Y602" s="314" t="str">
        <f t="shared" ca="1" si="283"/>
        <v/>
      </c>
      <c r="Z602" s="315" t="str">
        <f t="shared" ca="1" si="284"/>
        <v/>
      </c>
      <c r="AA602" s="316" t="str">
        <f t="shared" ca="1" si="285"/>
        <v/>
      </c>
      <c r="AC602" s="310" t="e">
        <f t="shared" ca="1" si="286"/>
        <v>#N/A</v>
      </c>
      <c r="AD602" s="323" t="e">
        <f t="shared" ca="1" si="287"/>
        <v>#N/A</v>
      </c>
      <c r="AE602" s="324" t="e">
        <f t="shared" ca="1" si="266"/>
        <v>#N/A</v>
      </c>
      <c r="AG602" s="306">
        <f t="shared" ca="1" si="288"/>
        <v>2.1248453106622209</v>
      </c>
      <c r="AH602" s="304">
        <f t="shared" ca="1" si="289"/>
        <v>-7.6404950524547184</v>
      </c>
    </row>
    <row r="603" spans="1:34" x14ac:dyDescent="0.2">
      <c r="A603" s="347">
        <f t="shared" ca="1" si="267"/>
        <v>1E-4</v>
      </c>
      <c r="B603" s="304">
        <f t="shared" ca="1" si="268"/>
        <v>36.705200000000424</v>
      </c>
      <c r="D603" s="306">
        <f t="shared" ca="1" si="269"/>
        <v>-0.72822146822230771</v>
      </c>
      <c r="E603" s="307">
        <f t="shared" ca="1" si="270"/>
        <v>-2.2042528488377542</v>
      </c>
      <c r="F603" s="304">
        <f t="shared" ca="1" si="271"/>
        <v>2.3214299749053833</v>
      </c>
      <c r="G603" s="306">
        <f t="shared" ca="1" si="272"/>
        <v>12.453883565946805</v>
      </c>
      <c r="H603" s="307">
        <f t="shared" ca="1" si="273"/>
        <v>-130.07279786614362</v>
      </c>
      <c r="I603" s="304">
        <f t="shared" ca="1" si="274"/>
        <v>130.66763930140016</v>
      </c>
      <c r="J603" s="306">
        <f t="shared" ca="1" si="275"/>
        <v>889.84792314375909</v>
      </c>
      <c r="K603" s="307">
        <f t="shared" ca="1" si="276"/>
        <v>-7.5958319851779139</v>
      </c>
      <c r="L603" s="304">
        <f t="shared" ca="1" si="261"/>
        <v>889.88034194874115</v>
      </c>
      <c r="M603" s="306">
        <f t="shared" ca="1" si="277"/>
        <v>-1.475341812197869</v>
      </c>
      <c r="N603" s="304">
        <f t="shared" ca="1" si="278"/>
        <v>-84.530859178120409</v>
      </c>
      <c r="P603" s="310">
        <f t="shared" ca="1" si="279"/>
        <v>23</v>
      </c>
      <c r="Q603" s="304">
        <f t="shared" ca="1" si="280"/>
        <v>0</v>
      </c>
      <c r="R603" s="306">
        <f t="shared" ca="1" si="281"/>
        <v>0</v>
      </c>
      <c r="S603" s="307">
        <f t="shared" ca="1" si="282"/>
        <v>7.150000000000003</v>
      </c>
      <c r="T603" s="304">
        <f t="shared" ca="1" si="262"/>
        <v>70.141500000000036</v>
      </c>
      <c r="U603" s="311">
        <f t="shared" ca="1" si="263"/>
        <v>0</v>
      </c>
      <c r="V603" s="306">
        <f t="shared" ca="1" si="264"/>
        <v>1.225930842944515</v>
      </c>
      <c r="W603" s="304">
        <f t="shared" ca="1" si="265"/>
        <v>54.630037083433493</v>
      </c>
      <c r="Y603" s="314" t="str">
        <f t="shared" ca="1" si="283"/>
        <v/>
      </c>
      <c r="Z603" s="315" t="str">
        <f t="shared" ca="1" si="284"/>
        <v/>
      </c>
      <c r="AA603" s="316" t="str">
        <f t="shared" ca="1" si="285"/>
        <v/>
      </c>
      <c r="AC603" s="310" t="e">
        <f t="shared" ca="1" si="286"/>
        <v>#N/A</v>
      </c>
      <c r="AD603" s="323" t="e">
        <f t="shared" ca="1" si="287"/>
        <v>#N/A</v>
      </c>
      <c r="AE603" s="324" t="e">
        <f t="shared" ca="1" si="266"/>
        <v>#N/A</v>
      </c>
      <c r="AG603" s="306">
        <f t="shared" ca="1" si="288"/>
        <v>2.1248111922760096</v>
      </c>
      <c r="AH603" s="304">
        <f t="shared" ca="1" si="289"/>
        <v>-7.640529839886268</v>
      </c>
    </row>
    <row r="604" spans="1:34" x14ac:dyDescent="0.2">
      <c r="A604" s="347">
        <f t="shared" ca="1" si="267"/>
        <v>1E-4</v>
      </c>
      <c r="B604" s="304">
        <f t="shared" ca="1" si="268"/>
        <v>36.705300000000427</v>
      </c>
      <c r="D604" s="306">
        <f t="shared" ca="1" si="269"/>
        <v>-0.72821934146933065</v>
      </c>
      <c r="E604" s="307">
        <f t="shared" ca="1" si="270"/>
        <v>-2.2042176989547499</v>
      </c>
      <c r="F604" s="304">
        <f t="shared" ca="1" si="271"/>
        <v>2.3213959321226092</v>
      </c>
      <c r="G604" s="306">
        <f t="shared" ca="1" si="272"/>
        <v>12.453810744012658</v>
      </c>
      <c r="H604" s="307">
        <f t="shared" ca="1" si="273"/>
        <v>-130.0730182879135</v>
      </c>
      <c r="I604" s="304">
        <f t="shared" ca="1" si="274"/>
        <v>130.66785177914102</v>
      </c>
      <c r="J604" s="306">
        <f t="shared" ca="1" si="275"/>
        <v>889.84792314375909</v>
      </c>
      <c r="K604" s="307">
        <f t="shared" ca="1" si="276"/>
        <v>-7.6088392759856172</v>
      </c>
      <c r="L604" s="304">
        <f t="shared" ca="1" si="261"/>
        <v>889.88045307130392</v>
      </c>
      <c r="M604" s="306">
        <f t="shared" ca="1" si="277"/>
        <v>-1.4753425277429693</v>
      </c>
      <c r="N604" s="304">
        <f t="shared" ca="1" si="278"/>
        <v>-84.530900175834702</v>
      </c>
      <c r="P604" s="310">
        <f t="shared" ca="1" si="279"/>
        <v>23</v>
      </c>
      <c r="Q604" s="304">
        <f t="shared" ca="1" si="280"/>
        <v>0</v>
      </c>
      <c r="R604" s="306">
        <f t="shared" ca="1" si="281"/>
        <v>0</v>
      </c>
      <c r="S604" s="307">
        <f t="shared" ca="1" si="282"/>
        <v>7.150000000000003</v>
      </c>
      <c r="T604" s="304">
        <f t="shared" ca="1" si="262"/>
        <v>70.141500000000036</v>
      </c>
      <c r="U604" s="311">
        <f t="shared" ca="1" si="263"/>
        <v>0</v>
      </c>
      <c r="V604" s="306">
        <f t="shared" ca="1" si="264"/>
        <v>1.2259324375496807</v>
      </c>
      <c r="W604" s="304">
        <f t="shared" ca="1" si="265"/>
        <v>54.630285809791289</v>
      </c>
      <c r="Y604" s="314" t="str">
        <f t="shared" ca="1" si="283"/>
        <v/>
      </c>
      <c r="Z604" s="315" t="str">
        <f t="shared" ca="1" si="284"/>
        <v/>
      </c>
      <c r="AA604" s="316" t="str">
        <f t="shared" ca="1" si="285"/>
        <v/>
      </c>
      <c r="AC604" s="310" t="e">
        <f t="shared" ca="1" si="286"/>
        <v>#N/A</v>
      </c>
      <c r="AD604" s="323" t="e">
        <f t="shared" ca="1" si="287"/>
        <v>#N/A</v>
      </c>
      <c r="AE604" s="324" t="e">
        <f t="shared" ca="1" si="266"/>
        <v>#N/A</v>
      </c>
      <c r="AG604" s="306">
        <f t="shared" ca="1" si="288"/>
        <v>2.1247770741428917</v>
      </c>
      <c r="AH604" s="304">
        <f t="shared" ca="1" si="289"/>
        <v>-7.6405646270536325</v>
      </c>
    </row>
    <row r="605" spans="1:34" x14ac:dyDescent="0.2">
      <c r="A605" s="347">
        <f t="shared" ca="1" si="267"/>
        <v>1E-4</v>
      </c>
      <c r="B605" s="304">
        <f t="shared" ca="1" si="268"/>
        <v>36.705400000000431</v>
      </c>
      <c r="D605" s="306">
        <f t="shared" ca="1" si="269"/>
        <v>-0.72821721469076839</v>
      </c>
      <c r="E605" s="307">
        <f t="shared" ca="1" si="270"/>
        <v>-2.2041825493386096</v>
      </c>
      <c r="F605" s="304">
        <f t="shared" ca="1" si="271"/>
        <v>2.32136188962015</v>
      </c>
      <c r="G605" s="306">
        <f t="shared" ca="1" si="272"/>
        <v>12.453737922291189</v>
      </c>
      <c r="H605" s="307">
        <f t="shared" ca="1" si="273"/>
        <v>-130.07323870616844</v>
      </c>
      <c r="I605" s="304">
        <f t="shared" ca="1" si="274"/>
        <v>130.66806425347011</v>
      </c>
      <c r="J605" s="306">
        <f t="shared" ca="1" si="275"/>
        <v>889.84792314375909</v>
      </c>
      <c r="K605" s="307">
        <f t="shared" ca="1" si="276"/>
        <v>-7.6218465888353215</v>
      </c>
      <c r="L605" s="304">
        <f t="shared" ca="1" si="261"/>
        <v>889.88056438416788</v>
      </c>
      <c r="M605" s="306">
        <f t="shared" ca="1" si="277"/>
        <v>-1.4753432432815585</v>
      </c>
      <c r="N605" s="304">
        <f t="shared" ca="1" si="278"/>
        <v>-84.530941173175947</v>
      </c>
      <c r="P605" s="310">
        <f t="shared" ca="1" si="279"/>
        <v>23</v>
      </c>
      <c r="Q605" s="304">
        <f t="shared" ca="1" si="280"/>
        <v>0</v>
      </c>
      <c r="R605" s="306">
        <f t="shared" ca="1" si="281"/>
        <v>0</v>
      </c>
      <c r="S605" s="307">
        <f t="shared" ca="1" si="282"/>
        <v>7.150000000000003</v>
      </c>
      <c r="T605" s="304">
        <f t="shared" ca="1" si="262"/>
        <v>70.141500000000036</v>
      </c>
      <c r="U605" s="311">
        <f t="shared" ca="1" si="263"/>
        <v>0</v>
      </c>
      <c r="V605" s="306">
        <f t="shared" ca="1" si="264"/>
        <v>1.2259340321596239</v>
      </c>
      <c r="W605" s="304">
        <f t="shared" ca="1" si="265"/>
        <v>54.630534534260242</v>
      </c>
      <c r="Y605" s="314" t="str">
        <f t="shared" ca="1" si="283"/>
        <v/>
      </c>
      <c r="Z605" s="315" t="str">
        <f t="shared" ca="1" si="284"/>
        <v/>
      </c>
      <c r="AA605" s="316" t="str">
        <f t="shared" ca="1" si="285"/>
        <v/>
      </c>
      <c r="AC605" s="310" t="e">
        <f t="shared" ca="1" si="286"/>
        <v>#N/A</v>
      </c>
      <c r="AD605" s="323" t="e">
        <f t="shared" ca="1" si="287"/>
        <v>#N/A</v>
      </c>
      <c r="AE605" s="324" t="e">
        <f t="shared" ca="1" si="266"/>
        <v>#N/A</v>
      </c>
      <c r="AG605" s="306">
        <f t="shared" ca="1" si="288"/>
        <v>2.1247429562628657</v>
      </c>
      <c r="AH605" s="304">
        <f t="shared" ca="1" si="289"/>
        <v>-7.6405994139568207</v>
      </c>
    </row>
    <row r="606" spans="1:34" x14ac:dyDescent="0.2">
      <c r="A606" s="347">
        <f t="shared" ca="1" si="267"/>
        <v>1E-4</v>
      </c>
      <c r="B606" s="304">
        <f t="shared" ca="1" si="268"/>
        <v>36.705500000000434</v>
      </c>
      <c r="D606" s="306">
        <f t="shared" ca="1" si="269"/>
        <v>-0.72821508788662048</v>
      </c>
      <c r="E606" s="307">
        <f t="shared" ca="1" si="270"/>
        <v>-2.2041473999893331</v>
      </c>
      <c r="F606" s="304">
        <f t="shared" ca="1" si="271"/>
        <v>2.3213278473980048</v>
      </c>
      <c r="G606" s="306">
        <f t="shared" ca="1" si="272"/>
        <v>12.4536651007824</v>
      </c>
      <c r="H606" s="307">
        <f t="shared" ca="1" si="273"/>
        <v>-130.07345912090844</v>
      </c>
      <c r="I606" s="304">
        <f t="shared" ca="1" si="274"/>
        <v>130.6682767243874</v>
      </c>
      <c r="J606" s="306">
        <f t="shared" ca="1" si="275"/>
        <v>889.84792314375909</v>
      </c>
      <c r="K606" s="307">
        <f t="shared" ca="1" si="276"/>
        <v>-7.6348539237266753</v>
      </c>
      <c r="L606" s="304">
        <f t="shared" ca="1" si="261"/>
        <v>889.88067588733372</v>
      </c>
      <c r="M606" s="306">
        <f t="shared" ca="1" si="277"/>
        <v>-1.4753439588136368</v>
      </c>
      <c r="N606" s="304">
        <f t="shared" ca="1" si="278"/>
        <v>-84.530982170144142</v>
      </c>
      <c r="P606" s="310">
        <f t="shared" ca="1" si="279"/>
        <v>23</v>
      </c>
      <c r="Q606" s="304">
        <f t="shared" ca="1" si="280"/>
        <v>0</v>
      </c>
      <c r="R606" s="306">
        <f t="shared" ca="1" si="281"/>
        <v>0</v>
      </c>
      <c r="S606" s="307">
        <f t="shared" ca="1" si="282"/>
        <v>7.150000000000003</v>
      </c>
      <c r="T606" s="304">
        <f t="shared" ca="1" si="262"/>
        <v>70.141500000000036</v>
      </c>
      <c r="U606" s="311">
        <f t="shared" ca="1" si="263"/>
        <v>0</v>
      </c>
      <c r="V606" s="306">
        <f t="shared" ca="1" si="264"/>
        <v>1.225935626774344</v>
      </c>
      <c r="W606" s="304">
        <f t="shared" ca="1" si="265"/>
        <v>54.630783256840303</v>
      </c>
      <c r="Y606" s="314" t="str">
        <f t="shared" ca="1" si="283"/>
        <v/>
      </c>
      <c r="Z606" s="315" t="str">
        <f t="shared" ca="1" si="284"/>
        <v/>
      </c>
      <c r="AA606" s="316" t="str">
        <f t="shared" ca="1" si="285"/>
        <v/>
      </c>
      <c r="AC606" s="310" t="e">
        <f t="shared" ca="1" si="286"/>
        <v>#N/A</v>
      </c>
      <c r="AD606" s="323" t="e">
        <f t="shared" ca="1" si="287"/>
        <v>#N/A</v>
      </c>
      <c r="AE606" s="324" t="e">
        <f t="shared" ca="1" si="266"/>
        <v>#N/A</v>
      </c>
      <c r="AG606" s="306">
        <f t="shared" ca="1" si="288"/>
        <v>2.1247088386359261</v>
      </c>
      <c r="AH606" s="304">
        <f t="shared" ca="1" si="289"/>
        <v>-7.6406342005958345</v>
      </c>
    </row>
    <row r="607" spans="1:34" x14ac:dyDescent="0.2">
      <c r="A607" s="347">
        <f t="shared" ca="1" si="267"/>
        <v>1E-4</v>
      </c>
      <c r="B607" s="304">
        <f t="shared" ca="1" si="268"/>
        <v>36.705600000000437</v>
      </c>
      <c r="D607" s="306">
        <f t="shared" ca="1" si="269"/>
        <v>-0.72821296105688771</v>
      </c>
      <c r="E607" s="307">
        <f t="shared" ca="1" si="270"/>
        <v>-2.204112250906924</v>
      </c>
      <c r="F607" s="304">
        <f t="shared" ca="1" si="271"/>
        <v>2.3212938054561785</v>
      </c>
      <c r="G607" s="306">
        <f t="shared" ca="1" si="272"/>
        <v>12.453592279486294</v>
      </c>
      <c r="H607" s="307">
        <f t="shared" ca="1" si="273"/>
        <v>-130.07367953213353</v>
      </c>
      <c r="I607" s="304">
        <f t="shared" ca="1" si="274"/>
        <v>130.66848919189297</v>
      </c>
      <c r="J607" s="306">
        <f t="shared" ca="1" si="275"/>
        <v>889.84792314375909</v>
      </c>
      <c r="K607" s="307">
        <f t="shared" ca="1" si="276"/>
        <v>-7.6478612806593276</v>
      </c>
      <c r="L607" s="304">
        <f t="shared" ca="1" si="261"/>
        <v>889.88078758080258</v>
      </c>
      <c r="M607" s="306">
        <f t="shared" ca="1" si="277"/>
        <v>-1.475344674339204</v>
      </c>
      <c r="N607" s="304">
        <f t="shared" ca="1" si="278"/>
        <v>-84.531023166739274</v>
      </c>
      <c r="P607" s="310">
        <f t="shared" ca="1" si="279"/>
        <v>23</v>
      </c>
      <c r="Q607" s="304">
        <f t="shared" ca="1" si="280"/>
        <v>0</v>
      </c>
      <c r="R607" s="306">
        <f t="shared" ca="1" si="281"/>
        <v>0</v>
      </c>
      <c r="S607" s="307">
        <f t="shared" ca="1" si="282"/>
        <v>7.150000000000003</v>
      </c>
      <c r="T607" s="304">
        <f t="shared" ca="1" si="262"/>
        <v>70.141500000000036</v>
      </c>
      <c r="U607" s="311">
        <f t="shared" ca="1" si="263"/>
        <v>0</v>
      </c>
      <c r="V607" s="306">
        <f t="shared" ca="1" si="264"/>
        <v>1.2259372213938413</v>
      </c>
      <c r="W607" s="304">
        <f t="shared" ca="1" si="265"/>
        <v>54.631031977531499</v>
      </c>
      <c r="Y607" s="314" t="str">
        <f t="shared" ca="1" si="283"/>
        <v/>
      </c>
      <c r="Z607" s="315" t="str">
        <f t="shared" ca="1" si="284"/>
        <v/>
      </c>
      <c r="AA607" s="316" t="str">
        <f t="shared" ca="1" si="285"/>
        <v/>
      </c>
      <c r="AC607" s="310" t="e">
        <f t="shared" ca="1" si="286"/>
        <v>#N/A</v>
      </c>
      <c r="AD607" s="323" t="e">
        <f t="shared" ca="1" si="287"/>
        <v>#N/A</v>
      </c>
      <c r="AE607" s="324" t="e">
        <f t="shared" ca="1" si="266"/>
        <v>#N/A</v>
      </c>
      <c r="AG607" s="306">
        <f t="shared" ca="1" si="288"/>
        <v>2.1246747212620765</v>
      </c>
      <c r="AH607" s="304">
        <f t="shared" ca="1" si="289"/>
        <v>-7.6406689869706685</v>
      </c>
    </row>
    <row r="608" spans="1:34" x14ac:dyDescent="0.2">
      <c r="A608" s="347">
        <f t="shared" ca="1" si="267"/>
        <v>1E-4</v>
      </c>
      <c r="B608" s="304">
        <f t="shared" ca="1" si="268"/>
        <v>36.705700000000441</v>
      </c>
      <c r="D608" s="306">
        <f t="shared" ca="1" si="269"/>
        <v>-0.72821083420157151</v>
      </c>
      <c r="E608" s="307">
        <f t="shared" ca="1" si="270"/>
        <v>-2.2040771020913814</v>
      </c>
      <c r="F608" s="304">
        <f t="shared" ca="1" si="271"/>
        <v>2.3212597637946706</v>
      </c>
      <c r="G608" s="306">
        <f t="shared" ca="1" si="272"/>
        <v>12.453519458402875</v>
      </c>
      <c r="H608" s="307">
        <f t="shared" ca="1" si="273"/>
        <v>-130.07389993984373</v>
      </c>
      <c r="I608" s="304">
        <f t="shared" ca="1" si="274"/>
        <v>130.66870165598684</v>
      </c>
      <c r="J608" s="306">
        <f t="shared" ca="1" si="275"/>
        <v>889.84792314375909</v>
      </c>
      <c r="K608" s="307">
        <f t="shared" ca="1" si="276"/>
        <v>-7.6608686596329267</v>
      </c>
      <c r="L608" s="304">
        <f t="shared" ca="1" si="261"/>
        <v>889.88089946457524</v>
      </c>
      <c r="M608" s="306">
        <f t="shared" ca="1" si="277"/>
        <v>-1.4753453898582605</v>
      </c>
      <c r="N608" s="304">
        <f t="shared" ca="1" si="278"/>
        <v>-84.531064162961371</v>
      </c>
      <c r="P608" s="310">
        <f t="shared" ca="1" si="279"/>
        <v>23</v>
      </c>
      <c r="Q608" s="304">
        <f t="shared" ca="1" si="280"/>
        <v>0</v>
      </c>
      <c r="R608" s="306">
        <f t="shared" ca="1" si="281"/>
        <v>0</v>
      </c>
      <c r="S608" s="307">
        <f t="shared" ca="1" si="282"/>
        <v>7.150000000000003</v>
      </c>
      <c r="T608" s="304">
        <f t="shared" ca="1" si="262"/>
        <v>70.141500000000036</v>
      </c>
      <c r="U608" s="311">
        <f t="shared" ca="1" si="263"/>
        <v>0</v>
      </c>
      <c r="V608" s="306">
        <f t="shared" ca="1" si="264"/>
        <v>1.2259388160181157</v>
      </c>
      <c r="W608" s="304">
        <f t="shared" ca="1" si="265"/>
        <v>54.631280696333853</v>
      </c>
      <c r="Y608" s="314" t="str">
        <f t="shared" ca="1" si="283"/>
        <v/>
      </c>
      <c r="Z608" s="315" t="str">
        <f t="shared" ca="1" si="284"/>
        <v/>
      </c>
      <c r="AA608" s="316" t="str">
        <f t="shared" ca="1" si="285"/>
        <v/>
      </c>
      <c r="AC608" s="310" t="e">
        <f t="shared" ca="1" si="286"/>
        <v>#N/A</v>
      </c>
      <c r="AD608" s="323" t="e">
        <f t="shared" ca="1" si="287"/>
        <v>#N/A</v>
      </c>
      <c r="AE608" s="324" t="e">
        <f t="shared" ca="1" si="266"/>
        <v>#N/A</v>
      </c>
      <c r="AG608" s="306">
        <f t="shared" ca="1" si="288"/>
        <v>2.1246406041413177</v>
      </c>
      <c r="AH608" s="304">
        <f t="shared" ca="1" si="289"/>
        <v>-7.6407037730813254</v>
      </c>
    </row>
    <row r="609" spans="1:34" x14ac:dyDescent="0.2">
      <c r="A609" s="347">
        <f t="shared" ca="1" si="267"/>
        <v>1E-4</v>
      </c>
      <c r="B609" s="304">
        <f t="shared" ca="1" si="268"/>
        <v>36.705800000000444</v>
      </c>
      <c r="D609" s="306">
        <f t="shared" ca="1" si="269"/>
        <v>-0.72820870732067189</v>
      </c>
      <c r="E609" s="307">
        <f t="shared" ca="1" si="270"/>
        <v>-2.2040419535427</v>
      </c>
      <c r="F609" s="304">
        <f t="shared" ca="1" si="271"/>
        <v>2.3212257224134762</v>
      </c>
      <c r="G609" s="306">
        <f t="shared" ca="1" si="272"/>
        <v>12.453446637532142</v>
      </c>
      <c r="H609" s="307">
        <f t="shared" ca="1" si="273"/>
        <v>-130.07412034403907</v>
      </c>
      <c r="I609" s="304">
        <f t="shared" ca="1" si="274"/>
        <v>130.66891411666901</v>
      </c>
      <c r="J609" s="306">
        <f t="shared" ca="1" si="275"/>
        <v>889.84792314375909</v>
      </c>
      <c r="K609" s="307">
        <f t="shared" ca="1" si="276"/>
        <v>-7.673876060647121</v>
      </c>
      <c r="L609" s="304">
        <f t="shared" ca="1" si="261"/>
        <v>889.88101153865261</v>
      </c>
      <c r="M609" s="306">
        <f t="shared" ca="1" si="277"/>
        <v>-1.4753461053708063</v>
      </c>
      <c r="N609" s="304">
        <f t="shared" ca="1" si="278"/>
        <v>-84.531105158810433</v>
      </c>
      <c r="P609" s="310">
        <f t="shared" ca="1" si="279"/>
        <v>23</v>
      </c>
      <c r="Q609" s="304">
        <f t="shared" ca="1" si="280"/>
        <v>0</v>
      </c>
      <c r="R609" s="306">
        <f t="shared" ca="1" si="281"/>
        <v>0</v>
      </c>
      <c r="S609" s="307">
        <f t="shared" ca="1" si="282"/>
        <v>7.150000000000003</v>
      </c>
      <c r="T609" s="304">
        <f t="shared" ca="1" si="262"/>
        <v>70.141500000000036</v>
      </c>
      <c r="U609" s="311">
        <f t="shared" ca="1" si="263"/>
        <v>0</v>
      </c>
      <c r="V609" s="306">
        <f t="shared" ca="1" si="264"/>
        <v>1.225940410647167</v>
      </c>
      <c r="W609" s="304">
        <f t="shared" ca="1" si="265"/>
        <v>54.631529413247314</v>
      </c>
      <c r="Y609" s="314" t="str">
        <f t="shared" ca="1" si="283"/>
        <v/>
      </c>
      <c r="Z609" s="315" t="str">
        <f t="shared" ca="1" si="284"/>
        <v/>
      </c>
      <c r="AA609" s="316" t="str">
        <f t="shared" ca="1" si="285"/>
        <v/>
      </c>
      <c r="AC609" s="310" t="e">
        <f t="shared" ca="1" si="286"/>
        <v>#N/A</v>
      </c>
      <c r="AD609" s="323" t="e">
        <f t="shared" ca="1" si="287"/>
        <v>#N/A</v>
      </c>
      <c r="AE609" s="324" t="e">
        <f t="shared" ca="1" si="266"/>
        <v>#N/A</v>
      </c>
      <c r="AG609" s="306">
        <f t="shared" ca="1" si="288"/>
        <v>2.1246064872736463</v>
      </c>
      <c r="AH609" s="304">
        <f t="shared" ca="1" si="289"/>
        <v>-7.6407385589278087</v>
      </c>
    </row>
    <row r="610" spans="1:34" x14ac:dyDescent="0.2">
      <c r="A610" s="347">
        <f t="shared" ca="1" si="267"/>
        <v>1E-4</v>
      </c>
      <c r="B610" s="304">
        <f t="shared" ca="1" si="268"/>
        <v>36.705900000000447</v>
      </c>
      <c r="D610" s="306">
        <f t="shared" ca="1" si="269"/>
        <v>-0.72820658041418762</v>
      </c>
      <c r="E610" s="307">
        <f t="shared" ca="1" si="270"/>
        <v>-2.2040068052608879</v>
      </c>
      <c r="F610" s="304">
        <f t="shared" ca="1" si="271"/>
        <v>2.3211916813126034</v>
      </c>
      <c r="G610" s="306">
        <f t="shared" ca="1" si="272"/>
        <v>12.4533738168741</v>
      </c>
      <c r="H610" s="307">
        <f t="shared" ca="1" si="273"/>
        <v>-130.07434074471959</v>
      </c>
      <c r="I610" s="304">
        <f t="shared" ca="1" si="274"/>
        <v>130.66912657393951</v>
      </c>
      <c r="J610" s="306">
        <f t="shared" ca="1" si="275"/>
        <v>889.84792314375909</v>
      </c>
      <c r="K610" s="307">
        <f t="shared" ca="1" si="276"/>
        <v>-7.6868834837015587</v>
      </c>
      <c r="L610" s="304">
        <f t="shared" ca="1" si="261"/>
        <v>889.88112380303551</v>
      </c>
      <c r="M610" s="306">
        <f t="shared" ca="1" si="277"/>
        <v>-1.4753468208768417</v>
      </c>
      <c r="N610" s="304">
        <f t="shared" ca="1" si="278"/>
        <v>-84.531146154286475</v>
      </c>
      <c r="P610" s="310">
        <f t="shared" ca="1" si="279"/>
        <v>23</v>
      </c>
      <c r="Q610" s="304">
        <f t="shared" ca="1" si="280"/>
        <v>0</v>
      </c>
      <c r="R610" s="306">
        <f t="shared" ca="1" si="281"/>
        <v>0</v>
      </c>
      <c r="S610" s="307">
        <f t="shared" ca="1" si="282"/>
        <v>7.150000000000003</v>
      </c>
      <c r="T610" s="304">
        <f t="shared" ca="1" si="262"/>
        <v>70.141500000000036</v>
      </c>
      <c r="U610" s="311">
        <f t="shared" ca="1" si="263"/>
        <v>0</v>
      </c>
      <c r="V610" s="306">
        <f t="shared" ca="1" si="264"/>
        <v>1.2259420052809953</v>
      </c>
      <c r="W610" s="304">
        <f t="shared" ca="1" si="265"/>
        <v>54.631778128271883</v>
      </c>
      <c r="Y610" s="314" t="str">
        <f t="shared" ca="1" si="283"/>
        <v/>
      </c>
      <c r="Z610" s="315" t="str">
        <f t="shared" ca="1" si="284"/>
        <v/>
      </c>
      <c r="AA610" s="316" t="str">
        <f t="shared" ca="1" si="285"/>
        <v/>
      </c>
      <c r="AC610" s="310" t="e">
        <f t="shared" ca="1" si="286"/>
        <v>#N/A</v>
      </c>
      <c r="AD610" s="323" t="e">
        <f t="shared" ca="1" si="287"/>
        <v>#N/A</v>
      </c>
      <c r="AE610" s="324" t="e">
        <f t="shared" ca="1" si="266"/>
        <v>#N/A</v>
      </c>
      <c r="AG610" s="306">
        <f t="shared" ca="1" si="288"/>
        <v>2.1245723706590702</v>
      </c>
      <c r="AH610" s="304">
        <f t="shared" ca="1" si="289"/>
        <v>-7.6407733445101105</v>
      </c>
    </row>
    <row r="611" spans="1:34" x14ac:dyDescent="0.2">
      <c r="A611" s="347">
        <f t="shared" ca="1" si="267"/>
        <v>1E-4</v>
      </c>
      <c r="B611" s="304">
        <f t="shared" ca="1" si="268"/>
        <v>36.706000000000451</v>
      </c>
      <c r="D611" s="306">
        <f t="shared" ca="1" si="269"/>
        <v>-0.72820445348212004</v>
      </c>
      <c r="E611" s="307">
        <f t="shared" ca="1" si="270"/>
        <v>-2.203971657245944</v>
      </c>
      <c r="F611" s="304">
        <f t="shared" ca="1" si="271"/>
        <v>2.3211576404920509</v>
      </c>
      <c r="G611" s="306">
        <f t="shared" ca="1" si="272"/>
        <v>12.453300996428752</v>
      </c>
      <c r="H611" s="307">
        <f t="shared" ca="1" si="273"/>
        <v>-130.07456114188531</v>
      </c>
      <c r="I611" s="304">
        <f t="shared" ca="1" si="274"/>
        <v>130.66933902779837</v>
      </c>
      <c r="J611" s="306">
        <f t="shared" ca="1" si="275"/>
        <v>889.84792314375909</v>
      </c>
      <c r="K611" s="307">
        <f t="shared" ca="1" si="276"/>
        <v>-7.699890928795889</v>
      </c>
      <c r="L611" s="304">
        <f t="shared" ca="1" si="261"/>
        <v>889.88123625772482</v>
      </c>
      <c r="M611" s="306">
        <f t="shared" ca="1" si="277"/>
        <v>-1.4753475363763662</v>
      </c>
      <c r="N611" s="304">
        <f t="shared" ca="1" si="278"/>
        <v>-84.531187149389481</v>
      </c>
      <c r="P611" s="310">
        <f t="shared" ca="1" si="279"/>
        <v>23</v>
      </c>
      <c r="Q611" s="304">
        <f t="shared" ca="1" si="280"/>
        <v>0</v>
      </c>
      <c r="R611" s="306">
        <f t="shared" ca="1" si="281"/>
        <v>0</v>
      </c>
      <c r="S611" s="307">
        <f t="shared" ca="1" si="282"/>
        <v>7.150000000000003</v>
      </c>
      <c r="T611" s="304">
        <f t="shared" ca="1" si="262"/>
        <v>70.141500000000036</v>
      </c>
      <c r="U611" s="311">
        <f t="shared" ca="1" si="263"/>
        <v>0</v>
      </c>
      <c r="V611" s="306">
        <f t="shared" ca="1" si="264"/>
        <v>1.2259435999196009</v>
      </c>
      <c r="W611" s="304">
        <f t="shared" ca="1" si="265"/>
        <v>54.632026841407587</v>
      </c>
      <c r="Y611" s="314" t="str">
        <f t="shared" ca="1" si="283"/>
        <v/>
      </c>
      <c r="Z611" s="315" t="str">
        <f t="shared" ca="1" si="284"/>
        <v/>
      </c>
      <c r="AA611" s="316" t="str">
        <f t="shared" ca="1" si="285"/>
        <v/>
      </c>
      <c r="AC611" s="310" t="e">
        <f t="shared" ca="1" si="286"/>
        <v>#N/A</v>
      </c>
      <c r="AD611" s="323" t="e">
        <f t="shared" ca="1" si="287"/>
        <v>#N/A</v>
      </c>
      <c r="AE611" s="324" t="e">
        <f t="shared" ca="1" si="266"/>
        <v>#N/A</v>
      </c>
      <c r="AG611" s="306">
        <f t="shared" ca="1" si="288"/>
        <v>2.1245382542975877</v>
      </c>
      <c r="AH611" s="304">
        <f t="shared" ca="1" si="289"/>
        <v>-7.6408081298282324</v>
      </c>
    </row>
    <row r="612" spans="1:34" x14ac:dyDescent="0.2">
      <c r="A612" s="347">
        <f t="shared" ca="1" si="267"/>
        <v>1E-4</v>
      </c>
      <c r="B612" s="304">
        <f t="shared" ca="1" si="268"/>
        <v>36.706100000000454</v>
      </c>
      <c r="D612" s="306">
        <f t="shared" ca="1" si="269"/>
        <v>-0.72820232652447248</v>
      </c>
      <c r="E612" s="307">
        <f t="shared" ca="1" si="270"/>
        <v>-2.2039365094978667</v>
      </c>
      <c r="F612" s="304">
        <f t="shared" ca="1" si="271"/>
        <v>2.3211235999518198</v>
      </c>
      <c r="G612" s="306">
        <f t="shared" ca="1" si="272"/>
        <v>12.453228176196099</v>
      </c>
      <c r="H612" s="307">
        <f t="shared" ca="1" si="273"/>
        <v>-130.07478153553626</v>
      </c>
      <c r="I612" s="304">
        <f t="shared" ca="1" si="274"/>
        <v>130.66955147824564</v>
      </c>
      <c r="J612" s="306">
        <f t="shared" ca="1" si="275"/>
        <v>889.84792314375909</v>
      </c>
      <c r="K612" s="307">
        <f t="shared" ca="1" si="276"/>
        <v>-7.7128983959297601</v>
      </c>
      <c r="L612" s="304">
        <f t="shared" ca="1" si="261"/>
        <v>889.88134890272158</v>
      </c>
      <c r="M612" s="306">
        <f t="shared" ca="1" si="277"/>
        <v>-1.4753482518693803</v>
      </c>
      <c r="N612" s="304">
        <f t="shared" ca="1" si="278"/>
        <v>-84.531228144119467</v>
      </c>
      <c r="P612" s="310">
        <f t="shared" ca="1" si="279"/>
        <v>23</v>
      </c>
      <c r="Q612" s="304">
        <f t="shared" ca="1" si="280"/>
        <v>0</v>
      </c>
      <c r="R612" s="306">
        <f t="shared" ca="1" si="281"/>
        <v>0</v>
      </c>
      <c r="S612" s="307">
        <f t="shared" ca="1" si="282"/>
        <v>7.150000000000003</v>
      </c>
      <c r="T612" s="304">
        <f t="shared" ca="1" si="262"/>
        <v>70.141500000000036</v>
      </c>
      <c r="U612" s="311">
        <f t="shared" ca="1" si="263"/>
        <v>0</v>
      </c>
      <c r="V612" s="306">
        <f t="shared" ca="1" si="264"/>
        <v>1.2259451945629829</v>
      </c>
      <c r="W612" s="304">
        <f t="shared" ca="1" si="265"/>
        <v>54.632275552654406</v>
      </c>
      <c r="Y612" s="314" t="str">
        <f t="shared" ca="1" si="283"/>
        <v/>
      </c>
      <c r="Z612" s="315" t="str">
        <f t="shared" ca="1" si="284"/>
        <v/>
      </c>
      <c r="AA612" s="316" t="str">
        <f t="shared" ca="1" si="285"/>
        <v/>
      </c>
      <c r="AC612" s="310" t="e">
        <f t="shared" ca="1" si="286"/>
        <v>#N/A</v>
      </c>
      <c r="AD612" s="323" t="e">
        <f t="shared" ca="1" si="287"/>
        <v>#N/A</v>
      </c>
      <c r="AE612" s="324" t="e">
        <f t="shared" ca="1" si="266"/>
        <v>#N/A</v>
      </c>
      <c r="AG612" s="306">
        <f t="shared" ca="1" si="288"/>
        <v>2.1245041381891969</v>
      </c>
      <c r="AH612" s="304">
        <f t="shared" ca="1" si="289"/>
        <v>-7.6408429148821764</v>
      </c>
    </row>
    <row r="613" spans="1:34" x14ac:dyDescent="0.2">
      <c r="A613" s="347">
        <f t="shared" ca="1" si="267"/>
        <v>1E-4</v>
      </c>
      <c r="B613" s="304">
        <f t="shared" ca="1" si="268"/>
        <v>36.706200000000457</v>
      </c>
      <c r="D613" s="306">
        <f t="shared" ca="1" si="269"/>
        <v>-0.72820019954124249</v>
      </c>
      <c r="E613" s="307">
        <f t="shared" ca="1" si="270"/>
        <v>-2.2039013620166577</v>
      </c>
      <c r="F613" s="304">
        <f t="shared" ca="1" si="271"/>
        <v>2.3210895596919099</v>
      </c>
      <c r="G613" s="306">
        <f t="shared" ca="1" si="272"/>
        <v>12.453155356176145</v>
      </c>
      <c r="H613" s="307">
        <f t="shared" ca="1" si="273"/>
        <v>-130.07500192567247</v>
      </c>
      <c r="I613" s="304">
        <f t="shared" ca="1" si="274"/>
        <v>130.66976392528133</v>
      </c>
      <c r="J613" s="306">
        <f t="shared" ca="1" si="275"/>
        <v>889.84792314375909</v>
      </c>
      <c r="K613" s="307">
        <f t="shared" ca="1" si="276"/>
        <v>-7.7259058851028204</v>
      </c>
      <c r="L613" s="304">
        <f t="shared" ca="1" si="261"/>
        <v>889.88146173802659</v>
      </c>
      <c r="M613" s="306">
        <f t="shared" ca="1" si="277"/>
        <v>-1.4753489673558842</v>
      </c>
      <c r="N613" s="304">
        <f t="shared" ca="1" si="278"/>
        <v>-84.531269138476432</v>
      </c>
      <c r="P613" s="310">
        <f t="shared" ca="1" si="279"/>
        <v>23</v>
      </c>
      <c r="Q613" s="304">
        <f t="shared" ca="1" si="280"/>
        <v>0</v>
      </c>
      <c r="R613" s="306">
        <f t="shared" ca="1" si="281"/>
        <v>0</v>
      </c>
      <c r="S613" s="307">
        <f t="shared" ca="1" si="282"/>
        <v>7.150000000000003</v>
      </c>
      <c r="T613" s="304">
        <f t="shared" ca="1" si="262"/>
        <v>70.141500000000036</v>
      </c>
      <c r="U613" s="311">
        <f t="shared" ca="1" si="263"/>
        <v>0</v>
      </c>
      <c r="V613" s="306">
        <f t="shared" ca="1" si="264"/>
        <v>1.225946789211142</v>
      </c>
      <c r="W613" s="304">
        <f t="shared" ca="1" si="265"/>
        <v>54.632524262012367</v>
      </c>
      <c r="Y613" s="314" t="str">
        <f t="shared" ca="1" si="283"/>
        <v/>
      </c>
      <c r="Z613" s="315" t="str">
        <f t="shared" ca="1" si="284"/>
        <v/>
      </c>
      <c r="AA613" s="316" t="str">
        <f t="shared" ca="1" si="285"/>
        <v/>
      </c>
      <c r="AC613" s="310" t="e">
        <f t="shared" ca="1" si="286"/>
        <v>#N/A</v>
      </c>
      <c r="AD613" s="323" t="e">
        <f t="shared" ca="1" si="287"/>
        <v>#N/A</v>
      </c>
      <c r="AE613" s="324" t="e">
        <f t="shared" ca="1" si="266"/>
        <v>#N/A</v>
      </c>
      <c r="AG613" s="306">
        <f t="shared" ca="1" si="288"/>
        <v>2.124470022333897</v>
      </c>
      <c r="AH613" s="304">
        <f t="shared" ca="1" si="289"/>
        <v>-7.6408776996719414</v>
      </c>
    </row>
    <row r="614" spans="1:34" x14ac:dyDescent="0.2">
      <c r="A614" s="347">
        <f t="shared" ca="1" si="267"/>
        <v>1E-4</v>
      </c>
      <c r="B614" s="304">
        <f t="shared" ca="1" si="268"/>
        <v>36.706300000000461</v>
      </c>
      <c r="D614" s="306">
        <f t="shared" ca="1" si="269"/>
        <v>-0.72819807253243174</v>
      </c>
      <c r="E614" s="307">
        <f t="shared" ca="1" si="270"/>
        <v>-2.2038662148023107</v>
      </c>
      <c r="F614" s="304">
        <f t="shared" ca="1" si="271"/>
        <v>2.3210555197123171</v>
      </c>
      <c r="G614" s="306">
        <f t="shared" ca="1" si="272"/>
        <v>12.453082536368893</v>
      </c>
      <c r="H614" s="307">
        <f t="shared" ca="1" si="273"/>
        <v>-130.07522231229396</v>
      </c>
      <c r="I614" s="304">
        <f t="shared" ca="1" si="274"/>
        <v>130.66997636890545</v>
      </c>
      <c r="J614" s="306">
        <f t="shared" ca="1" si="275"/>
        <v>889.84792314375909</v>
      </c>
      <c r="K614" s="307">
        <f t="shared" ca="1" si="276"/>
        <v>-7.738913396314719</v>
      </c>
      <c r="L614" s="304">
        <f t="shared" ca="1" si="261"/>
        <v>889.88157476364074</v>
      </c>
      <c r="M614" s="306">
        <f t="shared" ca="1" si="277"/>
        <v>-1.4753496828358779</v>
      </c>
      <c r="N614" s="304">
        <f t="shared" ca="1" si="278"/>
        <v>-84.531310132460391</v>
      </c>
      <c r="P614" s="310">
        <f t="shared" ca="1" si="279"/>
        <v>23</v>
      </c>
      <c r="Q614" s="304">
        <f t="shared" ca="1" si="280"/>
        <v>0</v>
      </c>
      <c r="R614" s="306">
        <f t="shared" ca="1" si="281"/>
        <v>0</v>
      </c>
      <c r="S614" s="307">
        <f t="shared" ca="1" si="282"/>
        <v>7.150000000000003</v>
      </c>
      <c r="T614" s="304">
        <f t="shared" ca="1" si="262"/>
        <v>70.141500000000036</v>
      </c>
      <c r="U614" s="311">
        <f t="shared" ca="1" si="263"/>
        <v>0</v>
      </c>
      <c r="V614" s="306">
        <f t="shared" ca="1" si="264"/>
        <v>1.2259483838640781</v>
      </c>
      <c r="W614" s="304">
        <f t="shared" ca="1" si="265"/>
        <v>54.632772969481444</v>
      </c>
      <c r="Y614" s="314" t="str">
        <f t="shared" ca="1" si="283"/>
        <v/>
      </c>
      <c r="Z614" s="315" t="str">
        <f t="shared" ca="1" si="284"/>
        <v/>
      </c>
      <c r="AA614" s="316" t="str">
        <f t="shared" ca="1" si="285"/>
        <v/>
      </c>
      <c r="AC614" s="310" t="e">
        <f t="shared" ca="1" si="286"/>
        <v>#N/A</v>
      </c>
      <c r="AD614" s="323" t="e">
        <f t="shared" ca="1" si="287"/>
        <v>#N/A</v>
      </c>
      <c r="AE614" s="324" t="e">
        <f t="shared" ca="1" si="266"/>
        <v>#N/A</v>
      </c>
      <c r="AG614" s="306">
        <f t="shared" ca="1" si="288"/>
        <v>2.124435906731688</v>
      </c>
      <c r="AH614" s="304">
        <f t="shared" ca="1" si="289"/>
        <v>-7.6409124841975311</v>
      </c>
    </row>
    <row r="615" spans="1:34" x14ac:dyDescent="0.2">
      <c r="A615" s="347">
        <f t="shared" ca="1" si="267"/>
        <v>1E-4</v>
      </c>
      <c r="B615" s="304">
        <f t="shared" ca="1" si="268"/>
        <v>36.706400000000464</v>
      </c>
      <c r="D615" s="306">
        <f t="shared" ca="1" si="269"/>
        <v>-0.72819594549803923</v>
      </c>
      <c r="E615" s="307">
        <f t="shared" ca="1" si="270"/>
        <v>-2.203831067854833</v>
      </c>
      <c r="F615" s="304">
        <f t="shared" ca="1" si="271"/>
        <v>2.3210214800130471</v>
      </c>
      <c r="G615" s="306">
        <f t="shared" ca="1" si="272"/>
        <v>12.453009716774343</v>
      </c>
      <c r="H615" s="307">
        <f t="shared" ca="1" si="273"/>
        <v>-130.07544269540074</v>
      </c>
      <c r="I615" s="304">
        <f t="shared" ca="1" si="274"/>
        <v>130.67018880911806</v>
      </c>
      <c r="J615" s="306">
        <f t="shared" ca="1" si="275"/>
        <v>889.84792314375909</v>
      </c>
      <c r="K615" s="307">
        <f t="shared" ca="1" si="276"/>
        <v>-7.7519209295651041</v>
      </c>
      <c r="L615" s="304">
        <f t="shared" ca="1" si="261"/>
        <v>889.88168797956484</v>
      </c>
      <c r="M615" s="306">
        <f t="shared" ca="1" si="277"/>
        <v>-1.4753503983093612</v>
      </c>
      <c r="N615" s="304">
        <f t="shared" ca="1" si="278"/>
        <v>-84.531351126071343</v>
      </c>
      <c r="P615" s="310">
        <f t="shared" ca="1" si="279"/>
        <v>23</v>
      </c>
      <c r="Q615" s="304">
        <f t="shared" ca="1" si="280"/>
        <v>0</v>
      </c>
      <c r="R615" s="306">
        <f t="shared" ca="1" si="281"/>
        <v>0</v>
      </c>
      <c r="S615" s="307">
        <f t="shared" ca="1" si="282"/>
        <v>7.150000000000003</v>
      </c>
      <c r="T615" s="304">
        <f t="shared" ca="1" si="262"/>
        <v>70.141500000000036</v>
      </c>
      <c r="U615" s="311">
        <f t="shared" ca="1" si="263"/>
        <v>0</v>
      </c>
      <c r="V615" s="306">
        <f t="shared" ca="1" si="264"/>
        <v>1.2259499785217909</v>
      </c>
      <c r="W615" s="304">
        <f t="shared" ca="1" si="265"/>
        <v>54.633021675061634</v>
      </c>
      <c r="Y615" s="314" t="str">
        <f t="shared" ca="1" si="283"/>
        <v/>
      </c>
      <c r="Z615" s="315" t="str">
        <f t="shared" ca="1" si="284"/>
        <v/>
      </c>
      <c r="AA615" s="316" t="str">
        <f t="shared" ca="1" si="285"/>
        <v/>
      </c>
      <c r="AC615" s="310" t="e">
        <f t="shared" ca="1" si="286"/>
        <v>#N/A</v>
      </c>
      <c r="AD615" s="323" t="e">
        <f t="shared" ca="1" si="287"/>
        <v>#N/A</v>
      </c>
      <c r="AE615" s="324" t="e">
        <f t="shared" ca="1" si="266"/>
        <v>#N/A</v>
      </c>
      <c r="AG615" s="306">
        <f t="shared" ca="1" si="288"/>
        <v>2.1244017913825735</v>
      </c>
      <c r="AH615" s="304">
        <f t="shared" ca="1" si="289"/>
        <v>-7.6409472684589401</v>
      </c>
    </row>
    <row r="616" spans="1:34" x14ac:dyDescent="0.2">
      <c r="A616" s="347">
        <f t="shared" ca="1" si="267"/>
        <v>1E-4</v>
      </c>
      <c r="B616" s="304">
        <f t="shared" ca="1" si="268"/>
        <v>36.706500000000467</v>
      </c>
      <c r="D616" s="306">
        <f t="shared" ca="1" si="269"/>
        <v>-0.72819381843806807</v>
      </c>
      <c r="E616" s="307">
        <f t="shared" ca="1" si="270"/>
        <v>-2.2037959211742244</v>
      </c>
      <c r="F616" s="304">
        <f t="shared" ca="1" si="271"/>
        <v>2.3209874405941027</v>
      </c>
      <c r="G616" s="306">
        <f t="shared" ca="1" si="272"/>
        <v>12.452936897392499</v>
      </c>
      <c r="H616" s="307">
        <f t="shared" ca="1" si="273"/>
        <v>-130.07566307499286</v>
      </c>
      <c r="I616" s="304">
        <f t="shared" ca="1" si="274"/>
        <v>130.67040124591912</v>
      </c>
      <c r="J616" s="306">
        <f t="shared" ca="1" si="275"/>
        <v>889.84792314375909</v>
      </c>
      <c r="K616" s="307">
        <f t="shared" ca="1" si="276"/>
        <v>-7.7649284848536242</v>
      </c>
      <c r="L616" s="304">
        <f t="shared" ca="1" si="261"/>
        <v>889.88180138579992</v>
      </c>
      <c r="M616" s="306">
        <f t="shared" ca="1" si="277"/>
        <v>-1.4753511137763344</v>
      </c>
      <c r="N616" s="304">
        <f t="shared" ca="1" si="278"/>
        <v>-84.531392119309288</v>
      </c>
      <c r="P616" s="310">
        <f t="shared" ca="1" si="279"/>
        <v>23</v>
      </c>
      <c r="Q616" s="304">
        <f t="shared" ca="1" si="280"/>
        <v>0</v>
      </c>
      <c r="R616" s="306">
        <f t="shared" ca="1" si="281"/>
        <v>0</v>
      </c>
      <c r="S616" s="307">
        <f t="shared" ca="1" si="282"/>
        <v>7.150000000000003</v>
      </c>
      <c r="T616" s="304">
        <f t="shared" ca="1" si="262"/>
        <v>70.141500000000036</v>
      </c>
      <c r="U616" s="311">
        <f t="shared" ca="1" si="263"/>
        <v>0</v>
      </c>
      <c r="V616" s="306">
        <f t="shared" ca="1" si="264"/>
        <v>1.2259515731842807</v>
      </c>
      <c r="W616" s="304">
        <f t="shared" ca="1" si="265"/>
        <v>54.633270378752925</v>
      </c>
      <c r="Y616" s="314" t="str">
        <f t="shared" ca="1" si="283"/>
        <v/>
      </c>
      <c r="Z616" s="315" t="str">
        <f t="shared" ca="1" si="284"/>
        <v/>
      </c>
      <c r="AA616" s="316" t="str">
        <f t="shared" ca="1" si="285"/>
        <v/>
      </c>
      <c r="AC616" s="310" t="e">
        <f t="shared" ca="1" si="286"/>
        <v>#N/A</v>
      </c>
      <c r="AD616" s="323" t="e">
        <f t="shared" ca="1" si="287"/>
        <v>#N/A</v>
      </c>
      <c r="AE616" s="324" t="e">
        <f t="shared" ca="1" si="266"/>
        <v>#N/A</v>
      </c>
      <c r="AG616" s="306">
        <f t="shared" ca="1" si="288"/>
        <v>2.1243676762865542</v>
      </c>
      <c r="AH616" s="304">
        <f t="shared" ca="1" si="289"/>
        <v>-7.6409820524561693</v>
      </c>
    </row>
    <row r="617" spans="1:34" x14ac:dyDescent="0.2">
      <c r="A617" s="347">
        <f t="shared" ca="1" si="267"/>
        <v>1E-4</v>
      </c>
      <c r="B617" s="304">
        <f t="shared" ca="1" si="268"/>
        <v>36.706600000000471</v>
      </c>
      <c r="D617" s="306">
        <f t="shared" ca="1" si="269"/>
        <v>-0.7281916913525176</v>
      </c>
      <c r="E617" s="307">
        <f t="shared" ca="1" si="270"/>
        <v>-2.203760774760485</v>
      </c>
      <c r="F617" s="304">
        <f t="shared" ca="1" si="271"/>
        <v>2.3209534014554825</v>
      </c>
      <c r="G617" s="306">
        <f t="shared" ca="1" si="272"/>
        <v>12.452864078223364</v>
      </c>
      <c r="H617" s="307">
        <f t="shared" ca="1" si="273"/>
        <v>-130.07588345107033</v>
      </c>
      <c r="I617" s="304">
        <f t="shared" ca="1" si="274"/>
        <v>130.6706136793087</v>
      </c>
      <c r="J617" s="306">
        <f t="shared" ca="1" si="275"/>
        <v>889.84792314375909</v>
      </c>
      <c r="K617" s="307">
        <f t="shared" ca="1" si="276"/>
        <v>-7.7779360621799274</v>
      </c>
      <c r="L617" s="304">
        <f t="shared" ca="1" si="261"/>
        <v>889.88191498234676</v>
      </c>
      <c r="M617" s="306">
        <f t="shared" ca="1" si="277"/>
        <v>-1.4753518292367975</v>
      </c>
      <c r="N617" s="304">
        <f t="shared" ca="1" si="278"/>
        <v>-84.531433112174227</v>
      </c>
      <c r="P617" s="310">
        <f t="shared" ca="1" si="279"/>
        <v>23</v>
      </c>
      <c r="Q617" s="304">
        <f t="shared" ca="1" si="280"/>
        <v>0</v>
      </c>
      <c r="R617" s="306">
        <f t="shared" ca="1" si="281"/>
        <v>0</v>
      </c>
      <c r="S617" s="307">
        <f t="shared" ca="1" si="282"/>
        <v>7.150000000000003</v>
      </c>
      <c r="T617" s="304">
        <f t="shared" ca="1" si="262"/>
        <v>70.141500000000036</v>
      </c>
      <c r="U617" s="311">
        <f t="shared" ca="1" si="263"/>
        <v>0</v>
      </c>
      <c r="V617" s="306">
        <f t="shared" ca="1" si="264"/>
        <v>1.2259531678515474</v>
      </c>
      <c r="W617" s="304">
        <f t="shared" ca="1" si="265"/>
        <v>54.633519080555331</v>
      </c>
      <c r="Y617" s="314" t="str">
        <f t="shared" ca="1" si="283"/>
        <v/>
      </c>
      <c r="Z617" s="315" t="str">
        <f t="shared" ca="1" si="284"/>
        <v/>
      </c>
      <c r="AA617" s="316" t="str">
        <f t="shared" ca="1" si="285"/>
        <v/>
      </c>
      <c r="AC617" s="310" t="e">
        <f t="shared" ca="1" si="286"/>
        <v>#N/A</v>
      </c>
      <c r="AD617" s="323" t="e">
        <f t="shared" ca="1" si="287"/>
        <v>#N/A</v>
      </c>
      <c r="AE617" s="324" t="e">
        <f t="shared" ca="1" si="266"/>
        <v>#N/A</v>
      </c>
      <c r="AG617" s="306">
        <f t="shared" ca="1" si="288"/>
        <v>2.1243335614436303</v>
      </c>
      <c r="AH617" s="304">
        <f t="shared" ca="1" si="289"/>
        <v>-7.641016836189217</v>
      </c>
    </row>
    <row r="618" spans="1:34" x14ac:dyDescent="0.2">
      <c r="A618" s="347">
        <f t="shared" ca="1" si="267"/>
        <v>1E-4</v>
      </c>
      <c r="B618" s="304">
        <f t="shared" ca="1" si="268"/>
        <v>36.706700000000474</v>
      </c>
      <c r="D618" s="306">
        <f t="shared" ca="1" si="269"/>
        <v>-0.72818956424138925</v>
      </c>
      <c r="E618" s="307">
        <f t="shared" ca="1" si="270"/>
        <v>-2.2037256286136131</v>
      </c>
      <c r="F618" s="304">
        <f t="shared" ca="1" si="271"/>
        <v>2.320919362597186</v>
      </c>
      <c r="G618" s="306">
        <f t="shared" ca="1" si="272"/>
        <v>12.45279125926694</v>
      </c>
      <c r="H618" s="307">
        <f t="shared" ca="1" si="273"/>
        <v>-130.07610382363319</v>
      </c>
      <c r="I618" s="304">
        <f t="shared" ca="1" si="274"/>
        <v>130.67082610928685</v>
      </c>
      <c r="J618" s="306">
        <f t="shared" ca="1" si="275"/>
        <v>889.84792314375909</v>
      </c>
      <c r="K618" s="307">
        <f t="shared" ca="1" si="276"/>
        <v>-7.7909436615436629</v>
      </c>
      <c r="L618" s="304">
        <f t="shared" ca="1" si="261"/>
        <v>889.88202876920639</v>
      </c>
      <c r="M618" s="306">
        <f t="shared" ca="1" si="277"/>
        <v>-1.4753525446907509</v>
      </c>
      <c r="N618" s="304">
        <f t="shared" ca="1" si="278"/>
        <v>-84.531474104666202</v>
      </c>
      <c r="P618" s="310">
        <f t="shared" ca="1" si="279"/>
        <v>23</v>
      </c>
      <c r="Q618" s="304">
        <f t="shared" ca="1" si="280"/>
        <v>0</v>
      </c>
      <c r="R618" s="306">
        <f t="shared" ca="1" si="281"/>
        <v>0</v>
      </c>
      <c r="S618" s="307">
        <f t="shared" ca="1" si="282"/>
        <v>7.150000000000003</v>
      </c>
      <c r="T618" s="304">
        <f t="shared" ca="1" si="262"/>
        <v>70.141500000000036</v>
      </c>
      <c r="U618" s="311">
        <f t="shared" ca="1" si="263"/>
        <v>0</v>
      </c>
      <c r="V618" s="306">
        <f t="shared" ca="1" si="264"/>
        <v>1.2259547625235907</v>
      </c>
      <c r="W618" s="304">
        <f t="shared" ca="1" si="265"/>
        <v>54.633767780468865</v>
      </c>
      <c r="Y618" s="314" t="str">
        <f t="shared" ca="1" si="283"/>
        <v/>
      </c>
      <c r="Z618" s="315" t="str">
        <f t="shared" ca="1" si="284"/>
        <v/>
      </c>
      <c r="AA618" s="316" t="str">
        <f t="shared" ca="1" si="285"/>
        <v/>
      </c>
      <c r="AC618" s="310" t="e">
        <f t="shared" ca="1" si="286"/>
        <v>#N/A</v>
      </c>
      <c r="AD618" s="323" t="e">
        <f t="shared" ca="1" si="287"/>
        <v>#N/A</v>
      </c>
      <c r="AE618" s="324" t="e">
        <f t="shared" ca="1" si="266"/>
        <v>#N/A</v>
      </c>
      <c r="AG618" s="306">
        <f t="shared" ca="1" si="288"/>
        <v>2.1242994468538017</v>
      </c>
      <c r="AH618" s="304">
        <f t="shared" ca="1" si="289"/>
        <v>-7.6410516196580849</v>
      </c>
    </row>
    <row r="619" spans="1:34" x14ac:dyDescent="0.2">
      <c r="A619" s="347">
        <f t="shared" ca="1" si="267"/>
        <v>1E-4</v>
      </c>
      <c r="B619" s="304">
        <f t="shared" ca="1" si="268"/>
        <v>36.706800000000477</v>
      </c>
      <c r="D619" s="306">
        <f t="shared" ca="1" si="269"/>
        <v>-0.72818743710468115</v>
      </c>
      <c r="E619" s="307">
        <f t="shared" ca="1" si="270"/>
        <v>-2.2036904827336077</v>
      </c>
      <c r="F619" s="304">
        <f t="shared" ca="1" si="271"/>
        <v>2.3208853240192124</v>
      </c>
      <c r="G619" s="306">
        <f t="shared" ca="1" si="272"/>
        <v>12.452718440523229</v>
      </c>
      <c r="H619" s="307">
        <f t="shared" ca="1" si="273"/>
        <v>-130.07632419268145</v>
      </c>
      <c r="I619" s="304">
        <f t="shared" ca="1" si="274"/>
        <v>130.67103853585351</v>
      </c>
      <c r="J619" s="306">
        <f t="shared" ca="1" si="275"/>
        <v>889.84792314375909</v>
      </c>
      <c r="K619" s="307">
        <f t="shared" ca="1" si="276"/>
        <v>-7.803951282944479</v>
      </c>
      <c r="L619" s="304">
        <f t="shared" ca="1" si="261"/>
        <v>889.8821427463796</v>
      </c>
      <c r="M619" s="306">
        <f t="shared" ca="1" si="277"/>
        <v>-1.4753532601381945</v>
      </c>
      <c r="N619" s="304">
        <f t="shared" ca="1" si="278"/>
        <v>-84.531515096785171</v>
      </c>
      <c r="P619" s="310">
        <f t="shared" ca="1" si="279"/>
        <v>23</v>
      </c>
      <c r="Q619" s="304">
        <f t="shared" ca="1" si="280"/>
        <v>0</v>
      </c>
      <c r="R619" s="306">
        <f t="shared" ca="1" si="281"/>
        <v>0</v>
      </c>
      <c r="S619" s="307">
        <f t="shared" ca="1" si="282"/>
        <v>7.150000000000003</v>
      </c>
      <c r="T619" s="304">
        <f t="shared" ca="1" si="262"/>
        <v>70.141500000000036</v>
      </c>
      <c r="U619" s="311">
        <f t="shared" ca="1" si="263"/>
        <v>0</v>
      </c>
      <c r="V619" s="306">
        <f t="shared" ca="1" si="264"/>
        <v>1.2259563572004111</v>
      </c>
      <c r="W619" s="304">
        <f t="shared" ca="1" si="265"/>
        <v>54.634016478493464</v>
      </c>
      <c r="Y619" s="314" t="str">
        <f t="shared" ca="1" si="283"/>
        <v/>
      </c>
      <c r="Z619" s="315" t="str">
        <f t="shared" ca="1" si="284"/>
        <v/>
      </c>
      <c r="AA619" s="316" t="str">
        <f t="shared" ca="1" si="285"/>
        <v/>
      </c>
      <c r="AC619" s="310" t="e">
        <f t="shared" ca="1" si="286"/>
        <v>#N/A</v>
      </c>
      <c r="AD619" s="323" t="e">
        <f t="shared" ca="1" si="287"/>
        <v>#N/A</v>
      </c>
      <c r="AE619" s="324" t="e">
        <f t="shared" ca="1" si="266"/>
        <v>#N/A</v>
      </c>
      <c r="AG619" s="306">
        <f t="shared" ca="1" si="288"/>
        <v>2.1242653325170684</v>
      </c>
      <c r="AH619" s="304">
        <f t="shared" ca="1" si="289"/>
        <v>-7.6410864028627747</v>
      </c>
    </row>
    <row r="620" spans="1:34" x14ac:dyDescent="0.2">
      <c r="A620" s="347">
        <f t="shared" ca="1" si="267"/>
        <v>1E-4</v>
      </c>
      <c r="B620" s="304">
        <f t="shared" ca="1" si="268"/>
        <v>36.706900000000481</v>
      </c>
      <c r="D620" s="306">
        <f t="shared" ca="1" si="269"/>
        <v>-0.72818530994239528</v>
      </c>
      <c r="E620" s="307">
        <f t="shared" ca="1" si="270"/>
        <v>-2.2036553371204777</v>
      </c>
      <c r="F620" s="304">
        <f t="shared" ca="1" si="271"/>
        <v>2.3208512857215711</v>
      </c>
      <c r="G620" s="306">
        <f t="shared" ca="1" si="272"/>
        <v>12.452645621992236</v>
      </c>
      <c r="H620" s="307">
        <f t="shared" ca="1" si="273"/>
        <v>-130.07654455821518</v>
      </c>
      <c r="I620" s="304">
        <f t="shared" ca="1" si="274"/>
        <v>130.6712509590088</v>
      </c>
      <c r="J620" s="306">
        <f t="shared" ca="1" si="275"/>
        <v>889.84792314375909</v>
      </c>
      <c r="K620" s="307">
        <f t="shared" ca="1" si="276"/>
        <v>-7.8169589263820241</v>
      </c>
      <c r="L620" s="304">
        <f t="shared" ca="1" si="261"/>
        <v>889.88225691386731</v>
      </c>
      <c r="M620" s="306">
        <f t="shared" ca="1" si="277"/>
        <v>-1.4753539755791281</v>
      </c>
      <c r="N620" s="304">
        <f t="shared" ca="1" si="278"/>
        <v>-84.531556088531161</v>
      </c>
      <c r="P620" s="310">
        <f t="shared" ca="1" si="279"/>
        <v>23</v>
      </c>
      <c r="Q620" s="304">
        <f t="shared" ca="1" si="280"/>
        <v>0</v>
      </c>
      <c r="R620" s="306">
        <f t="shared" ca="1" si="281"/>
        <v>0</v>
      </c>
      <c r="S620" s="307">
        <f t="shared" ca="1" si="282"/>
        <v>7.150000000000003</v>
      </c>
      <c r="T620" s="304">
        <f t="shared" ca="1" si="262"/>
        <v>70.141500000000036</v>
      </c>
      <c r="U620" s="311">
        <f t="shared" ca="1" si="263"/>
        <v>0</v>
      </c>
      <c r="V620" s="306">
        <f t="shared" ca="1" si="264"/>
        <v>1.2259579518820074</v>
      </c>
      <c r="W620" s="304">
        <f t="shared" ca="1" si="265"/>
        <v>54.634265174629178</v>
      </c>
      <c r="Y620" s="314" t="str">
        <f t="shared" ca="1" si="283"/>
        <v/>
      </c>
      <c r="Z620" s="315" t="str">
        <f t="shared" ca="1" si="284"/>
        <v/>
      </c>
      <c r="AA620" s="316" t="str">
        <f t="shared" ca="1" si="285"/>
        <v/>
      </c>
      <c r="AC620" s="310" t="e">
        <f t="shared" ca="1" si="286"/>
        <v>#N/A</v>
      </c>
      <c r="AD620" s="323" t="e">
        <f t="shared" ca="1" si="287"/>
        <v>#N/A</v>
      </c>
      <c r="AE620" s="324" t="e">
        <f t="shared" ca="1" si="266"/>
        <v>#N/A</v>
      </c>
      <c r="AG620" s="306">
        <f t="shared" ca="1" si="288"/>
        <v>2.1242312184334349</v>
      </c>
      <c r="AH620" s="304">
        <f t="shared" ca="1" si="289"/>
        <v>-7.6411211858032786</v>
      </c>
    </row>
    <row r="621" spans="1:34" x14ac:dyDescent="0.2">
      <c r="A621" s="347">
        <f t="shared" ca="1" si="267"/>
        <v>1E-4</v>
      </c>
      <c r="B621" s="304">
        <f t="shared" ca="1" si="268"/>
        <v>36.707000000000484</v>
      </c>
      <c r="D621" s="306">
        <f t="shared" ca="1" si="269"/>
        <v>-0.72818318275453353</v>
      </c>
      <c r="E621" s="307">
        <f t="shared" ca="1" si="270"/>
        <v>-2.203620191774216</v>
      </c>
      <c r="F621" s="304">
        <f t="shared" ca="1" si="271"/>
        <v>2.3208172477042552</v>
      </c>
      <c r="G621" s="306">
        <f t="shared" ca="1" si="272"/>
        <v>12.452572803673961</v>
      </c>
      <c r="H621" s="307">
        <f t="shared" ca="1" si="273"/>
        <v>-130.07676492023435</v>
      </c>
      <c r="I621" s="304">
        <f t="shared" ca="1" si="274"/>
        <v>130.67146337875272</v>
      </c>
      <c r="J621" s="306">
        <f t="shared" ca="1" si="275"/>
        <v>889.84792314375909</v>
      </c>
      <c r="K621" s="307">
        <f t="shared" ca="1" si="276"/>
        <v>-7.8299665918559462</v>
      </c>
      <c r="L621" s="304">
        <f t="shared" ca="1" si="261"/>
        <v>889.88237127167031</v>
      </c>
      <c r="M621" s="306">
        <f t="shared" ca="1" si="277"/>
        <v>-1.4753546910135522</v>
      </c>
      <c r="N621" s="304">
        <f t="shared" ca="1" si="278"/>
        <v>-84.531597079904188</v>
      </c>
      <c r="P621" s="310">
        <f t="shared" ca="1" si="279"/>
        <v>23</v>
      </c>
      <c r="Q621" s="304">
        <f t="shared" ca="1" si="280"/>
        <v>0</v>
      </c>
      <c r="R621" s="306">
        <f t="shared" ca="1" si="281"/>
        <v>0</v>
      </c>
      <c r="S621" s="307">
        <f t="shared" ca="1" si="282"/>
        <v>7.150000000000003</v>
      </c>
      <c r="T621" s="304">
        <f t="shared" ca="1" si="262"/>
        <v>70.141500000000036</v>
      </c>
      <c r="U621" s="311">
        <f t="shared" ca="1" si="263"/>
        <v>0</v>
      </c>
      <c r="V621" s="306">
        <f t="shared" ca="1" si="264"/>
        <v>1.2259595465683812</v>
      </c>
      <c r="W621" s="304">
        <f t="shared" ca="1" si="265"/>
        <v>54.634513868876034</v>
      </c>
      <c r="Y621" s="314" t="str">
        <f t="shared" ca="1" si="283"/>
        <v/>
      </c>
      <c r="Z621" s="315" t="str">
        <f t="shared" ca="1" si="284"/>
        <v/>
      </c>
      <c r="AA621" s="316" t="str">
        <f t="shared" ca="1" si="285"/>
        <v/>
      </c>
      <c r="AC621" s="310" t="e">
        <f t="shared" ca="1" si="286"/>
        <v>#N/A</v>
      </c>
      <c r="AD621" s="323" t="e">
        <f t="shared" ca="1" si="287"/>
        <v>#N/A</v>
      </c>
      <c r="AE621" s="324" t="e">
        <f t="shared" ca="1" si="266"/>
        <v>#N/A</v>
      </c>
      <c r="AG621" s="306">
        <f t="shared" ca="1" si="288"/>
        <v>2.1241971046028958</v>
      </c>
      <c r="AH621" s="304">
        <f t="shared" ca="1" si="289"/>
        <v>-7.6411559684796018</v>
      </c>
    </row>
    <row r="622" spans="1:34" x14ac:dyDescent="0.2">
      <c r="A622" s="347">
        <f t="shared" ca="1" si="267"/>
        <v>1E-4</v>
      </c>
      <c r="B622" s="304">
        <f t="shared" ca="1" si="268"/>
        <v>36.707100000000487</v>
      </c>
      <c r="D622" s="306">
        <f t="shared" ca="1" si="269"/>
        <v>-0.72818105554109414</v>
      </c>
      <c r="E622" s="307">
        <f t="shared" ca="1" si="270"/>
        <v>-2.2035850466948181</v>
      </c>
      <c r="F622" s="304">
        <f t="shared" ca="1" si="271"/>
        <v>2.3207832099672614</v>
      </c>
      <c r="G622" s="306">
        <f t="shared" ca="1" si="272"/>
        <v>12.452499985568407</v>
      </c>
      <c r="H622" s="307">
        <f t="shared" ca="1" si="273"/>
        <v>-130.07698527873902</v>
      </c>
      <c r="I622" s="304">
        <f t="shared" ca="1" si="274"/>
        <v>130.67167579508524</v>
      </c>
      <c r="J622" s="306">
        <f t="shared" ca="1" si="275"/>
        <v>889.84792314375909</v>
      </c>
      <c r="K622" s="307">
        <f t="shared" ca="1" si="276"/>
        <v>-7.8429742793658948</v>
      </c>
      <c r="L622" s="304">
        <f t="shared" ca="1" si="261"/>
        <v>889.88248581978962</v>
      </c>
      <c r="M622" s="306">
        <f t="shared" ca="1" si="277"/>
        <v>-1.4753554064414667</v>
      </c>
      <c r="N622" s="304">
        <f t="shared" ca="1" si="278"/>
        <v>-84.531638070904236</v>
      </c>
      <c r="P622" s="310">
        <f t="shared" ca="1" si="279"/>
        <v>23</v>
      </c>
      <c r="Q622" s="304">
        <f t="shared" ca="1" si="280"/>
        <v>0</v>
      </c>
      <c r="R622" s="306">
        <f t="shared" ca="1" si="281"/>
        <v>0</v>
      </c>
      <c r="S622" s="307">
        <f t="shared" ca="1" si="282"/>
        <v>7.150000000000003</v>
      </c>
      <c r="T622" s="304">
        <f t="shared" ca="1" si="262"/>
        <v>70.141500000000036</v>
      </c>
      <c r="U622" s="311">
        <f t="shared" ca="1" si="263"/>
        <v>0</v>
      </c>
      <c r="V622" s="306">
        <f t="shared" ca="1" si="264"/>
        <v>1.2259611412595313</v>
      </c>
      <c r="W622" s="304">
        <f t="shared" ca="1" si="265"/>
        <v>54.634762561233948</v>
      </c>
      <c r="Y622" s="314" t="str">
        <f t="shared" ca="1" si="283"/>
        <v/>
      </c>
      <c r="Z622" s="315" t="str">
        <f t="shared" ca="1" si="284"/>
        <v/>
      </c>
      <c r="AA622" s="316" t="str">
        <f t="shared" ca="1" si="285"/>
        <v/>
      </c>
      <c r="AC622" s="310" t="e">
        <f t="shared" ca="1" si="286"/>
        <v>#N/A</v>
      </c>
      <c r="AD622" s="323" t="e">
        <f t="shared" ca="1" si="287"/>
        <v>#N/A</v>
      </c>
      <c r="AE622" s="324" t="e">
        <f t="shared" ca="1" si="266"/>
        <v>#N/A</v>
      </c>
      <c r="AG622" s="306">
        <f t="shared" ca="1" si="288"/>
        <v>2.1241629910254494</v>
      </c>
      <c r="AH622" s="304">
        <f t="shared" ca="1" si="289"/>
        <v>-7.6411907508917496</v>
      </c>
    </row>
    <row r="623" spans="1:34" x14ac:dyDescent="0.2">
      <c r="A623" s="347">
        <f t="shared" ca="1" si="267"/>
        <v>1E-4</v>
      </c>
      <c r="B623" s="304">
        <f t="shared" ca="1" si="268"/>
        <v>36.707200000000491</v>
      </c>
      <c r="D623" s="306">
        <f t="shared" ca="1" si="269"/>
        <v>-0.7281789283020792</v>
      </c>
      <c r="E623" s="307">
        <f t="shared" ca="1" si="270"/>
        <v>-2.2035499018822957</v>
      </c>
      <c r="F623" s="304">
        <f t="shared" ca="1" si="271"/>
        <v>2.3207491725106011</v>
      </c>
      <c r="G623" s="306">
        <f t="shared" ca="1" si="272"/>
        <v>12.452427167675577</v>
      </c>
      <c r="H623" s="307">
        <f t="shared" ca="1" si="273"/>
        <v>-130.07720563372919</v>
      </c>
      <c r="I623" s="304">
        <f t="shared" ca="1" si="274"/>
        <v>130.67188820800646</v>
      </c>
      <c r="J623" s="306">
        <f t="shared" ca="1" si="275"/>
        <v>889.84792314375909</v>
      </c>
      <c r="K623" s="307">
        <f t="shared" ca="1" si="276"/>
        <v>-7.8559819889115179</v>
      </c>
      <c r="L623" s="304">
        <f t="shared" ca="1" si="261"/>
        <v>889.88260055822616</v>
      </c>
      <c r="M623" s="306">
        <f t="shared" ca="1" si="277"/>
        <v>-1.4753561218628717</v>
      </c>
      <c r="N623" s="304">
        <f t="shared" ca="1" si="278"/>
        <v>-84.531679061531307</v>
      </c>
      <c r="P623" s="310">
        <f t="shared" ca="1" si="279"/>
        <v>23</v>
      </c>
      <c r="Q623" s="304">
        <f t="shared" ca="1" si="280"/>
        <v>0</v>
      </c>
      <c r="R623" s="306">
        <f t="shared" ca="1" si="281"/>
        <v>0</v>
      </c>
      <c r="S623" s="307">
        <f t="shared" ca="1" si="282"/>
        <v>7.150000000000003</v>
      </c>
      <c r="T623" s="304">
        <f t="shared" ca="1" si="262"/>
        <v>70.141500000000036</v>
      </c>
      <c r="U623" s="311">
        <f t="shared" ca="1" si="263"/>
        <v>0</v>
      </c>
      <c r="V623" s="306">
        <f t="shared" ca="1" si="264"/>
        <v>1.2259627359554581</v>
      </c>
      <c r="W623" s="304">
        <f t="shared" ca="1" si="265"/>
        <v>54.635011251702991</v>
      </c>
      <c r="Y623" s="314" t="str">
        <f t="shared" ca="1" si="283"/>
        <v/>
      </c>
      <c r="Z623" s="315" t="str">
        <f t="shared" ca="1" si="284"/>
        <v/>
      </c>
      <c r="AA623" s="316" t="str">
        <f t="shared" ca="1" si="285"/>
        <v/>
      </c>
      <c r="AC623" s="310" t="e">
        <f t="shared" ca="1" si="286"/>
        <v>#N/A</v>
      </c>
      <c r="AD623" s="323" t="e">
        <f t="shared" ca="1" si="287"/>
        <v>#N/A</v>
      </c>
      <c r="AE623" s="324" t="e">
        <f t="shared" ca="1" si="266"/>
        <v>#N/A</v>
      </c>
      <c r="AG623" s="306">
        <f t="shared" ca="1" si="288"/>
        <v>2.124128877701108</v>
      </c>
      <c r="AH623" s="304">
        <f t="shared" ca="1" si="289"/>
        <v>-7.6412255330397096</v>
      </c>
    </row>
    <row r="624" spans="1:34" x14ac:dyDescent="0.2">
      <c r="A624" s="347">
        <f t="shared" ca="1" si="267"/>
        <v>1E-4</v>
      </c>
      <c r="B624" s="304">
        <f t="shared" ca="1" si="268"/>
        <v>36.707300000000494</v>
      </c>
      <c r="D624" s="306">
        <f t="shared" ca="1" si="269"/>
        <v>-0.72817680103748883</v>
      </c>
      <c r="E624" s="307">
        <f t="shared" ca="1" si="270"/>
        <v>-2.2035147573366407</v>
      </c>
      <c r="F624" s="304">
        <f t="shared" ca="1" si="271"/>
        <v>2.3207151353342668</v>
      </c>
      <c r="G624" s="306">
        <f t="shared" ca="1" si="272"/>
        <v>12.452354349995472</v>
      </c>
      <c r="H624" s="307">
        <f t="shared" ca="1" si="273"/>
        <v>-130.07742598520494</v>
      </c>
      <c r="I624" s="304">
        <f t="shared" ca="1" si="274"/>
        <v>130.67210061751635</v>
      </c>
      <c r="J624" s="306">
        <f t="shared" ca="1" si="275"/>
        <v>889.84792314375909</v>
      </c>
      <c r="K624" s="307">
        <f t="shared" ca="1" si="276"/>
        <v>-7.8689897204924648</v>
      </c>
      <c r="L624" s="304">
        <f t="shared" ca="1" si="261"/>
        <v>889.88271548698071</v>
      </c>
      <c r="M624" s="306">
        <f t="shared" ca="1" si="277"/>
        <v>-1.4753568372777672</v>
      </c>
      <c r="N624" s="304">
        <f t="shared" ca="1" si="278"/>
        <v>-84.531720051785427</v>
      </c>
      <c r="P624" s="310">
        <f t="shared" ca="1" si="279"/>
        <v>23</v>
      </c>
      <c r="Q624" s="304">
        <f t="shared" ca="1" si="280"/>
        <v>0</v>
      </c>
      <c r="R624" s="306">
        <f t="shared" ca="1" si="281"/>
        <v>0</v>
      </c>
      <c r="S624" s="307">
        <f t="shared" ca="1" si="282"/>
        <v>7.150000000000003</v>
      </c>
      <c r="T624" s="304">
        <f t="shared" ca="1" si="262"/>
        <v>70.141500000000036</v>
      </c>
      <c r="U624" s="311">
        <f t="shared" ca="1" si="263"/>
        <v>0</v>
      </c>
      <c r="V624" s="306">
        <f t="shared" ca="1" si="264"/>
        <v>1.2259643306561614</v>
      </c>
      <c r="W624" s="304">
        <f t="shared" ca="1" si="265"/>
        <v>54.635259940283099</v>
      </c>
      <c r="Y624" s="314" t="str">
        <f t="shared" ca="1" si="283"/>
        <v/>
      </c>
      <c r="Z624" s="315" t="str">
        <f t="shared" ca="1" si="284"/>
        <v/>
      </c>
      <c r="AA624" s="316" t="str">
        <f t="shared" ca="1" si="285"/>
        <v/>
      </c>
      <c r="AC624" s="310" t="e">
        <f t="shared" ca="1" si="286"/>
        <v>#N/A</v>
      </c>
      <c r="AD624" s="323" t="e">
        <f t="shared" ca="1" si="287"/>
        <v>#N/A</v>
      </c>
      <c r="AE624" s="324" t="e">
        <f t="shared" ca="1" si="266"/>
        <v>#N/A</v>
      </c>
      <c r="AG624" s="306">
        <f t="shared" ca="1" si="288"/>
        <v>2.1240947646298602</v>
      </c>
      <c r="AH624" s="304">
        <f t="shared" ca="1" si="289"/>
        <v>-7.6412603149234917</v>
      </c>
    </row>
    <row r="625" spans="1:34" x14ac:dyDescent="0.2">
      <c r="A625" s="347">
        <f t="shared" ca="1" si="267"/>
        <v>1E-4</v>
      </c>
      <c r="B625" s="304">
        <f t="shared" ca="1" si="268"/>
        <v>36.707400000000497</v>
      </c>
      <c r="D625" s="306">
        <f t="shared" ca="1" si="269"/>
        <v>-0.7281746737473237</v>
      </c>
      <c r="E625" s="307">
        <f t="shared" ca="1" si="270"/>
        <v>-2.2034796130578602</v>
      </c>
      <c r="F625" s="304">
        <f t="shared" ca="1" si="271"/>
        <v>2.3206810984382664</v>
      </c>
      <c r="G625" s="306">
        <f t="shared" ca="1" si="272"/>
        <v>12.452281532528097</v>
      </c>
      <c r="H625" s="307">
        <f t="shared" ca="1" si="273"/>
        <v>-130.07764633316626</v>
      </c>
      <c r="I625" s="304">
        <f t="shared" ca="1" si="274"/>
        <v>130.672313023615</v>
      </c>
      <c r="J625" s="306">
        <f t="shared" ca="1" si="275"/>
        <v>889.84792314375909</v>
      </c>
      <c r="K625" s="307">
        <f t="shared" ca="1" si="276"/>
        <v>-7.8819974741083838</v>
      </c>
      <c r="L625" s="304">
        <f t="shared" ca="1" si="261"/>
        <v>889.88283060605409</v>
      </c>
      <c r="M625" s="306">
        <f t="shared" ca="1" si="277"/>
        <v>-1.4753575526861535</v>
      </c>
      <c r="N625" s="304">
        <f t="shared" ca="1" si="278"/>
        <v>-84.531761041666584</v>
      </c>
      <c r="P625" s="310">
        <f t="shared" ca="1" si="279"/>
        <v>23</v>
      </c>
      <c r="Q625" s="304">
        <f t="shared" ca="1" si="280"/>
        <v>0</v>
      </c>
      <c r="R625" s="306">
        <f t="shared" ca="1" si="281"/>
        <v>0</v>
      </c>
      <c r="S625" s="307">
        <f t="shared" ca="1" si="282"/>
        <v>7.150000000000003</v>
      </c>
      <c r="T625" s="304">
        <f t="shared" ca="1" si="262"/>
        <v>70.141500000000036</v>
      </c>
      <c r="U625" s="311">
        <f t="shared" ca="1" si="263"/>
        <v>0</v>
      </c>
      <c r="V625" s="306">
        <f t="shared" ca="1" si="264"/>
        <v>1.2259659253616415</v>
      </c>
      <c r="W625" s="304">
        <f t="shared" ca="1" si="265"/>
        <v>54.635508626974364</v>
      </c>
      <c r="Y625" s="314" t="str">
        <f t="shared" ca="1" si="283"/>
        <v/>
      </c>
      <c r="Z625" s="315" t="str">
        <f t="shared" ca="1" si="284"/>
        <v/>
      </c>
      <c r="AA625" s="316" t="str">
        <f t="shared" ca="1" si="285"/>
        <v/>
      </c>
      <c r="AC625" s="310" t="e">
        <f t="shared" ca="1" si="286"/>
        <v>#N/A</v>
      </c>
      <c r="AD625" s="323" t="e">
        <f t="shared" ca="1" si="287"/>
        <v>#N/A</v>
      </c>
      <c r="AE625" s="324" t="e">
        <f t="shared" ca="1" si="266"/>
        <v>#N/A</v>
      </c>
      <c r="AG625" s="306">
        <f t="shared" ca="1" si="288"/>
        <v>2.1240606518117158</v>
      </c>
      <c r="AH625" s="304">
        <f t="shared" ca="1" si="289"/>
        <v>-7.6412950965430877</v>
      </c>
    </row>
    <row r="626" spans="1:34" x14ac:dyDescent="0.2">
      <c r="A626" s="347">
        <f t="shared" ca="1" si="267"/>
        <v>1E-4</v>
      </c>
      <c r="B626" s="304">
        <f t="shared" ca="1" si="268"/>
        <v>36.707500000000501</v>
      </c>
      <c r="D626" s="306">
        <f t="shared" ca="1" si="269"/>
        <v>-0.72817254643158436</v>
      </c>
      <c r="E626" s="307">
        <f t="shared" ca="1" si="270"/>
        <v>-2.2034444690459409</v>
      </c>
      <c r="F626" s="304">
        <f t="shared" ca="1" si="271"/>
        <v>2.3206470618225872</v>
      </c>
      <c r="G626" s="306">
        <f t="shared" ca="1" si="272"/>
        <v>12.452208715273454</v>
      </c>
      <c r="H626" s="307">
        <f t="shared" ca="1" si="273"/>
        <v>-130.07786667761317</v>
      </c>
      <c r="I626" s="304">
        <f t="shared" ca="1" si="274"/>
        <v>130.67252542630237</v>
      </c>
      <c r="J626" s="306">
        <f t="shared" ca="1" si="275"/>
        <v>889.84792314375909</v>
      </c>
      <c r="K626" s="307">
        <f t="shared" ca="1" si="276"/>
        <v>-7.8950052497589231</v>
      </c>
      <c r="L626" s="304">
        <f t="shared" ca="1" si="261"/>
        <v>889.88294591544741</v>
      </c>
      <c r="M626" s="306">
        <f t="shared" ca="1" si="277"/>
        <v>-1.4753582680880306</v>
      </c>
      <c r="N626" s="304">
        <f t="shared" ca="1" si="278"/>
        <v>-84.531802031174806</v>
      </c>
      <c r="P626" s="310">
        <f t="shared" ca="1" si="279"/>
        <v>23</v>
      </c>
      <c r="Q626" s="304">
        <f t="shared" ca="1" si="280"/>
        <v>0</v>
      </c>
      <c r="R626" s="306">
        <f t="shared" ca="1" si="281"/>
        <v>0</v>
      </c>
      <c r="S626" s="307">
        <f t="shared" ca="1" si="282"/>
        <v>7.150000000000003</v>
      </c>
      <c r="T626" s="304">
        <f t="shared" ca="1" si="262"/>
        <v>70.141500000000036</v>
      </c>
      <c r="U626" s="311">
        <f t="shared" ca="1" si="263"/>
        <v>0</v>
      </c>
      <c r="V626" s="306">
        <f t="shared" ca="1" si="264"/>
        <v>1.225967520071898</v>
      </c>
      <c r="W626" s="304">
        <f t="shared" ca="1" si="265"/>
        <v>54.635757311776679</v>
      </c>
      <c r="Y626" s="314" t="str">
        <f t="shared" ca="1" si="283"/>
        <v/>
      </c>
      <c r="Z626" s="315" t="str">
        <f t="shared" ca="1" si="284"/>
        <v/>
      </c>
      <c r="AA626" s="316" t="str">
        <f t="shared" ca="1" si="285"/>
        <v/>
      </c>
      <c r="AC626" s="310" t="e">
        <f t="shared" ca="1" si="286"/>
        <v>#N/A</v>
      </c>
      <c r="AD626" s="323" t="e">
        <f t="shared" ca="1" si="287"/>
        <v>#N/A</v>
      </c>
      <c r="AE626" s="324" t="e">
        <f t="shared" ca="1" si="266"/>
        <v>#N/A</v>
      </c>
      <c r="AG626" s="306">
        <f t="shared" ca="1" si="288"/>
        <v>2.1240265392466613</v>
      </c>
      <c r="AH626" s="304">
        <f t="shared" ca="1" si="289"/>
        <v>-7.6413298778985093</v>
      </c>
    </row>
    <row r="627" spans="1:34" x14ac:dyDescent="0.2">
      <c r="A627" s="347">
        <f t="shared" ca="1" si="267"/>
        <v>1E-4</v>
      </c>
      <c r="B627" s="304">
        <f t="shared" ca="1" si="268"/>
        <v>36.707600000000504</v>
      </c>
      <c r="D627" s="306">
        <f t="shared" ca="1" si="269"/>
        <v>-0.7281704190902708</v>
      </c>
      <c r="E627" s="307">
        <f t="shared" ca="1" si="270"/>
        <v>-2.2034093253008997</v>
      </c>
      <c r="F627" s="304">
        <f t="shared" ca="1" si="271"/>
        <v>2.3206130254872455</v>
      </c>
      <c r="G627" s="306">
        <f t="shared" ca="1" si="272"/>
        <v>12.452135898231544</v>
      </c>
      <c r="H627" s="307">
        <f t="shared" ca="1" si="273"/>
        <v>-130.07808701854572</v>
      </c>
      <c r="I627" s="304">
        <f t="shared" ca="1" si="274"/>
        <v>130.67273782557851</v>
      </c>
      <c r="J627" s="306">
        <f t="shared" ca="1" si="275"/>
        <v>889.84792314375909</v>
      </c>
      <c r="K627" s="307">
        <f t="shared" ca="1" si="276"/>
        <v>-7.9080130474437311</v>
      </c>
      <c r="L627" s="304">
        <f t="shared" ca="1" si="261"/>
        <v>889.88306141516136</v>
      </c>
      <c r="M627" s="306">
        <f t="shared" ca="1" si="277"/>
        <v>-1.4753589834833987</v>
      </c>
      <c r="N627" s="304">
        <f t="shared" ca="1" si="278"/>
        <v>-84.531843020310077</v>
      </c>
      <c r="P627" s="310">
        <f t="shared" ca="1" si="279"/>
        <v>23</v>
      </c>
      <c r="Q627" s="304">
        <f t="shared" ca="1" si="280"/>
        <v>0</v>
      </c>
      <c r="R627" s="306">
        <f t="shared" ca="1" si="281"/>
        <v>0</v>
      </c>
      <c r="S627" s="307">
        <f t="shared" ca="1" si="282"/>
        <v>7.150000000000003</v>
      </c>
      <c r="T627" s="304">
        <f t="shared" ca="1" si="262"/>
        <v>70.141500000000036</v>
      </c>
      <c r="U627" s="311">
        <f t="shared" ca="1" si="263"/>
        <v>0</v>
      </c>
      <c r="V627" s="306">
        <f t="shared" ca="1" si="264"/>
        <v>1.2259691147869309</v>
      </c>
      <c r="W627" s="304">
        <f t="shared" ca="1" si="265"/>
        <v>54.636005994690088</v>
      </c>
      <c r="Y627" s="314" t="str">
        <f t="shared" ca="1" si="283"/>
        <v/>
      </c>
      <c r="Z627" s="315" t="str">
        <f t="shared" ca="1" si="284"/>
        <v/>
      </c>
      <c r="AA627" s="316" t="str">
        <f t="shared" ca="1" si="285"/>
        <v/>
      </c>
      <c r="AC627" s="310" t="e">
        <f t="shared" ca="1" si="286"/>
        <v>#N/A</v>
      </c>
      <c r="AD627" s="323" t="e">
        <f t="shared" ca="1" si="287"/>
        <v>#N/A</v>
      </c>
      <c r="AE627" s="324" t="e">
        <f t="shared" ca="1" si="266"/>
        <v>#N/A</v>
      </c>
      <c r="AG627" s="306">
        <f t="shared" ca="1" si="288"/>
        <v>2.1239924269347128</v>
      </c>
      <c r="AH627" s="304">
        <f t="shared" ca="1" si="289"/>
        <v>-7.6413646589897422</v>
      </c>
    </row>
    <row r="628" spans="1:34" x14ac:dyDescent="0.2">
      <c r="A628" s="347">
        <f t="shared" ca="1" si="267"/>
        <v>1E-4</v>
      </c>
      <c r="B628" s="304">
        <f t="shared" ca="1" si="268"/>
        <v>36.707700000000507</v>
      </c>
      <c r="D628" s="306">
        <f t="shared" ca="1" si="269"/>
        <v>-0.72816829172338327</v>
      </c>
      <c r="E628" s="307">
        <f t="shared" ca="1" si="270"/>
        <v>-2.2033741818227295</v>
      </c>
      <c r="F628" s="304">
        <f t="shared" ca="1" si="271"/>
        <v>2.3205789894322351</v>
      </c>
      <c r="G628" s="306">
        <f t="shared" ca="1" si="272"/>
        <v>12.452063081402372</v>
      </c>
      <c r="H628" s="307">
        <f t="shared" ca="1" si="273"/>
        <v>-130.07830735596389</v>
      </c>
      <c r="I628" s="304">
        <f t="shared" ca="1" si="274"/>
        <v>130.67295022144341</v>
      </c>
      <c r="J628" s="306">
        <f t="shared" ca="1" si="275"/>
        <v>889.84792314375909</v>
      </c>
      <c r="K628" s="307">
        <f t="shared" ca="1" si="276"/>
        <v>-7.9210208671624569</v>
      </c>
      <c r="L628" s="304">
        <f t="shared" ca="1" si="261"/>
        <v>889.88317710519698</v>
      </c>
      <c r="M628" s="306">
        <f t="shared" ca="1" si="277"/>
        <v>-1.4753596988722575</v>
      </c>
      <c r="N628" s="304">
        <f t="shared" ca="1" si="278"/>
        <v>-84.5318840090724</v>
      </c>
      <c r="P628" s="310">
        <f t="shared" ca="1" si="279"/>
        <v>23</v>
      </c>
      <c r="Q628" s="304">
        <f t="shared" ca="1" si="280"/>
        <v>0</v>
      </c>
      <c r="R628" s="306">
        <f t="shared" ca="1" si="281"/>
        <v>0</v>
      </c>
      <c r="S628" s="307">
        <f t="shared" ca="1" si="282"/>
        <v>7.150000000000003</v>
      </c>
      <c r="T628" s="304">
        <f t="shared" ca="1" si="262"/>
        <v>70.141500000000036</v>
      </c>
      <c r="U628" s="311">
        <f t="shared" ca="1" si="263"/>
        <v>0</v>
      </c>
      <c r="V628" s="306">
        <f t="shared" ca="1" si="264"/>
        <v>1.2259707095067403</v>
      </c>
      <c r="W628" s="304">
        <f t="shared" ca="1" si="265"/>
        <v>54.636254675714568</v>
      </c>
      <c r="Y628" s="314" t="str">
        <f t="shared" ca="1" si="283"/>
        <v/>
      </c>
      <c r="Z628" s="315" t="str">
        <f t="shared" ca="1" si="284"/>
        <v/>
      </c>
      <c r="AA628" s="316" t="str">
        <f t="shared" ca="1" si="285"/>
        <v/>
      </c>
      <c r="AC628" s="310" t="e">
        <f t="shared" ca="1" si="286"/>
        <v>#N/A</v>
      </c>
      <c r="AD628" s="323" t="e">
        <f t="shared" ca="1" si="287"/>
        <v>#N/A</v>
      </c>
      <c r="AE628" s="324" t="e">
        <f t="shared" ca="1" si="266"/>
        <v>#N/A</v>
      </c>
      <c r="AG628" s="306">
        <f t="shared" ca="1" si="288"/>
        <v>2.1239583148758641</v>
      </c>
      <c r="AH628" s="304">
        <f t="shared" ca="1" si="289"/>
        <v>-7.6413994398167926</v>
      </c>
    </row>
    <row r="629" spans="1:34" x14ac:dyDescent="0.2">
      <c r="A629" s="347">
        <f t="shared" ca="1" si="267"/>
        <v>1E-4</v>
      </c>
      <c r="B629" s="304">
        <f t="shared" ca="1" si="268"/>
        <v>36.70780000000051</v>
      </c>
      <c r="D629" s="306">
        <f t="shared" ca="1" si="269"/>
        <v>-0.72816616433092418</v>
      </c>
      <c r="E629" s="307">
        <f t="shared" ca="1" si="270"/>
        <v>-2.2033390386114338</v>
      </c>
      <c r="F629" s="304">
        <f t="shared" ca="1" si="271"/>
        <v>2.32054495365756</v>
      </c>
      <c r="G629" s="306">
        <f t="shared" ca="1" si="272"/>
        <v>12.451990264785939</v>
      </c>
      <c r="H629" s="307">
        <f t="shared" ca="1" si="273"/>
        <v>-130.07852768986774</v>
      </c>
      <c r="I629" s="304">
        <f t="shared" ca="1" si="274"/>
        <v>130.67316261389718</v>
      </c>
      <c r="J629" s="306">
        <f t="shared" ca="1" si="275"/>
        <v>889.84792314375909</v>
      </c>
      <c r="K629" s="307">
        <f t="shared" ca="1" si="276"/>
        <v>-7.9340287089147488</v>
      </c>
      <c r="L629" s="304">
        <f t="shared" ca="1" si="261"/>
        <v>889.88329298555504</v>
      </c>
      <c r="M629" s="306">
        <f t="shared" ca="1" si="277"/>
        <v>-1.4753604142546075</v>
      </c>
      <c r="N629" s="304">
        <f t="shared" ca="1" si="278"/>
        <v>-84.531924997461786</v>
      </c>
      <c r="P629" s="310">
        <f t="shared" ca="1" si="279"/>
        <v>23</v>
      </c>
      <c r="Q629" s="304">
        <f t="shared" ca="1" si="280"/>
        <v>0</v>
      </c>
      <c r="R629" s="306">
        <f t="shared" ca="1" si="281"/>
        <v>0</v>
      </c>
      <c r="S629" s="307">
        <f t="shared" ca="1" si="282"/>
        <v>7.150000000000003</v>
      </c>
      <c r="T629" s="304">
        <f t="shared" ca="1" si="262"/>
        <v>70.141500000000036</v>
      </c>
      <c r="U629" s="311">
        <f t="shared" ca="1" si="263"/>
        <v>0</v>
      </c>
      <c r="V629" s="306">
        <f t="shared" ca="1" si="264"/>
        <v>1.2259723042313264</v>
      </c>
      <c r="W629" s="304">
        <f t="shared" ca="1" si="265"/>
        <v>54.63650335485017</v>
      </c>
      <c r="Y629" s="314" t="str">
        <f t="shared" ca="1" si="283"/>
        <v/>
      </c>
      <c r="Z629" s="315" t="str">
        <f t="shared" ca="1" si="284"/>
        <v/>
      </c>
      <c r="AA629" s="316" t="str">
        <f t="shared" ca="1" si="285"/>
        <v/>
      </c>
      <c r="AC629" s="310" t="e">
        <f t="shared" ca="1" si="286"/>
        <v>#N/A</v>
      </c>
      <c r="AD629" s="323" t="e">
        <f t="shared" ca="1" si="287"/>
        <v>#N/A</v>
      </c>
      <c r="AE629" s="324" t="e">
        <f t="shared" ca="1" si="266"/>
        <v>#N/A</v>
      </c>
      <c r="AG629" s="306">
        <f t="shared" ca="1" si="288"/>
        <v>2.1239242030701169</v>
      </c>
      <c r="AH629" s="304">
        <f t="shared" ca="1" si="289"/>
        <v>-7.641434220379657</v>
      </c>
    </row>
    <row r="630" spans="1:34" x14ac:dyDescent="0.2">
      <c r="A630" s="347">
        <f t="shared" ca="1" si="267"/>
        <v>1E-4</v>
      </c>
      <c r="B630" s="304">
        <f t="shared" ca="1" si="268"/>
        <v>36.707900000000514</v>
      </c>
      <c r="D630" s="306">
        <f t="shared" ca="1" si="269"/>
        <v>-0.72816403691289211</v>
      </c>
      <c r="E630" s="307">
        <f t="shared" ca="1" si="270"/>
        <v>-2.2033038956670037</v>
      </c>
      <c r="F630" s="304">
        <f t="shared" ca="1" si="271"/>
        <v>2.3205109181632122</v>
      </c>
      <c r="G630" s="306">
        <f t="shared" ca="1" si="272"/>
        <v>12.451917448382249</v>
      </c>
      <c r="H630" s="307">
        <f t="shared" ca="1" si="273"/>
        <v>-130.07874802025731</v>
      </c>
      <c r="I630" s="304">
        <f t="shared" ca="1" si="274"/>
        <v>130.67337500293976</v>
      </c>
      <c r="J630" s="306">
        <f t="shared" ca="1" si="275"/>
        <v>889.84792314375909</v>
      </c>
      <c r="K630" s="307">
        <f t="shared" ca="1" si="276"/>
        <v>-7.947036572700255</v>
      </c>
      <c r="L630" s="304">
        <f t="shared" ca="1" si="261"/>
        <v>889.88340905623659</v>
      </c>
      <c r="M630" s="306">
        <f t="shared" ca="1" si="277"/>
        <v>-1.4753611296304485</v>
      </c>
      <c r="N630" s="304">
        <f t="shared" ca="1" si="278"/>
        <v>-84.531965985478251</v>
      </c>
      <c r="P630" s="310">
        <f t="shared" ca="1" si="279"/>
        <v>23</v>
      </c>
      <c r="Q630" s="304">
        <f t="shared" ca="1" si="280"/>
        <v>0</v>
      </c>
      <c r="R630" s="306">
        <f t="shared" ca="1" si="281"/>
        <v>0</v>
      </c>
      <c r="S630" s="307">
        <f t="shared" ca="1" si="282"/>
        <v>7.150000000000003</v>
      </c>
      <c r="T630" s="304">
        <f t="shared" ca="1" si="262"/>
        <v>70.141500000000036</v>
      </c>
      <c r="U630" s="311">
        <f t="shared" ca="1" si="263"/>
        <v>0</v>
      </c>
      <c r="V630" s="306">
        <f t="shared" ca="1" si="264"/>
        <v>1.2259738989606885</v>
      </c>
      <c r="W630" s="304">
        <f t="shared" ca="1" si="265"/>
        <v>54.63675203209683</v>
      </c>
      <c r="Y630" s="314" t="str">
        <f t="shared" ca="1" si="283"/>
        <v/>
      </c>
      <c r="Z630" s="315" t="str">
        <f t="shared" ca="1" si="284"/>
        <v/>
      </c>
      <c r="AA630" s="316" t="str">
        <f t="shared" ca="1" si="285"/>
        <v/>
      </c>
      <c r="AC630" s="310" t="e">
        <f t="shared" ca="1" si="286"/>
        <v>#N/A</v>
      </c>
      <c r="AD630" s="323" t="e">
        <f t="shared" ca="1" si="287"/>
        <v>#N/A</v>
      </c>
      <c r="AE630" s="324" t="e">
        <f t="shared" ca="1" si="266"/>
        <v>#N/A</v>
      </c>
      <c r="AG630" s="306">
        <f t="shared" ca="1" si="288"/>
        <v>2.1238900915174694</v>
      </c>
      <c r="AH630" s="304">
        <f t="shared" ca="1" si="289"/>
        <v>-7.6414690006783426</v>
      </c>
    </row>
    <row r="631" spans="1:34" x14ac:dyDescent="0.2">
      <c r="A631" s="347">
        <f t="shared" ca="1" si="267"/>
        <v>1E-4</v>
      </c>
      <c r="B631" s="304">
        <f t="shared" ca="1" si="268"/>
        <v>36.708000000000517</v>
      </c>
      <c r="D631" s="306">
        <f t="shared" ca="1" si="269"/>
        <v>-0.72816190946928916</v>
      </c>
      <c r="E631" s="307">
        <f t="shared" ca="1" si="270"/>
        <v>-2.2032687529894508</v>
      </c>
      <c r="F631" s="304">
        <f t="shared" ca="1" si="271"/>
        <v>2.3204768829492033</v>
      </c>
      <c r="G631" s="306">
        <f t="shared" ca="1" si="272"/>
        <v>12.451844632191301</v>
      </c>
      <c r="H631" s="307">
        <f t="shared" ca="1" si="273"/>
        <v>-130.07896834713262</v>
      </c>
      <c r="I631" s="304">
        <f t="shared" ca="1" si="274"/>
        <v>130.67358738857124</v>
      </c>
      <c r="J631" s="306">
        <f t="shared" ca="1" si="275"/>
        <v>889.84792314375909</v>
      </c>
      <c r="K631" s="307">
        <f t="shared" ca="1" si="276"/>
        <v>-7.9600444585186247</v>
      </c>
      <c r="L631" s="304">
        <f t="shared" ca="1" si="261"/>
        <v>889.88352531724229</v>
      </c>
      <c r="M631" s="306">
        <f t="shared" ca="1" si="277"/>
        <v>-1.4753618449997807</v>
      </c>
      <c r="N631" s="304">
        <f t="shared" ca="1" si="278"/>
        <v>-84.532006973121781</v>
      </c>
      <c r="P631" s="310">
        <f t="shared" ca="1" si="279"/>
        <v>23</v>
      </c>
      <c r="Q631" s="304">
        <f t="shared" ca="1" si="280"/>
        <v>0</v>
      </c>
      <c r="R631" s="306">
        <f t="shared" ca="1" si="281"/>
        <v>0</v>
      </c>
      <c r="S631" s="307">
        <f t="shared" ca="1" si="282"/>
        <v>7.150000000000003</v>
      </c>
      <c r="T631" s="304">
        <f t="shared" ca="1" si="262"/>
        <v>70.141500000000036</v>
      </c>
      <c r="U631" s="311">
        <f t="shared" ca="1" si="263"/>
        <v>0</v>
      </c>
      <c r="V631" s="306">
        <f t="shared" ca="1" si="264"/>
        <v>1.2259754936948277</v>
      </c>
      <c r="W631" s="304">
        <f t="shared" ca="1" si="265"/>
        <v>54.637000707454611</v>
      </c>
      <c r="Y631" s="314" t="str">
        <f t="shared" ca="1" si="283"/>
        <v/>
      </c>
      <c r="Z631" s="315" t="str">
        <f t="shared" ca="1" si="284"/>
        <v/>
      </c>
      <c r="AA631" s="316" t="str">
        <f t="shared" ca="1" si="285"/>
        <v/>
      </c>
      <c r="AC631" s="310" t="e">
        <f t="shared" ca="1" si="286"/>
        <v>#N/A</v>
      </c>
      <c r="AD631" s="323" t="e">
        <f t="shared" ca="1" si="287"/>
        <v>#N/A</v>
      </c>
      <c r="AE631" s="324" t="e">
        <f t="shared" ca="1" si="266"/>
        <v>#N/A</v>
      </c>
      <c r="AG631" s="306">
        <f t="shared" ca="1" si="288"/>
        <v>2.1238559802179289</v>
      </c>
      <c r="AH631" s="304">
        <f t="shared" ca="1" si="289"/>
        <v>-7.6415037807128403</v>
      </c>
    </row>
    <row r="632" spans="1:34" x14ac:dyDescent="0.2">
      <c r="A632" s="347">
        <f t="shared" ca="1" si="267"/>
        <v>1E-4</v>
      </c>
      <c r="B632" s="304">
        <f t="shared" ca="1" si="268"/>
        <v>36.70810000000052</v>
      </c>
      <c r="D632" s="306">
        <f t="shared" ca="1" si="269"/>
        <v>-0.72815978200011577</v>
      </c>
      <c r="E632" s="307">
        <f t="shared" ca="1" si="270"/>
        <v>-2.2032336105787644</v>
      </c>
      <c r="F632" s="304">
        <f t="shared" ca="1" si="271"/>
        <v>2.3204428480155239</v>
      </c>
      <c r="G632" s="306">
        <f t="shared" ca="1" si="272"/>
        <v>12.451771816213101</v>
      </c>
      <c r="H632" s="307">
        <f t="shared" ca="1" si="273"/>
        <v>-130.07918867049366</v>
      </c>
      <c r="I632" s="304">
        <f t="shared" ca="1" si="274"/>
        <v>130.67379977079156</v>
      </c>
      <c r="J632" s="306">
        <f t="shared" ca="1" si="275"/>
        <v>889.84792314375909</v>
      </c>
      <c r="K632" s="307">
        <f t="shared" ca="1" si="276"/>
        <v>-7.9730523663695063</v>
      </c>
      <c r="L632" s="304">
        <f t="shared" ca="1" si="261"/>
        <v>889.88364176857317</v>
      </c>
      <c r="M632" s="306">
        <f t="shared" ca="1" si="277"/>
        <v>-1.4753625603626044</v>
      </c>
      <c r="N632" s="304">
        <f t="shared" ca="1" si="278"/>
        <v>-84.53204796039239</v>
      </c>
      <c r="P632" s="310">
        <f t="shared" ca="1" si="279"/>
        <v>23</v>
      </c>
      <c r="Q632" s="304">
        <f t="shared" ca="1" si="280"/>
        <v>0</v>
      </c>
      <c r="R632" s="306">
        <f t="shared" ca="1" si="281"/>
        <v>0</v>
      </c>
      <c r="S632" s="307">
        <f t="shared" ca="1" si="282"/>
        <v>7.150000000000003</v>
      </c>
      <c r="T632" s="304">
        <f t="shared" ca="1" si="262"/>
        <v>70.141500000000036</v>
      </c>
      <c r="U632" s="311">
        <f t="shared" ca="1" si="263"/>
        <v>0</v>
      </c>
      <c r="V632" s="306">
        <f t="shared" ca="1" si="264"/>
        <v>1.2259770884337431</v>
      </c>
      <c r="W632" s="304">
        <f t="shared" ca="1" si="265"/>
        <v>54.637249380923443</v>
      </c>
      <c r="Y632" s="314" t="str">
        <f t="shared" ca="1" si="283"/>
        <v/>
      </c>
      <c r="Z632" s="315" t="str">
        <f t="shared" ca="1" si="284"/>
        <v/>
      </c>
      <c r="AA632" s="316" t="str">
        <f t="shared" ca="1" si="285"/>
        <v/>
      </c>
      <c r="AC632" s="310" t="e">
        <f t="shared" ca="1" si="286"/>
        <v>#N/A</v>
      </c>
      <c r="AD632" s="323" t="e">
        <f t="shared" ca="1" si="287"/>
        <v>#N/A</v>
      </c>
      <c r="AE632" s="324" t="e">
        <f t="shared" ca="1" si="266"/>
        <v>#N/A</v>
      </c>
      <c r="AG632" s="306">
        <f t="shared" ca="1" si="288"/>
        <v>2.1238218691714827</v>
      </c>
      <c r="AH632" s="304">
        <f t="shared" ca="1" si="289"/>
        <v>-7.6415385604831592</v>
      </c>
    </row>
    <row r="633" spans="1:34" x14ac:dyDescent="0.2">
      <c r="A633" s="347">
        <f t="shared" ca="1" si="267"/>
        <v>1E-4</v>
      </c>
      <c r="B633" s="304">
        <f t="shared" ca="1" si="268"/>
        <v>36.708200000000524</v>
      </c>
      <c r="D633" s="306">
        <f t="shared" ca="1" si="269"/>
        <v>-0.72815765450537062</v>
      </c>
      <c r="E633" s="307">
        <f t="shared" ca="1" si="270"/>
        <v>-2.2031984684349561</v>
      </c>
      <c r="F633" s="304">
        <f t="shared" ca="1" si="271"/>
        <v>2.3204088133621839</v>
      </c>
      <c r="G633" s="306">
        <f t="shared" ca="1" si="272"/>
        <v>12.45169900044765</v>
      </c>
      <c r="H633" s="307">
        <f t="shared" ca="1" si="273"/>
        <v>-130.07940899034051</v>
      </c>
      <c r="I633" s="304">
        <f t="shared" ca="1" si="274"/>
        <v>130.67401214960086</v>
      </c>
      <c r="J633" s="306">
        <f t="shared" ca="1" si="275"/>
        <v>889.84792314375909</v>
      </c>
      <c r="K633" s="307">
        <f t="shared" ca="1" si="276"/>
        <v>-7.986060296252548</v>
      </c>
      <c r="L633" s="304">
        <f t="shared" ca="1" si="261"/>
        <v>889.88375841023003</v>
      </c>
      <c r="M633" s="306">
        <f t="shared" ca="1" si="277"/>
        <v>-1.4753632757189192</v>
      </c>
      <c r="N633" s="304">
        <f t="shared" ca="1" si="278"/>
        <v>-84.532088947290077</v>
      </c>
      <c r="P633" s="310">
        <f t="shared" ca="1" si="279"/>
        <v>23</v>
      </c>
      <c r="Q633" s="304">
        <f t="shared" ca="1" si="280"/>
        <v>0</v>
      </c>
      <c r="R633" s="306">
        <f t="shared" ca="1" si="281"/>
        <v>0</v>
      </c>
      <c r="S633" s="307">
        <f t="shared" ca="1" si="282"/>
        <v>7.150000000000003</v>
      </c>
      <c r="T633" s="304">
        <f t="shared" ca="1" si="262"/>
        <v>70.141500000000036</v>
      </c>
      <c r="U633" s="311">
        <f t="shared" ca="1" si="263"/>
        <v>0</v>
      </c>
      <c r="V633" s="306">
        <f t="shared" ca="1" si="264"/>
        <v>1.2259786831774342</v>
      </c>
      <c r="W633" s="304">
        <f t="shared" ca="1" si="265"/>
        <v>54.637498052503361</v>
      </c>
      <c r="Y633" s="314" t="str">
        <f t="shared" ca="1" si="283"/>
        <v/>
      </c>
      <c r="Z633" s="315" t="str">
        <f t="shared" ca="1" si="284"/>
        <v/>
      </c>
      <c r="AA633" s="316" t="str">
        <f t="shared" ca="1" si="285"/>
        <v/>
      </c>
      <c r="AC633" s="310" t="e">
        <f t="shared" ca="1" si="286"/>
        <v>#N/A</v>
      </c>
      <c r="AD633" s="323" t="e">
        <f t="shared" ca="1" si="287"/>
        <v>#N/A</v>
      </c>
      <c r="AE633" s="324" t="e">
        <f t="shared" ca="1" si="266"/>
        <v>#N/A</v>
      </c>
      <c r="AG633" s="306">
        <f t="shared" ca="1" si="288"/>
        <v>2.1237877583781426</v>
      </c>
      <c r="AH633" s="304">
        <f t="shared" ca="1" si="289"/>
        <v>-7.6415733399892893</v>
      </c>
    </row>
    <row r="634" spans="1:34" x14ac:dyDescent="0.2">
      <c r="A634" s="347">
        <f t="shared" ca="1" si="267"/>
        <v>1E-4</v>
      </c>
      <c r="B634" s="304">
        <f t="shared" ca="1" si="268"/>
        <v>36.708300000000527</v>
      </c>
      <c r="D634" s="306">
        <f t="shared" ca="1" si="269"/>
        <v>-0.72815552698505703</v>
      </c>
      <c r="E634" s="307">
        <f t="shared" ca="1" si="270"/>
        <v>-2.2031633265580197</v>
      </c>
      <c r="F634" s="304">
        <f t="shared" ca="1" si="271"/>
        <v>2.32037477898918</v>
      </c>
      <c r="G634" s="306">
        <f t="shared" ca="1" si="272"/>
        <v>12.451626184894952</v>
      </c>
      <c r="H634" s="307">
        <f t="shared" ca="1" si="273"/>
        <v>-130.07962930667316</v>
      </c>
      <c r="I634" s="304">
        <f t="shared" ca="1" si="274"/>
        <v>130.67422452499903</v>
      </c>
      <c r="J634" s="306">
        <f t="shared" ca="1" si="275"/>
        <v>889.84792314375909</v>
      </c>
      <c r="K634" s="307">
        <f t="shared" ca="1" si="276"/>
        <v>-7.9990682481673989</v>
      </c>
      <c r="L634" s="304">
        <f t="shared" ca="1" si="261"/>
        <v>889.883875242214</v>
      </c>
      <c r="M634" s="306">
        <f t="shared" ca="1" si="277"/>
        <v>-1.4753639910687257</v>
      </c>
      <c r="N634" s="304">
        <f t="shared" ca="1" si="278"/>
        <v>-84.532129933814872</v>
      </c>
      <c r="P634" s="310">
        <f t="shared" ca="1" si="279"/>
        <v>23</v>
      </c>
      <c r="Q634" s="304">
        <f t="shared" ca="1" si="280"/>
        <v>0</v>
      </c>
      <c r="R634" s="306">
        <f t="shared" ca="1" si="281"/>
        <v>0</v>
      </c>
      <c r="S634" s="307">
        <f t="shared" ca="1" si="282"/>
        <v>7.150000000000003</v>
      </c>
      <c r="T634" s="304">
        <f t="shared" ca="1" si="262"/>
        <v>70.141500000000036</v>
      </c>
      <c r="U634" s="311">
        <f t="shared" ca="1" si="263"/>
        <v>0</v>
      </c>
      <c r="V634" s="306">
        <f t="shared" ca="1" si="264"/>
        <v>1.2259802779259019</v>
      </c>
      <c r="W634" s="304">
        <f t="shared" ca="1" si="265"/>
        <v>54.637746722194322</v>
      </c>
      <c r="Y634" s="314" t="str">
        <f t="shared" ca="1" si="283"/>
        <v/>
      </c>
      <c r="Z634" s="315" t="str">
        <f t="shared" ca="1" si="284"/>
        <v/>
      </c>
      <c r="AA634" s="316" t="str">
        <f t="shared" ca="1" si="285"/>
        <v/>
      </c>
      <c r="AC634" s="310" t="e">
        <f t="shared" ca="1" si="286"/>
        <v>#N/A</v>
      </c>
      <c r="AD634" s="323" t="e">
        <f t="shared" ca="1" si="287"/>
        <v>#N/A</v>
      </c>
      <c r="AE634" s="324" t="e">
        <f t="shared" ca="1" si="266"/>
        <v>#N/A</v>
      </c>
      <c r="AG634" s="306">
        <f t="shared" ca="1" si="288"/>
        <v>2.1237536478379049</v>
      </c>
      <c r="AH634" s="304">
        <f t="shared" ca="1" si="289"/>
        <v>-7.6416081192312362</v>
      </c>
    </row>
    <row r="635" spans="1:34" x14ac:dyDescent="0.2">
      <c r="A635" s="347">
        <f t="shared" ca="1" si="267"/>
        <v>1E-4</v>
      </c>
      <c r="B635" s="304">
        <f t="shared" ca="1" si="268"/>
        <v>36.70840000000053</v>
      </c>
      <c r="D635" s="306">
        <f t="shared" ca="1" si="269"/>
        <v>-0.72815339943917223</v>
      </c>
      <c r="E635" s="307">
        <f t="shared" ca="1" si="270"/>
        <v>-2.2031281849479614</v>
      </c>
      <c r="F635" s="304">
        <f t="shared" ca="1" si="271"/>
        <v>2.3203407448965163</v>
      </c>
      <c r="G635" s="306">
        <f t="shared" ca="1" si="272"/>
        <v>12.451553369555008</v>
      </c>
      <c r="H635" s="307">
        <f t="shared" ca="1" si="273"/>
        <v>-130.07984961949165</v>
      </c>
      <c r="I635" s="304">
        <f t="shared" ca="1" si="274"/>
        <v>130.67443689698624</v>
      </c>
      <c r="J635" s="306">
        <f t="shared" ca="1" si="275"/>
        <v>889.84792314375909</v>
      </c>
      <c r="K635" s="307">
        <f t="shared" ca="1" si="276"/>
        <v>-8.0120762221137074</v>
      </c>
      <c r="L635" s="304">
        <f t="shared" ca="1" si="261"/>
        <v>889.88399226452566</v>
      </c>
      <c r="M635" s="306">
        <f t="shared" ca="1" si="277"/>
        <v>-1.4753647064120239</v>
      </c>
      <c r="N635" s="304">
        <f t="shared" ca="1" si="278"/>
        <v>-84.532170919966759</v>
      </c>
      <c r="P635" s="310">
        <f t="shared" ca="1" si="279"/>
        <v>23</v>
      </c>
      <c r="Q635" s="304">
        <f t="shared" ca="1" si="280"/>
        <v>0</v>
      </c>
      <c r="R635" s="306">
        <f t="shared" ca="1" si="281"/>
        <v>0</v>
      </c>
      <c r="S635" s="307">
        <f t="shared" ca="1" si="282"/>
        <v>7.150000000000003</v>
      </c>
      <c r="T635" s="304">
        <f t="shared" ca="1" si="262"/>
        <v>70.141500000000036</v>
      </c>
      <c r="U635" s="311">
        <f t="shared" ca="1" si="263"/>
        <v>0</v>
      </c>
      <c r="V635" s="306">
        <f t="shared" ca="1" si="264"/>
        <v>1.2259818726791463</v>
      </c>
      <c r="W635" s="304">
        <f t="shared" ca="1" si="265"/>
        <v>54.637995389996419</v>
      </c>
      <c r="Y635" s="314" t="str">
        <f t="shared" ca="1" si="283"/>
        <v/>
      </c>
      <c r="Z635" s="315" t="str">
        <f t="shared" ca="1" si="284"/>
        <v/>
      </c>
      <c r="AA635" s="316" t="str">
        <f t="shared" ca="1" si="285"/>
        <v/>
      </c>
      <c r="AC635" s="310" t="e">
        <f t="shared" ca="1" si="286"/>
        <v>#N/A</v>
      </c>
      <c r="AD635" s="323" t="e">
        <f t="shared" ca="1" si="287"/>
        <v>#N/A</v>
      </c>
      <c r="AE635" s="324" t="e">
        <f t="shared" ca="1" si="266"/>
        <v>#N/A</v>
      </c>
      <c r="AG635" s="306">
        <f t="shared" ca="1" si="288"/>
        <v>2.1237195375507767</v>
      </c>
      <c r="AH635" s="304">
        <f t="shared" ca="1" si="289"/>
        <v>-7.6416428982089926</v>
      </c>
    </row>
    <row r="636" spans="1:34" x14ac:dyDescent="0.2">
      <c r="A636" s="347">
        <f t="shared" ca="1" si="267"/>
        <v>1E-4</v>
      </c>
      <c r="B636" s="304">
        <f t="shared" ca="1" si="268"/>
        <v>36.708500000000534</v>
      </c>
      <c r="D636" s="306">
        <f t="shared" ca="1" si="269"/>
        <v>-0.72815127186771889</v>
      </c>
      <c r="E636" s="307">
        <f t="shared" ca="1" si="270"/>
        <v>-2.2030930436047678</v>
      </c>
      <c r="F636" s="304">
        <f t="shared" ca="1" si="271"/>
        <v>2.3203067110841822</v>
      </c>
      <c r="G636" s="306">
        <f t="shared" ca="1" si="272"/>
        <v>12.451480554427821</v>
      </c>
      <c r="H636" s="307">
        <f t="shared" ca="1" si="273"/>
        <v>-130.08006992879601</v>
      </c>
      <c r="I636" s="304">
        <f t="shared" ca="1" si="274"/>
        <v>130.67464926556244</v>
      </c>
      <c r="J636" s="306">
        <f t="shared" ca="1" si="275"/>
        <v>889.84792314375909</v>
      </c>
      <c r="K636" s="307">
        <f t="shared" ca="1" si="276"/>
        <v>-8.0250842180911217</v>
      </c>
      <c r="L636" s="304">
        <f t="shared" ca="1" si="261"/>
        <v>889.88410947716602</v>
      </c>
      <c r="M636" s="306">
        <f t="shared" ca="1" si="277"/>
        <v>-1.4753654217488135</v>
      </c>
      <c r="N636" s="304">
        <f t="shared" ca="1" si="278"/>
        <v>-84.532211905745726</v>
      </c>
      <c r="P636" s="310">
        <f t="shared" ca="1" si="279"/>
        <v>23</v>
      </c>
      <c r="Q636" s="304">
        <f t="shared" ca="1" si="280"/>
        <v>0</v>
      </c>
      <c r="R636" s="306">
        <f t="shared" ca="1" si="281"/>
        <v>0</v>
      </c>
      <c r="S636" s="307">
        <f t="shared" ca="1" si="282"/>
        <v>7.150000000000003</v>
      </c>
      <c r="T636" s="304">
        <f t="shared" ca="1" si="262"/>
        <v>70.141500000000036</v>
      </c>
      <c r="U636" s="311">
        <f t="shared" ca="1" si="263"/>
        <v>0</v>
      </c>
      <c r="V636" s="306">
        <f t="shared" ca="1" si="264"/>
        <v>1.2259834674371666</v>
      </c>
      <c r="W636" s="304">
        <f t="shared" ca="1" si="265"/>
        <v>54.638244055909567</v>
      </c>
      <c r="Y636" s="314" t="str">
        <f t="shared" ca="1" si="283"/>
        <v/>
      </c>
      <c r="Z636" s="315" t="str">
        <f t="shared" ca="1" si="284"/>
        <v/>
      </c>
      <c r="AA636" s="316" t="str">
        <f t="shared" ca="1" si="285"/>
        <v/>
      </c>
      <c r="AC636" s="310" t="e">
        <f t="shared" ca="1" si="286"/>
        <v>#N/A</v>
      </c>
      <c r="AD636" s="323" t="e">
        <f t="shared" ca="1" si="287"/>
        <v>#N/A</v>
      </c>
      <c r="AE636" s="324" t="e">
        <f t="shared" ca="1" si="266"/>
        <v>#N/A</v>
      </c>
      <c r="AG636" s="306">
        <f t="shared" ca="1" si="288"/>
        <v>2.1236854275167456</v>
      </c>
      <c r="AH636" s="304">
        <f t="shared" ca="1" si="289"/>
        <v>-7.6416776769225727</v>
      </c>
    </row>
    <row r="637" spans="1:34" x14ac:dyDescent="0.2">
      <c r="A637" s="347">
        <f t="shared" ca="1" si="267"/>
        <v>1E-4</v>
      </c>
      <c r="B637" s="304">
        <f t="shared" ca="1" si="268"/>
        <v>36.708600000000537</v>
      </c>
      <c r="D637" s="306">
        <f t="shared" ca="1" si="269"/>
        <v>-0.72814914427069866</v>
      </c>
      <c r="E637" s="307">
        <f t="shared" ca="1" si="270"/>
        <v>-2.2030579025284505</v>
      </c>
      <c r="F637" s="304">
        <f t="shared" ca="1" si="271"/>
        <v>2.3202726775521891</v>
      </c>
      <c r="G637" s="306">
        <f t="shared" ca="1" si="272"/>
        <v>12.451407739513394</v>
      </c>
      <c r="H637" s="307">
        <f t="shared" ca="1" si="273"/>
        <v>-130.08029023458627</v>
      </c>
      <c r="I637" s="304">
        <f t="shared" ca="1" si="274"/>
        <v>130.67486163072763</v>
      </c>
      <c r="J637" s="306">
        <f t="shared" ca="1" si="275"/>
        <v>889.84792314375909</v>
      </c>
      <c r="K637" s="307">
        <f t="shared" ca="1" si="276"/>
        <v>-8.0380922360992901</v>
      </c>
      <c r="L637" s="304">
        <f t="shared" ca="1" si="261"/>
        <v>889.884226880136</v>
      </c>
      <c r="M637" s="306">
        <f t="shared" ca="1" si="277"/>
        <v>-1.4753661370790949</v>
      </c>
      <c r="N637" s="304">
        <f t="shared" ca="1" si="278"/>
        <v>-84.532252891151813</v>
      </c>
      <c r="P637" s="310">
        <f t="shared" ca="1" si="279"/>
        <v>23</v>
      </c>
      <c r="Q637" s="304">
        <f t="shared" ca="1" si="280"/>
        <v>0</v>
      </c>
      <c r="R637" s="306">
        <f t="shared" ca="1" si="281"/>
        <v>0</v>
      </c>
      <c r="S637" s="307">
        <f t="shared" ca="1" si="282"/>
        <v>7.150000000000003</v>
      </c>
      <c r="T637" s="304">
        <f t="shared" ca="1" si="262"/>
        <v>70.141500000000036</v>
      </c>
      <c r="U637" s="311">
        <f t="shared" ca="1" si="263"/>
        <v>0</v>
      </c>
      <c r="V637" s="306">
        <f t="shared" ca="1" si="264"/>
        <v>1.2259850621999635</v>
      </c>
      <c r="W637" s="304">
        <f t="shared" ca="1" si="265"/>
        <v>54.638492719933794</v>
      </c>
      <c r="Y637" s="314" t="str">
        <f t="shared" ca="1" si="283"/>
        <v/>
      </c>
      <c r="Z637" s="315" t="str">
        <f t="shared" ca="1" si="284"/>
        <v/>
      </c>
      <c r="AA637" s="316" t="str">
        <f t="shared" ca="1" si="285"/>
        <v/>
      </c>
      <c r="AC637" s="310" t="e">
        <f t="shared" ca="1" si="286"/>
        <v>#N/A</v>
      </c>
      <c r="AD637" s="323" t="e">
        <f t="shared" ca="1" si="287"/>
        <v>#N/A</v>
      </c>
      <c r="AE637" s="324" t="e">
        <f t="shared" ca="1" si="266"/>
        <v>#N/A</v>
      </c>
      <c r="AG637" s="306">
        <f t="shared" ca="1" si="288"/>
        <v>2.1236513177358205</v>
      </c>
      <c r="AH637" s="304">
        <f t="shared" ca="1" si="289"/>
        <v>-7.6417124553719642</v>
      </c>
    </row>
    <row r="638" spans="1:34" x14ac:dyDescent="0.2">
      <c r="A638" s="347">
        <f t="shared" ca="1" si="267"/>
        <v>1E-4</v>
      </c>
      <c r="B638" s="304">
        <f t="shared" ca="1" si="268"/>
        <v>36.70870000000054</v>
      </c>
      <c r="D638" s="306">
        <f t="shared" ca="1" si="269"/>
        <v>-0.72814701664810999</v>
      </c>
      <c r="E638" s="307">
        <f t="shared" ca="1" si="270"/>
        <v>-2.2030227617190077</v>
      </c>
      <c r="F638" s="304">
        <f t="shared" ca="1" si="271"/>
        <v>2.3202386443005354</v>
      </c>
      <c r="G638" s="306">
        <f t="shared" ca="1" si="272"/>
        <v>12.451334924811729</v>
      </c>
      <c r="H638" s="307">
        <f t="shared" ca="1" si="273"/>
        <v>-130.08051053686245</v>
      </c>
      <c r="I638" s="304">
        <f t="shared" ca="1" si="274"/>
        <v>130.67507399248188</v>
      </c>
      <c r="J638" s="306">
        <f t="shared" ca="1" si="275"/>
        <v>889.84792314375909</v>
      </c>
      <c r="K638" s="307">
        <f t="shared" ca="1" si="276"/>
        <v>-8.0511002761378627</v>
      </c>
      <c r="L638" s="304">
        <f t="shared" ca="1" si="261"/>
        <v>889.8843444734365</v>
      </c>
      <c r="M638" s="306">
        <f t="shared" ca="1" si="277"/>
        <v>-1.4753668524028682</v>
      </c>
      <c r="N638" s="304">
        <f t="shared" ca="1" si="278"/>
        <v>-84.532293876185008</v>
      </c>
      <c r="P638" s="310">
        <f t="shared" ca="1" si="279"/>
        <v>23</v>
      </c>
      <c r="Q638" s="304">
        <f t="shared" ca="1" si="280"/>
        <v>0</v>
      </c>
      <c r="R638" s="306">
        <f t="shared" ca="1" si="281"/>
        <v>0</v>
      </c>
      <c r="S638" s="307">
        <f t="shared" ca="1" si="282"/>
        <v>7.150000000000003</v>
      </c>
      <c r="T638" s="304">
        <f t="shared" ca="1" si="262"/>
        <v>70.141500000000036</v>
      </c>
      <c r="U638" s="311">
        <f t="shared" ca="1" si="263"/>
        <v>0</v>
      </c>
      <c r="V638" s="306">
        <f t="shared" ca="1" si="264"/>
        <v>1.2259866569675362</v>
      </c>
      <c r="W638" s="304">
        <f t="shared" ca="1" si="265"/>
        <v>54.638741382069071</v>
      </c>
      <c r="Y638" s="314" t="str">
        <f t="shared" ca="1" si="283"/>
        <v/>
      </c>
      <c r="Z638" s="315" t="str">
        <f t="shared" ca="1" si="284"/>
        <v/>
      </c>
      <c r="AA638" s="316" t="str">
        <f t="shared" ca="1" si="285"/>
        <v/>
      </c>
      <c r="AC638" s="310" t="e">
        <f t="shared" ca="1" si="286"/>
        <v>#N/A</v>
      </c>
      <c r="AD638" s="323" t="e">
        <f t="shared" ca="1" si="287"/>
        <v>#N/A</v>
      </c>
      <c r="AE638" s="324" t="e">
        <f t="shared" ca="1" si="266"/>
        <v>#N/A</v>
      </c>
      <c r="AG638" s="306">
        <f t="shared" ca="1" si="288"/>
        <v>2.1236172082079978</v>
      </c>
      <c r="AH638" s="304">
        <f t="shared" ca="1" si="289"/>
        <v>-7.6417472335571706</v>
      </c>
    </row>
    <row r="639" spans="1:34" x14ac:dyDescent="0.2">
      <c r="A639" s="347">
        <f t="shared" ca="1" si="267"/>
        <v>1E-4</v>
      </c>
      <c r="B639" s="304">
        <f t="shared" ca="1" si="268"/>
        <v>36.708800000000544</v>
      </c>
      <c r="D639" s="306">
        <f t="shared" ca="1" si="269"/>
        <v>-0.72814488899995344</v>
      </c>
      <c r="E639" s="307">
        <f t="shared" ca="1" si="270"/>
        <v>-2.2029876211764412</v>
      </c>
      <c r="F639" s="304">
        <f t="shared" ca="1" si="271"/>
        <v>2.3202046113292227</v>
      </c>
      <c r="G639" s="306">
        <f t="shared" ca="1" si="272"/>
        <v>12.451262110322828</v>
      </c>
      <c r="H639" s="307">
        <f t="shared" ca="1" si="273"/>
        <v>-130.08073083562456</v>
      </c>
      <c r="I639" s="304">
        <f t="shared" ca="1" si="274"/>
        <v>130.67528635082522</v>
      </c>
      <c r="J639" s="306">
        <f t="shared" ca="1" si="275"/>
        <v>889.84792314375909</v>
      </c>
      <c r="K639" s="307">
        <f t="shared" ca="1" si="276"/>
        <v>-8.0641083382064878</v>
      </c>
      <c r="L639" s="304">
        <f t="shared" ca="1" si="261"/>
        <v>889.88446225706832</v>
      </c>
      <c r="M639" s="306">
        <f t="shared" ca="1" si="277"/>
        <v>-1.4753675677201334</v>
      </c>
      <c r="N639" s="304">
        <f t="shared" ca="1" si="278"/>
        <v>-84.532334860845324</v>
      </c>
      <c r="P639" s="310">
        <f t="shared" ca="1" si="279"/>
        <v>23</v>
      </c>
      <c r="Q639" s="304">
        <f t="shared" ca="1" si="280"/>
        <v>0</v>
      </c>
      <c r="R639" s="306">
        <f t="shared" ca="1" si="281"/>
        <v>0</v>
      </c>
      <c r="S639" s="307">
        <f t="shared" ca="1" si="282"/>
        <v>7.150000000000003</v>
      </c>
      <c r="T639" s="304">
        <f t="shared" ca="1" si="262"/>
        <v>70.141500000000036</v>
      </c>
      <c r="U639" s="311">
        <f t="shared" ca="1" si="263"/>
        <v>0</v>
      </c>
      <c r="V639" s="306">
        <f t="shared" ca="1" si="264"/>
        <v>1.2259882517398852</v>
      </c>
      <c r="W639" s="304">
        <f t="shared" ca="1" si="265"/>
        <v>54.638990042315434</v>
      </c>
      <c r="Y639" s="314" t="str">
        <f t="shared" ca="1" si="283"/>
        <v/>
      </c>
      <c r="Z639" s="315" t="str">
        <f t="shared" ca="1" si="284"/>
        <v/>
      </c>
      <c r="AA639" s="316" t="str">
        <f t="shared" ca="1" si="285"/>
        <v/>
      </c>
      <c r="AC639" s="310" t="e">
        <f t="shared" ca="1" si="286"/>
        <v>#N/A</v>
      </c>
      <c r="AD639" s="323" t="e">
        <f t="shared" ca="1" si="287"/>
        <v>#N/A</v>
      </c>
      <c r="AE639" s="324" t="e">
        <f t="shared" ca="1" si="266"/>
        <v>#N/A</v>
      </c>
      <c r="AG639" s="306">
        <f t="shared" ca="1" si="288"/>
        <v>2.1235830989332882</v>
      </c>
      <c r="AH639" s="304">
        <f t="shared" ca="1" si="289"/>
        <v>-7.6417820114781883</v>
      </c>
    </row>
    <row r="640" spans="1:34" x14ac:dyDescent="0.2">
      <c r="A640" s="347">
        <f t="shared" ca="1" si="267"/>
        <v>1E-4</v>
      </c>
      <c r="B640" s="304">
        <f t="shared" ca="1" si="268"/>
        <v>36.708900000000547</v>
      </c>
      <c r="D640" s="306">
        <f t="shared" ca="1" si="269"/>
        <v>-0.7281427613262309</v>
      </c>
      <c r="E640" s="307">
        <f t="shared" ca="1" si="270"/>
        <v>-2.2029524809007466</v>
      </c>
      <c r="F640" s="304">
        <f t="shared" ca="1" si="271"/>
        <v>2.320170578638248</v>
      </c>
      <c r="G640" s="306">
        <f t="shared" ca="1" si="272"/>
        <v>12.451189296046696</v>
      </c>
      <c r="H640" s="307">
        <f t="shared" ca="1" si="273"/>
        <v>-130.08095113087265</v>
      </c>
      <c r="I640" s="304">
        <f t="shared" ca="1" si="274"/>
        <v>130.67549870575763</v>
      </c>
      <c r="J640" s="306">
        <f t="shared" ca="1" si="275"/>
        <v>889.84792314375909</v>
      </c>
      <c r="K640" s="307">
        <f t="shared" ca="1" si="276"/>
        <v>-8.0771164223048117</v>
      </c>
      <c r="L640" s="304">
        <f t="shared" ca="1" si="261"/>
        <v>889.88458023103249</v>
      </c>
      <c r="M640" s="306">
        <f t="shared" ca="1" si="277"/>
        <v>-1.4753682830308907</v>
      </c>
      <c r="N640" s="304">
        <f t="shared" ca="1" si="278"/>
        <v>-84.532375845132748</v>
      </c>
      <c r="P640" s="310">
        <f t="shared" ca="1" si="279"/>
        <v>23</v>
      </c>
      <c r="Q640" s="304">
        <f t="shared" ca="1" si="280"/>
        <v>0</v>
      </c>
      <c r="R640" s="306">
        <f t="shared" ca="1" si="281"/>
        <v>0</v>
      </c>
      <c r="S640" s="307">
        <f t="shared" ca="1" si="282"/>
        <v>7.150000000000003</v>
      </c>
      <c r="T640" s="304">
        <f t="shared" ca="1" si="262"/>
        <v>70.141500000000036</v>
      </c>
      <c r="U640" s="311">
        <f t="shared" ca="1" si="263"/>
        <v>0</v>
      </c>
      <c r="V640" s="306">
        <f t="shared" ca="1" si="264"/>
        <v>1.2259898465170103</v>
      </c>
      <c r="W640" s="304">
        <f t="shared" ca="1" si="265"/>
        <v>54.639238700672855</v>
      </c>
      <c r="Y640" s="314" t="str">
        <f t="shared" ca="1" si="283"/>
        <v/>
      </c>
      <c r="Z640" s="315" t="str">
        <f t="shared" ca="1" si="284"/>
        <v/>
      </c>
      <c r="AA640" s="316" t="str">
        <f t="shared" ca="1" si="285"/>
        <v/>
      </c>
      <c r="AC640" s="310" t="e">
        <f t="shared" ca="1" si="286"/>
        <v>#N/A</v>
      </c>
      <c r="AD640" s="323" t="e">
        <f t="shared" ca="1" si="287"/>
        <v>#N/A</v>
      </c>
      <c r="AE640" s="324" t="e">
        <f t="shared" ca="1" si="266"/>
        <v>#N/A</v>
      </c>
      <c r="AG640" s="306">
        <f t="shared" ca="1" si="288"/>
        <v>2.1235489899116793</v>
      </c>
      <c r="AH640" s="304">
        <f t="shared" ca="1" si="289"/>
        <v>-7.6418167891350226</v>
      </c>
    </row>
    <row r="641" spans="1:34" x14ac:dyDescent="0.2">
      <c r="A641" s="347">
        <f t="shared" ca="1" si="267"/>
        <v>1E-4</v>
      </c>
      <c r="B641" s="304">
        <f t="shared" ca="1" si="268"/>
        <v>36.70900000000055</v>
      </c>
      <c r="D641" s="306">
        <f t="shared" ca="1" si="269"/>
        <v>-0.72814063362694159</v>
      </c>
      <c r="E641" s="307">
        <f t="shared" ca="1" si="270"/>
        <v>-2.2029173408919274</v>
      </c>
      <c r="F641" s="304">
        <f t="shared" ca="1" si="271"/>
        <v>2.3201365462276144</v>
      </c>
      <c r="G641" s="306">
        <f t="shared" ca="1" si="272"/>
        <v>12.451116481983334</v>
      </c>
      <c r="H641" s="307">
        <f t="shared" ca="1" si="273"/>
        <v>-130.08117142260673</v>
      </c>
      <c r="I641" s="304">
        <f t="shared" ca="1" si="274"/>
        <v>130.67571105727916</v>
      </c>
      <c r="J641" s="306">
        <f t="shared" ca="1" si="275"/>
        <v>889.84792314375909</v>
      </c>
      <c r="K641" s="307">
        <f t="shared" ca="1" si="276"/>
        <v>-8.0901245284324865</v>
      </c>
      <c r="L641" s="304">
        <f t="shared" ca="1" si="261"/>
        <v>889.88469839532968</v>
      </c>
      <c r="M641" s="306">
        <f t="shared" ca="1" si="277"/>
        <v>-1.4753689983351399</v>
      </c>
      <c r="N641" s="304">
        <f t="shared" ca="1" si="278"/>
        <v>-84.532416829047293</v>
      </c>
      <c r="P641" s="310">
        <f t="shared" ca="1" si="279"/>
        <v>23</v>
      </c>
      <c r="Q641" s="304">
        <f t="shared" ca="1" si="280"/>
        <v>0</v>
      </c>
      <c r="R641" s="306">
        <f t="shared" ca="1" si="281"/>
        <v>0</v>
      </c>
      <c r="S641" s="307">
        <f t="shared" ca="1" si="282"/>
        <v>7.150000000000003</v>
      </c>
      <c r="T641" s="304">
        <f t="shared" ca="1" si="262"/>
        <v>70.141500000000036</v>
      </c>
      <c r="U641" s="311">
        <f t="shared" ca="1" si="263"/>
        <v>0</v>
      </c>
      <c r="V641" s="306">
        <f t="shared" ca="1" si="264"/>
        <v>1.2259914412989117</v>
      </c>
      <c r="W641" s="304">
        <f t="shared" ca="1" si="265"/>
        <v>54.639487357141334</v>
      </c>
      <c r="Y641" s="314" t="str">
        <f t="shared" ca="1" si="283"/>
        <v/>
      </c>
      <c r="Z641" s="315" t="str">
        <f t="shared" ca="1" si="284"/>
        <v/>
      </c>
      <c r="AA641" s="316" t="str">
        <f t="shared" ca="1" si="285"/>
        <v/>
      </c>
      <c r="AC641" s="310" t="e">
        <f t="shared" ca="1" si="286"/>
        <v>#N/A</v>
      </c>
      <c r="AD641" s="323" t="e">
        <f t="shared" ca="1" si="287"/>
        <v>#N/A</v>
      </c>
      <c r="AE641" s="324" t="e">
        <f t="shared" ca="1" si="266"/>
        <v>#N/A</v>
      </c>
      <c r="AG641" s="306">
        <f t="shared" ca="1" si="288"/>
        <v>2.1235148811431772</v>
      </c>
      <c r="AH641" s="304">
        <f t="shared" ca="1" si="289"/>
        <v>-7.6418515665276692</v>
      </c>
    </row>
    <row r="642" spans="1:34" x14ac:dyDescent="0.2">
      <c r="A642" s="347">
        <f t="shared" ca="1" si="267"/>
        <v>1E-4</v>
      </c>
      <c r="B642" s="304">
        <f t="shared" ca="1" si="268"/>
        <v>36.709100000000554</v>
      </c>
      <c r="D642" s="306">
        <f t="shared" ca="1" si="269"/>
        <v>-0.7281385059020884</v>
      </c>
      <c r="E642" s="307">
        <f t="shared" ca="1" si="270"/>
        <v>-2.2028822011499862</v>
      </c>
      <c r="F642" s="304">
        <f t="shared" ca="1" si="271"/>
        <v>2.3201025140973264</v>
      </c>
      <c r="G642" s="306">
        <f t="shared" ca="1" si="272"/>
        <v>12.451043668132744</v>
      </c>
      <c r="H642" s="307">
        <f t="shared" ca="1" si="273"/>
        <v>-130.08139171082684</v>
      </c>
      <c r="I642" s="304">
        <f t="shared" ca="1" si="274"/>
        <v>130.67592340538985</v>
      </c>
      <c r="J642" s="306">
        <f t="shared" ca="1" si="275"/>
        <v>889.84792314375909</v>
      </c>
      <c r="K642" s="307">
        <f t="shared" ca="1" si="276"/>
        <v>-8.1031326565891586</v>
      </c>
      <c r="L642" s="304">
        <f t="shared" ca="1" si="261"/>
        <v>889.88481674996103</v>
      </c>
      <c r="M642" s="306">
        <f t="shared" ca="1" si="277"/>
        <v>-1.4753697136328816</v>
      </c>
      <c r="N642" s="304">
        <f t="shared" ca="1" si="278"/>
        <v>-84.532457812588987</v>
      </c>
      <c r="P642" s="310">
        <f t="shared" ca="1" si="279"/>
        <v>23</v>
      </c>
      <c r="Q642" s="304">
        <f t="shared" ca="1" si="280"/>
        <v>0</v>
      </c>
      <c r="R642" s="306">
        <f t="shared" ca="1" si="281"/>
        <v>0</v>
      </c>
      <c r="S642" s="307">
        <f t="shared" ca="1" si="282"/>
        <v>7.150000000000003</v>
      </c>
      <c r="T642" s="304">
        <f t="shared" ca="1" si="262"/>
        <v>70.141500000000036</v>
      </c>
      <c r="U642" s="311">
        <f t="shared" ca="1" si="263"/>
        <v>0</v>
      </c>
      <c r="V642" s="306">
        <f t="shared" ca="1" si="264"/>
        <v>1.2259930360855891</v>
      </c>
      <c r="W642" s="304">
        <f t="shared" ca="1" si="265"/>
        <v>54.639736011720885</v>
      </c>
      <c r="Y642" s="314" t="str">
        <f t="shared" ca="1" si="283"/>
        <v/>
      </c>
      <c r="Z642" s="315" t="str">
        <f t="shared" ca="1" si="284"/>
        <v/>
      </c>
      <c r="AA642" s="316" t="str">
        <f t="shared" ca="1" si="285"/>
        <v/>
      </c>
      <c r="AC642" s="310" t="e">
        <f t="shared" ca="1" si="286"/>
        <v>#N/A</v>
      </c>
      <c r="AD642" s="323" t="e">
        <f t="shared" ca="1" si="287"/>
        <v>#N/A</v>
      </c>
      <c r="AE642" s="324" t="e">
        <f t="shared" ca="1" si="266"/>
        <v>#N/A</v>
      </c>
      <c r="AG642" s="306">
        <f t="shared" ca="1" si="288"/>
        <v>2.1234807726277865</v>
      </c>
      <c r="AH642" s="304">
        <f t="shared" ca="1" si="289"/>
        <v>-7.6418863436561271</v>
      </c>
    </row>
    <row r="643" spans="1:34" x14ac:dyDescent="0.2">
      <c r="A643" s="347">
        <f t="shared" ca="1" si="267"/>
        <v>1E-4</v>
      </c>
      <c r="B643" s="304">
        <f t="shared" ca="1" si="268"/>
        <v>36.709200000000557</v>
      </c>
      <c r="D643" s="306">
        <f t="shared" ca="1" si="269"/>
        <v>-0.72813637815166776</v>
      </c>
      <c r="E643" s="307">
        <f t="shared" ca="1" si="270"/>
        <v>-2.2028470616749178</v>
      </c>
      <c r="F643" s="304">
        <f t="shared" ca="1" si="271"/>
        <v>2.3200684822473772</v>
      </c>
      <c r="G643" s="306">
        <f t="shared" ca="1" si="272"/>
        <v>12.45097085449493</v>
      </c>
      <c r="H643" s="307">
        <f t="shared" ca="1" si="273"/>
        <v>-130.081611995533</v>
      </c>
      <c r="I643" s="304">
        <f t="shared" ca="1" si="274"/>
        <v>130.67613575008974</v>
      </c>
      <c r="J643" s="306">
        <f t="shared" ca="1" si="275"/>
        <v>889.84792314375909</v>
      </c>
      <c r="K643" s="307">
        <f t="shared" ca="1" si="276"/>
        <v>-8.1161408067744762</v>
      </c>
      <c r="L643" s="304">
        <f t="shared" ca="1" si="261"/>
        <v>889.88493529492723</v>
      </c>
      <c r="M643" s="306">
        <f t="shared" ca="1" si="277"/>
        <v>-1.4753704289241152</v>
      </c>
      <c r="N643" s="304">
        <f t="shared" ca="1" si="278"/>
        <v>-84.532498795757803</v>
      </c>
      <c r="P643" s="310">
        <f t="shared" ca="1" si="279"/>
        <v>23</v>
      </c>
      <c r="Q643" s="304">
        <f t="shared" ca="1" si="280"/>
        <v>0</v>
      </c>
      <c r="R643" s="306">
        <f t="shared" ca="1" si="281"/>
        <v>0</v>
      </c>
      <c r="S643" s="307">
        <f t="shared" ca="1" si="282"/>
        <v>7.150000000000003</v>
      </c>
      <c r="T643" s="304">
        <f t="shared" ca="1" si="262"/>
        <v>70.141500000000036</v>
      </c>
      <c r="U643" s="311">
        <f t="shared" ca="1" si="263"/>
        <v>0</v>
      </c>
      <c r="V643" s="306">
        <f t="shared" ca="1" si="264"/>
        <v>1.2259946308770424</v>
      </c>
      <c r="W643" s="304">
        <f t="shared" ca="1" si="265"/>
        <v>54.639984664411507</v>
      </c>
      <c r="Y643" s="314" t="str">
        <f t="shared" ca="1" si="283"/>
        <v/>
      </c>
      <c r="Z643" s="315" t="str">
        <f t="shared" ca="1" si="284"/>
        <v/>
      </c>
      <c r="AA643" s="316" t="str">
        <f t="shared" ca="1" si="285"/>
        <v/>
      </c>
      <c r="AC643" s="310" t="e">
        <f t="shared" ca="1" si="286"/>
        <v>#N/A</v>
      </c>
      <c r="AD643" s="323" t="e">
        <f t="shared" ca="1" si="287"/>
        <v>#N/A</v>
      </c>
      <c r="AE643" s="324" t="e">
        <f t="shared" ca="1" si="266"/>
        <v>#N/A</v>
      </c>
      <c r="AG643" s="306">
        <f t="shared" ca="1" si="288"/>
        <v>2.1234466643654999</v>
      </c>
      <c r="AH643" s="304">
        <f t="shared" ca="1" si="289"/>
        <v>-7.6419211205203998</v>
      </c>
    </row>
    <row r="644" spans="1:34" x14ac:dyDescent="0.2">
      <c r="A644" s="347">
        <f t="shared" ca="1" si="267"/>
        <v>1E-4</v>
      </c>
      <c r="B644" s="304">
        <f t="shared" ca="1" si="268"/>
        <v>36.70930000000056</v>
      </c>
      <c r="D644" s="306">
        <f t="shared" ca="1" si="269"/>
        <v>-0.7281342503756858</v>
      </c>
      <c r="E644" s="307">
        <f t="shared" ca="1" si="270"/>
        <v>-2.202811922466724</v>
      </c>
      <c r="F644" s="304">
        <f t="shared" ca="1" si="271"/>
        <v>2.3200344506777708</v>
      </c>
      <c r="G644" s="306">
        <f t="shared" ca="1" si="272"/>
        <v>12.450898041069893</v>
      </c>
      <c r="H644" s="307">
        <f t="shared" ca="1" si="273"/>
        <v>-130.08183227672524</v>
      </c>
      <c r="I644" s="304">
        <f t="shared" ca="1" si="274"/>
        <v>130.67634809137877</v>
      </c>
      <c r="J644" s="306">
        <f t="shared" ca="1" si="275"/>
        <v>889.84792314375909</v>
      </c>
      <c r="K644" s="307">
        <f t="shared" ca="1" si="276"/>
        <v>-8.1291489789880895</v>
      </c>
      <c r="L644" s="304">
        <f t="shared" ref="L644:L707" ca="1" si="290">SQRT(pos_x^2+pos_z^2)</f>
        <v>889.88505403022918</v>
      </c>
      <c r="M644" s="306">
        <f t="shared" ca="1" si="277"/>
        <v>-1.4753711442088415</v>
      </c>
      <c r="N644" s="304">
        <f t="shared" ca="1" si="278"/>
        <v>-84.532539778553769</v>
      </c>
      <c r="P644" s="310">
        <f t="shared" ca="1" si="279"/>
        <v>23</v>
      </c>
      <c r="Q644" s="304">
        <f t="shared" ca="1" si="280"/>
        <v>0</v>
      </c>
      <c r="R644" s="306">
        <f t="shared" ca="1" si="281"/>
        <v>0</v>
      </c>
      <c r="S644" s="307">
        <f t="shared" ca="1" si="282"/>
        <v>7.150000000000003</v>
      </c>
      <c r="T644" s="304">
        <f t="shared" ref="T644:T707" ca="1" si="291">m*g</f>
        <v>70.141500000000036</v>
      </c>
      <c r="U644" s="311">
        <f t="shared" ref="U644:U707" ca="1" si="292">IF(pos_xz&lt;L_rampe,Poids*COS(Beta),0)</f>
        <v>0</v>
      </c>
      <c r="V644" s="306">
        <f t="shared" ref="V644:V707" ca="1" si="293">Rho_moyen*(20000-Alt_rampe-pos_z)/(20000+Alt_rampe+pos_z)</f>
        <v>1.2259962256732717</v>
      </c>
      <c r="W644" s="304">
        <f t="shared" ref="W644:W707" ca="1" si="294">1/2*Rho*Sref*Cx*vit_xz^2</f>
        <v>54.640233315213145</v>
      </c>
      <c r="Y644" s="314" t="str">
        <f t="shared" ca="1" si="283"/>
        <v/>
      </c>
      <c r="Z644" s="315" t="str">
        <f t="shared" ca="1" si="284"/>
        <v/>
      </c>
      <c r="AA644" s="316" t="str">
        <f t="shared" ca="1" si="285"/>
        <v/>
      </c>
      <c r="AC644" s="310" t="e">
        <f t="shared" ca="1" si="286"/>
        <v>#N/A</v>
      </c>
      <c r="AD644" s="323" t="e">
        <f t="shared" ca="1" si="287"/>
        <v>#N/A</v>
      </c>
      <c r="AE644" s="324" t="e">
        <f t="shared" ref="AE644:AE707" ca="1" si="295">IF(t&lt;T_para, pos_z, NA())</f>
        <v>#N/A</v>
      </c>
      <c r="AG644" s="306">
        <f t="shared" ca="1" si="288"/>
        <v>2.1234125563563193</v>
      </c>
      <c r="AH644" s="304">
        <f t="shared" ca="1" si="289"/>
        <v>-7.6419558971204875</v>
      </c>
    </row>
    <row r="645" spans="1:34" x14ac:dyDescent="0.2">
      <c r="A645" s="347">
        <f t="shared" ref="A645:A708" ca="1" si="296">IF(B644+0.01&lt;=T_ini+ROUNDUP(Temps_fin_propu,0), 0.01, IF(K644&gt;0, 0.1, 0.0001))</f>
        <v>1E-4</v>
      </c>
      <c r="B645" s="304">
        <f t="shared" ref="B645:B708" ca="1" si="297">B644+pas</f>
        <v>36.709400000000564</v>
      </c>
      <c r="D645" s="306">
        <f t="shared" ref="D645:D708" ca="1" si="298">IF(AND(L644&lt;L_rampe,Poussee&lt;Poids*SIN(M644)),0,(-W644+Poussee)/m*COS(M644)-U644/m*SIN(M644))</f>
        <v>-0.7281321225741364</v>
      </c>
      <c r="E645" s="307">
        <f t="shared" ref="E645:E708" ca="1" si="299">IF(AND(L644&lt;L_rampe,Poussee&lt;Poids*SIN(M644)),0,(-W644+Poussee)/m*SIN(M644)+U644/m*COS(M644)-Poids/m)</f>
        <v>-2.2027767835254126</v>
      </c>
      <c r="F645" s="304">
        <f t="shared" ref="F645:F708" ca="1" si="300">SQRT(acc_x^2+acc_z^2)</f>
        <v>2.320000419388514</v>
      </c>
      <c r="G645" s="306">
        <f t="shared" ref="G645:G708" ca="1" si="301">G644+acc_x*pas</f>
        <v>12.450825227857635</v>
      </c>
      <c r="H645" s="307">
        <f t="shared" ref="H645:H708" ca="1" si="302">H644+acc_z*pas</f>
        <v>-130.08205255440359</v>
      </c>
      <c r="I645" s="304">
        <f t="shared" ref="I645:I708" ca="1" si="303">SQRT(vit_x^2+vit_z^2)</f>
        <v>130.67656042925705</v>
      </c>
      <c r="J645" s="306">
        <f t="shared" ref="J645:J708" ca="1" si="304">J644+0.5*(vit_x+G644)*pas*(K644&gt;=0)</f>
        <v>889.84792314375909</v>
      </c>
      <c r="K645" s="307">
        <f t="shared" ref="K645:K708" ca="1" si="305">K644+0.5*(vit_z+H644)*pas</f>
        <v>-8.1421571732296467</v>
      </c>
      <c r="L645" s="304">
        <f t="shared" ca="1" si="290"/>
        <v>889.88517295586792</v>
      </c>
      <c r="M645" s="306">
        <f t="shared" ref="M645:M708" ca="1" si="306">IF(AND(L644&gt;L_rampe,G645&gt;0),ATAN2(G645,H645),$M$4)</f>
        <v>-1.47537185948706</v>
      </c>
      <c r="N645" s="304">
        <f t="shared" ref="N645:N708" ca="1" si="307">DEGREES(Beta)</f>
        <v>-84.532580760976856</v>
      </c>
      <c r="P645" s="310">
        <f t="shared" ref="P645:P708" ca="1" si="308">MATCH(t-pas/2-T_ini,CdP_t)</f>
        <v>23</v>
      </c>
      <c r="Q645" s="304">
        <f t="shared" ref="Q645:Q708" ca="1" si="309">(INDEX(CdP,2,i_P+1)-INDEX(CdP,2,i_P+0))/(INDEX(CdP,1,i_P+1)-INDEX(CdP,1,i_P+0))*(t-pas/2-T_ini-INDEX(CdP,1,i_P+0))+INDEX(CdP,2,i_P+0)</f>
        <v>0</v>
      </c>
      <c r="R645" s="306">
        <f t="shared" ref="R645:R708" ca="1" si="310">Poussee/(g*ISP)</f>
        <v>0</v>
      </c>
      <c r="S645" s="307">
        <f t="shared" ref="S645:S708" ca="1" si="311">S644-Débit*pas</f>
        <v>7.150000000000003</v>
      </c>
      <c r="T645" s="304">
        <f t="shared" ca="1" si="291"/>
        <v>70.141500000000036</v>
      </c>
      <c r="U645" s="311">
        <f t="shared" ca="1" si="292"/>
        <v>0</v>
      </c>
      <c r="V645" s="306">
        <f t="shared" ca="1" si="293"/>
        <v>1.225997820474277</v>
      </c>
      <c r="W645" s="304">
        <f t="shared" ca="1" si="294"/>
        <v>54.640481964125861</v>
      </c>
      <c r="Y645" s="314" t="str">
        <f t="shared" ref="Y645:Y708" ca="1" si="312">IF(AND(pos_z&lt;=0,K644&gt;0),"Impact balistique","") &amp; IF(AND(H646&lt;0,vit_z&gt;=0),"Apogée","") &amp; IF(AND(Poussee=0,Q644&gt;0),"Fin de propulsion","") &amp; IF(AND(L646&gt;L_rampe,pos_xz&lt;=L_rampe),"Sortie de rampe","")</f>
        <v/>
      </c>
      <c r="Z645" s="315" t="str">
        <f t="shared" ref="Z645:Z708" ca="1" si="313">IF(ABS(t-T_para)&lt;pas/2,"Para","")</f>
        <v/>
      </c>
      <c r="AA645" s="316" t="str">
        <f t="shared" ref="AA645:AA708" ca="1" si="314">IF(ABS(t-T_satellite)&lt;pas/2,"Satellite","")</f>
        <v/>
      </c>
      <c r="AC645" s="310" t="e">
        <f t="shared" ref="AC645:AC708" ca="1" si="315">IF(ABS(t-ROUND(t,0))&lt;0.001,t,NA())</f>
        <v>#N/A</v>
      </c>
      <c r="AD645" s="323" t="e">
        <f t="shared" ref="AD645:AD708" ca="1" si="316">IF(ABS(t-ROUND(t,0))&lt;0.001,pos_x,NA())</f>
        <v>#N/A</v>
      </c>
      <c r="AE645" s="324" t="e">
        <f t="shared" ca="1" si="295"/>
        <v>#N/A</v>
      </c>
      <c r="AG645" s="306">
        <f t="shared" ref="AG645:AG708" ca="1" si="317">IF(AND(L644&lt;L_rampe,Poussee&lt;Poids*SIN(M644)),0,(-W644+Poussee)/m-Poids*SIN(M644)/m)</f>
        <v>2.1233784486002527</v>
      </c>
      <c r="AH645" s="304">
        <f t="shared" ref="AH645:AH708" ca="1" si="318">IF(AND(L644&lt;L_rampe,Poussee&lt;Poids*SIN(M644)), g*SIN(M644), (-W644+Poussee)/m)</f>
        <v>-7.6419906734563803</v>
      </c>
    </row>
    <row r="646" spans="1:34" x14ac:dyDescent="0.2">
      <c r="A646" s="347">
        <f t="shared" ca="1" si="296"/>
        <v>1E-4</v>
      </c>
      <c r="B646" s="304">
        <f t="shared" ca="1" si="297"/>
        <v>36.709500000000567</v>
      </c>
      <c r="D646" s="306">
        <f t="shared" ca="1" si="298"/>
        <v>-0.72812999474702678</v>
      </c>
      <c r="E646" s="307">
        <f t="shared" ca="1" si="299"/>
        <v>-2.2027416448509731</v>
      </c>
      <c r="F646" s="304">
        <f t="shared" ca="1" si="300"/>
        <v>2.3199663883795978</v>
      </c>
      <c r="G646" s="306">
        <f t="shared" ca="1" si="301"/>
        <v>12.45075241485816</v>
      </c>
      <c r="H646" s="307">
        <f t="shared" ca="1" si="302"/>
        <v>-130.08227282856808</v>
      </c>
      <c r="I646" s="304">
        <f t="shared" ca="1" si="303"/>
        <v>130.67677276372461</v>
      </c>
      <c r="J646" s="306">
        <f t="shared" ca="1" si="304"/>
        <v>889.84792314375909</v>
      </c>
      <c r="K646" s="307">
        <f t="shared" ca="1" si="305"/>
        <v>-8.1551653894987961</v>
      </c>
      <c r="L646" s="304">
        <f t="shared" ca="1" si="290"/>
        <v>889.88529207184422</v>
      </c>
      <c r="M646" s="306">
        <f t="shared" ca="1" si="306"/>
        <v>-1.4753725747587711</v>
      </c>
      <c r="N646" s="304">
        <f t="shared" ca="1" si="307"/>
        <v>-84.532621743027121</v>
      </c>
      <c r="P646" s="310">
        <f t="shared" ca="1" si="308"/>
        <v>23</v>
      </c>
      <c r="Q646" s="304">
        <f t="shared" ca="1" si="309"/>
        <v>0</v>
      </c>
      <c r="R646" s="306">
        <f t="shared" ca="1" si="310"/>
        <v>0</v>
      </c>
      <c r="S646" s="307">
        <f t="shared" ca="1" si="311"/>
        <v>7.150000000000003</v>
      </c>
      <c r="T646" s="304">
        <f t="shared" ca="1" si="291"/>
        <v>70.141500000000036</v>
      </c>
      <c r="U646" s="311">
        <f t="shared" ca="1" si="292"/>
        <v>0</v>
      </c>
      <c r="V646" s="306">
        <f t="shared" ca="1" si="293"/>
        <v>1.2259994152800588</v>
      </c>
      <c r="W646" s="304">
        <f t="shared" ca="1" si="294"/>
        <v>54.640730611149678</v>
      </c>
      <c r="Y646" s="314" t="str">
        <f t="shared" ca="1" si="312"/>
        <v/>
      </c>
      <c r="Z646" s="315" t="str">
        <f t="shared" ca="1" si="313"/>
        <v/>
      </c>
      <c r="AA646" s="316" t="str">
        <f t="shared" ca="1" si="314"/>
        <v/>
      </c>
      <c r="AC646" s="310" t="e">
        <f t="shared" ca="1" si="315"/>
        <v>#N/A</v>
      </c>
      <c r="AD646" s="323" t="e">
        <f t="shared" ca="1" si="316"/>
        <v>#N/A</v>
      </c>
      <c r="AE646" s="324" t="e">
        <f t="shared" ca="1" si="295"/>
        <v>#N/A</v>
      </c>
      <c r="AG646" s="306">
        <f t="shared" ca="1" si="317"/>
        <v>2.1233443410972948</v>
      </c>
      <c r="AH646" s="304">
        <f t="shared" ca="1" si="318"/>
        <v>-7.6420254495280888</v>
      </c>
    </row>
    <row r="647" spans="1:34" x14ac:dyDescent="0.2">
      <c r="A647" s="347">
        <f t="shared" ca="1" si="296"/>
        <v>1E-4</v>
      </c>
      <c r="B647" s="304">
        <f t="shared" ca="1" si="297"/>
        <v>36.70960000000057</v>
      </c>
      <c r="D647" s="306">
        <f t="shared" ca="1" si="298"/>
        <v>-0.72812786689435338</v>
      </c>
      <c r="E647" s="307">
        <f t="shared" ca="1" si="299"/>
        <v>-2.2027065064434037</v>
      </c>
      <c r="F647" s="304">
        <f t="shared" ca="1" si="300"/>
        <v>2.3199323576510213</v>
      </c>
      <c r="G647" s="306">
        <f t="shared" ca="1" si="301"/>
        <v>12.450679602071471</v>
      </c>
      <c r="H647" s="307">
        <f t="shared" ca="1" si="302"/>
        <v>-130.08249309921874</v>
      </c>
      <c r="I647" s="304">
        <f t="shared" ca="1" si="303"/>
        <v>130.67698509478146</v>
      </c>
      <c r="J647" s="306">
        <f t="shared" ca="1" si="304"/>
        <v>889.84792314375909</v>
      </c>
      <c r="K647" s="307">
        <f t="shared" ca="1" si="305"/>
        <v>-8.168173627795186</v>
      </c>
      <c r="L647" s="304">
        <f t="shared" ca="1" si="290"/>
        <v>889.88541137815889</v>
      </c>
      <c r="M647" s="306">
        <f t="shared" ca="1" si="306"/>
        <v>-1.4753732900239749</v>
      </c>
      <c r="N647" s="304">
        <f t="shared" ca="1" si="307"/>
        <v>-84.532662724704522</v>
      </c>
      <c r="P647" s="310">
        <f t="shared" ca="1" si="308"/>
        <v>23</v>
      </c>
      <c r="Q647" s="304">
        <f t="shared" ca="1" si="309"/>
        <v>0</v>
      </c>
      <c r="R647" s="306">
        <f t="shared" ca="1" si="310"/>
        <v>0</v>
      </c>
      <c r="S647" s="307">
        <f t="shared" ca="1" si="311"/>
        <v>7.150000000000003</v>
      </c>
      <c r="T647" s="304">
        <f t="shared" ca="1" si="291"/>
        <v>70.141500000000036</v>
      </c>
      <c r="U647" s="311">
        <f t="shared" ca="1" si="292"/>
        <v>0</v>
      </c>
      <c r="V647" s="306">
        <f t="shared" ca="1" si="293"/>
        <v>1.2260010100906162</v>
      </c>
      <c r="W647" s="304">
        <f t="shared" ca="1" si="294"/>
        <v>54.640979256284545</v>
      </c>
      <c r="Y647" s="314" t="str">
        <f t="shared" ca="1" si="312"/>
        <v/>
      </c>
      <c r="Z647" s="315" t="str">
        <f t="shared" ca="1" si="313"/>
        <v/>
      </c>
      <c r="AA647" s="316" t="str">
        <f t="shared" ca="1" si="314"/>
        <v/>
      </c>
      <c r="AC647" s="310" t="e">
        <f t="shared" ca="1" si="315"/>
        <v>#N/A</v>
      </c>
      <c r="AD647" s="323" t="e">
        <f t="shared" ca="1" si="316"/>
        <v>#N/A</v>
      </c>
      <c r="AE647" s="324" t="e">
        <f t="shared" ca="1" si="295"/>
        <v>#N/A</v>
      </c>
      <c r="AG647" s="306">
        <f t="shared" ca="1" si="317"/>
        <v>2.1233102338474374</v>
      </c>
      <c r="AH647" s="304">
        <f t="shared" ca="1" si="318"/>
        <v>-7.6420602253356158</v>
      </c>
    </row>
    <row r="648" spans="1:34" x14ac:dyDescent="0.2">
      <c r="A648" s="347">
        <f t="shared" ca="1" si="296"/>
        <v>1E-4</v>
      </c>
      <c r="B648" s="304">
        <f t="shared" ca="1" si="297"/>
        <v>36.709700000000574</v>
      </c>
      <c r="D648" s="306">
        <f t="shared" ca="1" si="298"/>
        <v>-0.72812573901611832</v>
      </c>
      <c r="E648" s="307">
        <f t="shared" ca="1" si="299"/>
        <v>-2.2026713683027124</v>
      </c>
      <c r="F648" s="304">
        <f t="shared" ca="1" si="300"/>
        <v>2.3198983272027918</v>
      </c>
      <c r="G648" s="306">
        <f t="shared" ca="1" si="301"/>
        <v>12.45060678949757</v>
      </c>
      <c r="H648" s="307">
        <f t="shared" ca="1" si="302"/>
        <v>-130.08271336635556</v>
      </c>
      <c r="I648" s="304">
        <f t="shared" ca="1" si="303"/>
        <v>130.67719742242753</v>
      </c>
      <c r="J648" s="306">
        <f t="shared" ca="1" si="304"/>
        <v>889.84792314375909</v>
      </c>
      <c r="K648" s="307">
        <f t="shared" ca="1" si="305"/>
        <v>-8.1811818881184646</v>
      </c>
      <c r="L648" s="304">
        <f t="shared" ca="1" si="290"/>
        <v>889.88553087481307</v>
      </c>
      <c r="M648" s="306">
        <f t="shared" ca="1" si="306"/>
        <v>-1.4753740052826714</v>
      </c>
      <c r="N648" s="304">
        <f t="shared" ca="1" si="307"/>
        <v>-84.532703706009087</v>
      </c>
      <c r="P648" s="310">
        <f t="shared" ca="1" si="308"/>
        <v>23</v>
      </c>
      <c r="Q648" s="304">
        <f t="shared" ca="1" si="309"/>
        <v>0</v>
      </c>
      <c r="R648" s="306">
        <f t="shared" ca="1" si="310"/>
        <v>0</v>
      </c>
      <c r="S648" s="307">
        <f t="shared" ca="1" si="311"/>
        <v>7.150000000000003</v>
      </c>
      <c r="T648" s="304">
        <f t="shared" ca="1" si="291"/>
        <v>70.141500000000036</v>
      </c>
      <c r="U648" s="311">
        <f t="shared" ca="1" si="292"/>
        <v>0</v>
      </c>
      <c r="V648" s="306">
        <f t="shared" ca="1" si="293"/>
        <v>1.2260026049059494</v>
      </c>
      <c r="W648" s="304">
        <f t="shared" ca="1" si="294"/>
        <v>54.641227899530378</v>
      </c>
      <c r="Y648" s="314" t="str">
        <f t="shared" ca="1" si="312"/>
        <v/>
      </c>
      <c r="Z648" s="315" t="str">
        <f t="shared" ca="1" si="313"/>
        <v/>
      </c>
      <c r="AA648" s="316" t="str">
        <f t="shared" ca="1" si="314"/>
        <v/>
      </c>
      <c r="AC648" s="310" t="e">
        <f t="shared" ca="1" si="315"/>
        <v>#N/A</v>
      </c>
      <c r="AD648" s="323" t="e">
        <f t="shared" ca="1" si="316"/>
        <v>#N/A</v>
      </c>
      <c r="AE648" s="324" t="e">
        <f t="shared" ca="1" si="295"/>
        <v>#N/A</v>
      </c>
      <c r="AG648" s="306">
        <f t="shared" ca="1" si="317"/>
        <v>2.1232761268506932</v>
      </c>
      <c r="AH648" s="304">
        <f t="shared" ca="1" si="318"/>
        <v>-7.6420950008789541</v>
      </c>
    </row>
    <row r="649" spans="1:34" x14ac:dyDescent="0.2">
      <c r="A649" s="347">
        <f t="shared" ca="1" si="296"/>
        <v>1E-4</v>
      </c>
      <c r="B649" s="304">
        <f t="shared" ca="1" si="297"/>
        <v>36.709800000000577</v>
      </c>
      <c r="D649" s="306">
        <f t="shared" ca="1" si="298"/>
        <v>-0.72812361111232016</v>
      </c>
      <c r="E649" s="307">
        <f t="shared" ca="1" si="299"/>
        <v>-2.2026362304289098</v>
      </c>
      <c r="F649" s="304">
        <f t="shared" ca="1" si="300"/>
        <v>2.3198642970349197</v>
      </c>
      <c r="G649" s="306">
        <f t="shared" ca="1" si="301"/>
        <v>12.450533977136459</v>
      </c>
      <c r="H649" s="307">
        <f t="shared" ca="1" si="302"/>
        <v>-130.08293362997861</v>
      </c>
      <c r="I649" s="304">
        <f t="shared" ca="1" si="303"/>
        <v>130.67740974666299</v>
      </c>
      <c r="J649" s="306">
        <f t="shared" ca="1" si="304"/>
        <v>889.84792314375909</v>
      </c>
      <c r="K649" s="307">
        <f t="shared" ca="1" si="305"/>
        <v>-8.194190170468282</v>
      </c>
      <c r="L649" s="304">
        <f t="shared" ca="1" si="290"/>
        <v>889.88565056180744</v>
      </c>
      <c r="M649" s="306">
        <f t="shared" ca="1" si="306"/>
        <v>-1.4753747205348606</v>
      </c>
      <c r="N649" s="304">
        <f t="shared" ca="1" si="307"/>
        <v>-84.532744686940831</v>
      </c>
      <c r="P649" s="310">
        <f t="shared" ca="1" si="308"/>
        <v>23</v>
      </c>
      <c r="Q649" s="304">
        <f t="shared" ca="1" si="309"/>
        <v>0</v>
      </c>
      <c r="R649" s="306">
        <f t="shared" ca="1" si="310"/>
        <v>0</v>
      </c>
      <c r="S649" s="307">
        <f t="shared" ca="1" si="311"/>
        <v>7.150000000000003</v>
      </c>
      <c r="T649" s="304">
        <f t="shared" ca="1" si="291"/>
        <v>70.141500000000036</v>
      </c>
      <c r="U649" s="311">
        <f t="shared" ca="1" si="292"/>
        <v>0</v>
      </c>
      <c r="V649" s="306">
        <f t="shared" ca="1" si="293"/>
        <v>1.2260041997260585</v>
      </c>
      <c r="W649" s="304">
        <f t="shared" ca="1" si="294"/>
        <v>54.641476540887332</v>
      </c>
      <c r="Y649" s="314" t="str">
        <f t="shared" ca="1" si="312"/>
        <v/>
      </c>
      <c r="Z649" s="315" t="str">
        <f t="shared" ca="1" si="313"/>
        <v/>
      </c>
      <c r="AA649" s="316" t="str">
        <f t="shared" ca="1" si="314"/>
        <v/>
      </c>
      <c r="AC649" s="310" t="e">
        <f t="shared" ca="1" si="315"/>
        <v>#N/A</v>
      </c>
      <c r="AD649" s="323" t="e">
        <f t="shared" ca="1" si="316"/>
        <v>#N/A</v>
      </c>
      <c r="AE649" s="324" t="e">
        <f t="shared" ca="1" si="295"/>
        <v>#N/A</v>
      </c>
      <c r="AG649" s="306">
        <f t="shared" ca="1" si="317"/>
        <v>2.1232420201070674</v>
      </c>
      <c r="AH649" s="304">
        <f t="shared" ca="1" si="318"/>
        <v>-7.6421297761580913</v>
      </c>
    </row>
    <row r="650" spans="1:34" x14ac:dyDescent="0.2">
      <c r="A650" s="347">
        <f t="shared" ca="1" si="296"/>
        <v>1E-4</v>
      </c>
      <c r="B650" s="304">
        <f t="shared" ca="1" si="297"/>
        <v>36.70990000000058</v>
      </c>
      <c r="D650" s="306">
        <f t="shared" ca="1" si="298"/>
        <v>-0.72812148318296233</v>
      </c>
      <c r="E650" s="307">
        <f t="shared" ca="1" si="299"/>
        <v>-2.2026010928219737</v>
      </c>
      <c r="F650" s="304">
        <f t="shared" ca="1" si="300"/>
        <v>2.3198302671473856</v>
      </c>
      <c r="G650" s="306">
        <f t="shared" ca="1" si="301"/>
        <v>12.450461164988141</v>
      </c>
      <c r="H650" s="307">
        <f t="shared" ca="1" si="302"/>
        <v>-130.08315389008789</v>
      </c>
      <c r="I650" s="304">
        <f t="shared" ca="1" si="303"/>
        <v>130.67762206748776</v>
      </c>
      <c r="J650" s="306">
        <f t="shared" ca="1" si="304"/>
        <v>889.84792314375909</v>
      </c>
      <c r="K650" s="307">
        <f t="shared" ca="1" si="305"/>
        <v>-8.2071984748442848</v>
      </c>
      <c r="L650" s="304">
        <f t="shared" ca="1" si="290"/>
        <v>889.8857704391429</v>
      </c>
      <c r="M650" s="306">
        <f t="shared" ca="1" si="306"/>
        <v>-1.4753754357805429</v>
      </c>
      <c r="N650" s="304">
        <f t="shared" ca="1" si="307"/>
        <v>-84.532785667499738</v>
      </c>
      <c r="P650" s="310">
        <f t="shared" ca="1" si="308"/>
        <v>23</v>
      </c>
      <c r="Q650" s="304">
        <f t="shared" ca="1" si="309"/>
        <v>0</v>
      </c>
      <c r="R650" s="306">
        <f t="shared" ca="1" si="310"/>
        <v>0</v>
      </c>
      <c r="S650" s="307">
        <f t="shared" ca="1" si="311"/>
        <v>7.150000000000003</v>
      </c>
      <c r="T650" s="304">
        <f t="shared" ca="1" si="291"/>
        <v>70.141500000000036</v>
      </c>
      <c r="U650" s="311">
        <f t="shared" ca="1" si="292"/>
        <v>0</v>
      </c>
      <c r="V650" s="306">
        <f t="shared" ca="1" si="293"/>
        <v>1.2260057945509437</v>
      </c>
      <c r="W650" s="304">
        <f t="shared" ca="1" si="294"/>
        <v>54.641725180355309</v>
      </c>
      <c r="Y650" s="314" t="str">
        <f t="shared" ca="1" si="312"/>
        <v/>
      </c>
      <c r="Z650" s="315" t="str">
        <f t="shared" ca="1" si="313"/>
        <v/>
      </c>
      <c r="AA650" s="316" t="str">
        <f t="shared" ca="1" si="314"/>
        <v/>
      </c>
      <c r="AC650" s="310" t="e">
        <f t="shared" ca="1" si="315"/>
        <v>#N/A</v>
      </c>
      <c r="AD650" s="323" t="e">
        <f t="shared" ca="1" si="316"/>
        <v>#N/A</v>
      </c>
      <c r="AE650" s="324" t="e">
        <f t="shared" ca="1" si="295"/>
        <v>#N/A</v>
      </c>
      <c r="AG650" s="306">
        <f t="shared" ca="1" si="317"/>
        <v>2.1232079136165458</v>
      </c>
      <c r="AH650" s="304">
        <f t="shared" ca="1" si="318"/>
        <v>-7.6421645511730505</v>
      </c>
    </row>
    <row r="651" spans="1:34" x14ac:dyDescent="0.2">
      <c r="A651" s="347">
        <f t="shared" ca="1" si="296"/>
        <v>1E-4</v>
      </c>
      <c r="B651" s="304">
        <f t="shared" ca="1" si="297"/>
        <v>36.710000000000583</v>
      </c>
      <c r="D651" s="306">
        <f t="shared" ca="1" si="298"/>
        <v>-0.72811935522804283</v>
      </c>
      <c r="E651" s="307">
        <f t="shared" ca="1" si="299"/>
        <v>-2.2025659554819192</v>
      </c>
      <c r="F651" s="304">
        <f t="shared" ca="1" si="300"/>
        <v>2.3197962375402028</v>
      </c>
      <c r="G651" s="306">
        <f t="shared" ca="1" si="301"/>
        <v>12.450388353052618</v>
      </c>
      <c r="H651" s="307">
        <f t="shared" ca="1" si="302"/>
        <v>-130.08337414668344</v>
      </c>
      <c r="I651" s="304">
        <f t="shared" ca="1" si="303"/>
        <v>130.67783438490193</v>
      </c>
      <c r="J651" s="306">
        <f t="shared" ca="1" si="304"/>
        <v>889.84792314375909</v>
      </c>
      <c r="K651" s="307">
        <f t="shared" ca="1" si="305"/>
        <v>-8.2202068012461229</v>
      </c>
      <c r="L651" s="304">
        <f t="shared" ca="1" si="290"/>
        <v>889.88589050682026</v>
      </c>
      <c r="M651" s="306">
        <f t="shared" ca="1" si="306"/>
        <v>-1.4753761510197181</v>
      </c>
      <c r="N651" s="304">
        <f t="shared" ca="1" si="307"/>
        <v>-84.532826647685809</v>
      </c>
      <c r="P651" s="310">
        <f t="shared" ca="1" si="308"/>
        <v>23</v>
      </c>
      <c r="Q651" s="304">
        <f t="shared" ca="1" si="309"/>
        <v>0</v>
      </c>
      <c r="R651" s="306">
        <f t="shared" ca="1" si="310"/>
        <v>0</v>
      </c>
      <c r="S651" s="307">
        <f t="shared" ca="1" si="311"/>
        <v>7.150000000000003</v>
      </c>
      <c r="T651" s="304">
        <f t="shared" ca="1" si="291"/>
        <v>70.141500000000036</v>
      </c>
      <c r="U651" s="311">
        <f t="shared" ca="1" si="292"/>
        <v>0</v>
      </c>
      <c r="V651" s="306">
        <f t="shared" ca="1" si="293"/>
        <v>1.2260073893806045</v>
      </c>
      <c r="W651" s="304">
        <f t="shared" ca="1" si="294"/>
        <v>54.641973817934336</v>
      </c>
      <c r="Y651" s="314" t="str">
        <f t="shared" ca="1" si="312"/>
        <v/>
      </c>
      <c r="Z651" s="315" t="str">
        <f t="shared" ca="1" si="313"/>
        <v/>
      </c>
      <c r="AA651" s="316" t="str">
        <f t="shared" ca="1" si="314"/>
        <v/>
      </c>
      <c r="AC651" s="310" t="e">
        <f t="shared" ca="1" si="315"/>
        <v>#N/A</v>
      </c>
      <c r="AD651" s="323" t="e">
        <f t="shared" ca="1" si="316"/>
        <v>#N/A</v>
      </c>
      <c r="AE651" s="324" t="e">
        <f t="shared" ca="1" si="295"/>
        <v>#N/A</v>
      </c>
      <c r="AG651" s="306">
        <f t="shared" ca="1" si="317"/>
        <v>2.1231738073791364</v>
      </c>
      <c r="AH651" s="304">
        <f t="shared" ca="1" si="318"/>
        <v>-7.6421993259238166</v>
      </c>
    </row>
    <row r="652" spans="1:34" x14ac:dyDescent="0.2">
      <c r="A652" s="347">
        <f t="shared" ca="1" si="296"/>
        <v>1E-4</v>
      </c>
      <c r="B652" s="304">
        <f t="shared" ca="1" si="297"/>
        <v>36.710100000000587</v>
      </c>
      <c r="D652" s="306">
        <f t="shared" ca="1" si="298"/>
        <v>-0.72811722724756334</v>
      </c>
      <c r="E652" s="307">
        <f t="shared" ca="1" si="299"/>
        <v>-2.202530818408742</v>
      </c>
      <c r="F652" s="304">
        <f t="shared" ca="1" si="300"/>
        <v>2.3197622082133682</v>
      </c>
      <c r="G652" s="306">
        <f t="shared" ca="1" si="301"/>
        <v>12.450315541329894</v>
      </c>
      <c r="H652" s="307">
        <f t="shared" ca="1" si="302"/>
        <v>-130.08359439976527</v>
      </c>
      <c r="I652" s="304">
        <f t="shared" ca="1" si="303"/>
        <v>130.67804669890549</v>
      </c>
      <c r="J652" s="306">
        <f t="shared" ca="1" si="304"/>
        <v>889.84792314375909</v>
      </c>
      <c r="K652" s="307">
        <f t="shared" ca="1" si="305"/>
        <v>-8.2332151496734447</v>
      </c>
      <c r="L652" s="304">
        <f t="shared" ca="1" si="290"/>
        <v>889.88601076484065</v>
      </c>
      <c r="M652" s="306">
        <f t="shared" ca="1" si="306"/>
        <v>-1.4753768662523863</v>
      </c>
      <c r="N652" s="304">
        <f t="shared" ca="1" si="307"/>
        <v>-84.532867627499073</v>
      </c>
      <c r="P652" s="310">
        <f t="shared" ca="1" si="308"/>
        <v>23</v>
      </c>
      <c r="Q652" s="304">
        <f t="shared" ca="1" si="309"/>
        <v>0</v>
      </c>
      <c r="R652" s="306">
        <f t="shared" ca="1" si="310"/>
        <v>0</v>
      </c>
      <c r="S652" s="307">
        <f t="shared" ca="1" si="311"/>
        <v>7.150000000000003</v>
      </c>
      <c r="T652" s="304">
        <f t="shared" ca="1" si="291"/>
        <v>70.141500000000036</v>
      </c>
      <c r="U652" s="311">
        <f t="shared" ca="1" si="292"/>
        <v>0</v>
      </c>
      <c r="V652" s="306">
        <f t="shared" ca="1" si="293"/>
        <v>1.2260089842150415</v>
      </c>
      <c r="W652" s="304">
        <f t="shared" ca="1" si="294"/>
        <v>54.642222453624406</v>
      </c>
      <c r="Y652" s="314" t="str">
        <f t="shared" ca="1" si="312"/>
        <v/>
      </c>
      <c r="Z652" s="315" t="str">
        <f t="shared" ca="1" si="313"/>
        <v/>
      </c>
      <c r="AA652" s="316" t="str">
        <f t="shared" ca="1" si="314"/>
        <v/>
      </c>
      <c r="AC652" s="310" t="e">
        <f t="shared" ca="1" si="315"/>
        <v>#N/A</v>
      </c>
      <c r="AD652" s="323" t="e">
        <f t="shared" ca="1" si="316"/>
        <v>#N/A</v>
      </c>
      <c r="AE652" s="324" t="e">
        <f t="shared" ca="1" si="295"/>
        <v>#N/A</v>
      </c>
      <c r="AG652" s="306">
        <f t="shared" ca="1" si="317"/>
        <v>2.123139701394841</v>
      </c>
      <c r="AH652" s="304">
        <f t="shared" ca="1" si="318"/>
        <v>-7.6422341004103931</v>
      </c>
    </row>
    <row r="653" spans="1:34" x14ac:dyDescent="0.2">
      <c r="A653" s="347">
        <f t="shared" ca="1" si="296"/>
        <v>1E-4</v>
      </c>
      <c r="B653" s="304">
        <f t="shared" ca="1" si="297"/>
        <v>36.71020000000059</v>
      </c>
      <c r="D653" s="306">
        <f t="shared" ca="1" si="298"/>
        <v>-0.72811509924152495</v>
      </c>
      <c r="E653" s="307">
        <f t="shared" ca="1" si="299"/>
        <v>-2.2024956816024419</v>
      </c>
      <c r="F653" s="304">
        <f t="shared" ca="1" si="300"/>
        <v>2.3197281791668827</v>
      </c>
      <c r="G653" s="306">
        <f t="shared" ca="1" si="301"/>
        <v>12.450242729819971</v>
      </c>
      <c r="H653" s="307">
        <f t="shared" ca="1" si="302"/>
        <v>-130.08381464933345</v>
      </c>
      <c r="I653" s="304">
        <f t="shared" ca="1" si="303"/>
        <v>130.6782590094985</v>
      </c>
      <c r="J653" s="306">
        <f t="shared" ca="1" si="304"/>
        <v>889.84792314375909</v>
      </c>
      <c r="K653" s="307">
        <f t="shared" ca="1" si="305"/>
        <v>-8.2462235201259002</v>
      </c>
      <c r="L653" s="304">
        <f t="shared" ca="1" si="290"/>
        <v>889.88613121320486</v>
      </c>
      <c r="M653" s="306">
        <f t="shared" ca="1" si="306"/>
        <v>-1.4753775814785477</v>
      </c>
      <c r="N653" s="304">
        <f t="shared" ca="1" si="307"/>
        <v>-84.532908606939515</v>
      </c>
      <c r="P653" s="310">
        <f t="shared" ca="1" si="308"/>
        <v>23</v>
      </c>
      <c r="Q653" s="304">
        <f t="shared" ca="1" si="309"/>
        <v>0</v>
      </c>
      <c r="R653" s="306">
        <f t="shared" ca="1" si="310"/>
        <v>0</v>
      </c>
      <c r="S653" s="307">
        <f t="shared" ca="1" si="311"/>
        <v>7.150000000000003</v>
      </c>
      <c r="T653" s="304">
        <f t="shared" ca="1" si="291"/>
        <v>70.141500000000036</v>
      </c>
      <c r="U653" s="311">
        <f t="shared" ca="1" si="292"/>
        <v>0</v>
      </c>
      <c r="V653" s="306">
        <f t="shared" ca="1" si="293"/>
        <v>1.2260105790542541</v>
      </c>
      <c r="W653" s="304">
        <f t="shared" ca="1" si="294"/>
        <v>54.642471087425548</v>
      </c>
      <c r="Y653" s="314" t="str">
        <f t="shared" ca="1" si="312"/>
        <v/>
      </c>
      <c r="Z653" s="315" t="str">
        <f t="shared" ca="1" si="313"/>
        <v/>
      </c>
      <c r="AA653" s="316" t="str">
        <f t="shared" ca="1" si="314"/>
        <v/>
      </c>
      <c r="AC653" s="310" t="e">
        <f t="shared" ca="1" si="315"/>
        <v>#N/A</v>
      </c>
      <c r="AD653" s="323" t="e">
        <f t="shared" ca="1" si="316"/>
        <v>#N/A</v>
      </c>
      <c r="AE653" s="324" t="e">
        <f t="shared" ca="1" si="295"/>
        <v>#N/A</v>
      </c>
      <c r="AG653" s="306">
        <f t="shared" ca="1" si="317"/>
        <v>2.1231055956636586</v>
      </c>
      <c r="AH653" s="304">
        <f t="shared" ca="1" si="318"/>
        <v>-7.6422688746327809</v>
      </c>
    </row>
    <row r="654" spans="1:34" x14ac:dyDescent="0.2">
      <c r="A654" s="347">
        <f t="shared" ca="1" si="296"/>
        <v>1E-4</v>
      </c>
      <c r="B654" s="304">
        <f t="shared" ca="1" si="297"/>
        <v>36.710300000000593</v>
      </c>
      <c r="D654" s="306">
        <f t="shared" ca="1" si="298"/>
        <v>-0.72811297120992791</v>
      </c>
      <c r="E654" s="307">
        <f t="shared" ca="1" si="299"/>
        <v>-2.2024605450630172</v>
      </c>
      <c r="F654" s="304">
        <f t="shared" ca="1" si="300"/>
        <v>2.3196941504007444</v>
      </c>
      <c r="G654" s="306">
        <f t="shared" ca="1" si="301"/>
        <v>12.45016991852285</v>
      </c>
      <c r="H654" s="307">
        <f t="shared" ca="1" si="302"/>
        <v>-130.08403489538796</v>
      </c>
      <c r="I654" s="304">
        <f t="shared" ca="1" si="303"/>
        <v>130.67847131668094</v>
      </c>
      <c r="J654" s="306">
        <f t="shared" ca="1" si="304"/>
        <v>889.84792314375909</v>
      </c>
      <c r="K654" s="307">
        <f t="shared" ca="1" si="305"/>
        <v>-8.2592319126031359</v>
      </c>
      <c r="L654" s="304">
        <f t="shared" ca="1" si="290"/>
        <v>889.8862518519137</v>
      </c>
      <c r="M654" s="306">
        <f t="shared" ca="1" si="306"/>
        <v>-1.4753782966982023</v>
      </c>
      <c r="N654" s="304">
        <f t="shared" ca="1" si="307"/>
        <v>-84.532949586007149</v>
      </c>
      <c r="P654" s="310">
        <f t="shared" ca="1" si="308"/>
        <v>23</v>
      </c>
      <c r="Q654" s="304">
        <f t="shared" ca="1" si="309"/>
        <v>0</v>
      </c>
      <c r="R654" s="306">
        <f t="shared" ca="1" si="310"/>
        <v>0</v>
      </c>
      <c r="S654" s="307">
        <f t="shared" ca="1" si="311"/>
        <v>7.150000000000003</v>
      </c>
      <c r="T654" s="304">
        <f t="shared" ca="1" si="291"/>
        <v>70.141500000000036</v>
      </c>
      <c r="U654" s="311">
        <f t="shared" ca="1" si="292"/>
        <v>0</v>
      </c>
      <c r="V654" s="306">
        <f t="shared" ca="1" si="293"/>
        <v>1.2260121738982419</v>
      </c>
      <c r="W654" s="304">
        <f t="shared" ca="1" si="294"/>
        <v>54.642719719337677</v>
      </c>
      <c r="Y654" s="314" t="str">
        <f t="shared" ca="1" si="312"/>
        <v/>
      </c>
      <c r="Z654" s="315" t="str">
        <f t="shared" ca="1" si="313"/>
        <v/>
      </c>
      <c r="AA654" s="316" t="str">
        <f t="shared" ca="1" si="314"/>
        <v/>
      </c>
      <c r="AC654" s="310" t="e">
        <f t="shared" ca="1" si="315"/>
        <v>#N/A</v>
      </c>
      <c r="AD654" s="323" t="e">
        <f t="shared" ca="1" si="316"/>
        <v>#N/A</v>
      </c>
      <c r="AE654" s="324" t="e">
        <f t="shared" ca="1" si="295"/>
        <v>#N/A</v>
      </c>
      <c r="AG654" s="306">
        <f t="shared" ca="1" si="317"/>
        <v>2.1230714901855814</v>
      </c>
      <c r="AH654" s="304">
        <f t="shared" ca="1" si="318"/>
        <v>-7.6423036485909828</v>
      </c>
    </row>
    <row r="655" spans="1:34" x14ac:dyDescent="0.2">
      <c r="A655" s="347">
        <f t="shared" ca="1" si="296"/>
        <v>1E-4</v>
      </c>
      <c r="B655" s="304">
        <f t="shared" ca="1" si="297"/>
        <v>36.710400000000597</v>
      </c>
      <c r="D655" s="306">
        <f t="shared" ca="1" si="298"/>
        <v>-0.72811084315277208</v>
      </c>
      <c r="E655" s="307">
        <f t="shared" ca="1" si="299"/>
        <v>-2.2024254087904787</v>
      </c>
      <c r="F655" s="304">
        <f t="shared" ca="1" si="300"/>
        <v>2.3196601219149642</v>
      </c>
      <c r="G655" s="306">
        <f t="shared" ca="1" si="301"/>
        <v>12.450097107438534</v>
      </c>
      <c r="H655" s="307">
        <f t="shared" ca="1" si="302"/>
        <v>-130.08425513792884</v>
      </c>
      <c r="I655" s="304">
        <f t="shared" ca="1" si="303"/>
        <v>130.67868362045286</v>
      </c>
      <c r="J655" s="306">
        <f t="shared" ca="1" si="304"/>
        <v>889.84792314375909</v>
      </c>
      <c r="K655" s="307">
        <f t="shared" ca="1" si="305"/>
        <v>-8.2722403271048019</v>
      </c>
      <c r="L655" s="304">
        <f t="shared" ca="1" si="290"/>
        <v>889.88637268096807</v>
      </c>
      <c r="M655" s="306">
        <f t="shared" ca="1" si="306"/>
        <v>-1.4753790119113503</v>
      </c>
      <c r="N655" s="304">
        <f t="shared" ca="1" si="307"/>
        <v>-84.53299056470199</v>
      </c>
      <c r="P655" s="310">
        <f t="shared" ca="1" si="308"/>
        <v>23</v>
      </c>
      <c r="Q655" s="304">
        <f t="shared" ca="1" si="309"/>
        <v>0</v>
      </c>
      <c r="R655" s="306">
        <f t="shared" ca="1" si="310"/>
        <v>0</v>
      </c>
      <c r="S655" s="307">
        <f t="shared" ca="1" si="311"/>
        <v>7.150000000000003</v>
      </c>
      <c r="T655" s="304">
        <f t="shared" ca="1" si="291"/>
        <v>70.141500000000036</v>
      </c>
      <c r="U655" s="311">
        <f t="shared" ca="1" si="292"/>
        <v>0</v>
      </c>
      <c r="V655" s="306">
        <f t="shared" ca="1" si="293"/>
        <v>1.2260137687470058</v>
      </c>
      <c r="W655" s="304">
        <f t="shared" ca="1" si="294"/>
        <v>54.642968349360864</v>
      </c>
      <c r="Y655" s="314" t="str">
        <f t="shared" ca="1" si="312"/>
        <v/>
      </c>
      <c r="Z655" s="315" t="str">
        <f t="shared" ca="1" si="313"/>
        <v/>
      </c>
      <c r="AA655" s="316" t="str">
        <f t="shared" ca="1" si="314"/>
        <v/>
      </c>
      <c r="AC655" s="310" t="e">
        <f t="shared" ca="1" si="315"/>
        <v>#N/A</v>
      </c>
      <c r="AD655" s="323" t="e">
        <f t="shared" ca="1" si="316"/>
        <v>#N/A</v>
      </c>
      <c r="AE655" s="324" t="e">
        <f t="shared" ca="1" si="295"/>
        <v>#N/A</v>
      </c>
      <c r="AG655" s="306">
        <f t="shared" ca="1" si="317"/>
        <v>2.123037384960627</v>
      </c>
      <c r="AH655" s="304">
        <f t="shared" ca="1" si="318"/>
        <v>-7.6423384222849862</v>
      </c>
    </row>
    <row r="656" spans="1:34" x14ac:dyDescent="0.2">
      <c r="A656" s="347">
        <f t="shared" ca="1" si="296"/>
        <v>1E-4</v>
      </c>
      <c r="B656" s="304">
        <f t="shared" ca="1" si="297"/>
        <v>36.7105000000006</v>
      </c>
      <c r="D656" s="306">
        <f t="shared" ca="1" si="298"/>
        <v>-0.72810871507005803</v>
      </c>
      <c r="E656" s="307">
        <f t="shared" ca="1" si="299"/>
        <v>-2.2023902727848146</v>
      </c>
      <c r="F656" s="304">
        <f t="shared" ca="1" si="300"/>
        <v>2.3196260937095317</v>
      </c>
      <c r="G656" s="306">
        <f t="shared" ca="1" si="301"/>
        <v>12.450024296567028</v>
      </c>
      <c r="H656" s="307">
        <f t="shared" ca="1" si="302"/>
        <v>-130.08447537695611</v>
      </c>
      <c r="I656" s="304">
        <f t="shared" ca="1" si="303"/>
        <v>130.67889592081428</v>
      </c>
      <c r="J656" s="306">
        <f t="shared" ca="1" si="304"/>
        <v>889.84792314375909</v>
      </c>
      <c r="K656" s="307">
        <f t="shared" ca="1" si="305"/>
        <v>-8.2852487636305465</v>
      </c>
      <c r="L656" s="304">
        <f t="shared" ca="1" si="290"/>
        <v>889.88649370036887</v>
      </c>
      <c r="M656" s="306">
        <f t="shared" ca="1" si="306"/>
        <v>-1.4753797271179916</v>
      </c>
      <c r="N656" s="304">
        <f t="shared" ca="1" si="307"/>
        <v>-84.533031543024009</v>
      </c>
      <c r="P656" s="310">
        <f t="shared" ca="1" si="308"/>
        <v>23</v>
      </c>
      <c r="Q656" s="304">
        <f t="shared" ca="1" si="309"/>
        <v>0</v>
      </c>
      <c r="R656" s="306">
        <f t="shared" ca="1" si="310"/>
        <v>0</v>
      </c>
      <c r="S656" s="307">
        <f t="shared" ca="1" si="311"/>
        <v>7.150000000000003</v>
      </c>
      <c r="T656" s="304">
        <f t="shared" ca="1" si="291"/>
        <v>70.141500000000036</v>
      </c>
      <c r="U656" s="311">
        <f t="shared" ca="1" si="292"/>
        <v>0</v>
      </c>
      <c r="V656" s="306">
        <f t="shared" ca="1" si="293"/>
        <v>1.2260153636005455</v>
      </c>
      <c r="W656" s="304">
        <f t="shared" ca="1" si="294"/>
        <v>54.643216977495094</v>
      </c>
      <c r="Y656" s="314" t="str">
        <f t="shared" ca="1" si="312"/>
        <v/>
      </c>
      <c r="Z656" s="315" t="str">
        <f t="shared" ca="1" si="313"/>
        <v/>
      </c>
      <c r="AA656" s="316" t="str">
        <f t="shared" ca="1" si="314"/>
        <v/>
      </c>
      <c r="AC656" s="310" t="e">
        <f t="shared" ca="1" si="315"/>
        <v>#N/A</v>
      </c>
      <c r="AD656" s="323" t="e">
        <f t="shared" ca="1" si="316"/>
        <v>#N/A</v>
      </c>
      <c r="AE656" s="324" t="e">
        <f t="shared" ca="1" si="295"/>
        <v>#N/A</v>
      </c>
      <c r="AG656" s="306">
        <f t="shared" ca="1" si="317"/>
        <v>2.1230032799887839</v>
      </c>
      <c r="AH656" s="304">
        <f t="shared" ca="1" si="318"/>
        <v>-7.6423731957148027</v>
      </c>
    </row>
    <row r="657" spans="1:34" x14ac:dyDescent="0.2">
      <c r="A657" s="347">
        <f t="shared" ca="1" si="296"/>
        <v>1E-4</v>
      </c>
      <c r="B657" s="304">
        <f t="shared" ca="1" si="297"/>
        <v>36.710600000000603</v>
      </c>
      <c r="D657" s="306">
        <f t="shared" ca="1" si="298"/>
        <v>-0.72810658696178854</v>
      </c>
      <c r="E657" s="307">
        <f t="shared" ca="1" si="299"/>
        <v>-2.2023551370460286</v>
      </c>
      <c r="F657" s="304">
        <f t="shared" ca="1" si="300"/>
        <v>2.3195920657844509</v>
      </c>
      <c r="G657" s="306">
        <f t="shared" ca="1" si="301"/>
        <v>12.449951485908331</v>
      </c>
      <c r="H657" s="307">
        <f t="shared" ca="1" si="302"/>
        <v>-130.0846956124698</v>
      </c>
      <c r="I657" s="304">
        <f t="shared" ca="1" si="303"/>
        <v>130.67910821776522</v>
      </c>
      <c r="J657" s="306">
        <f t="shared" ca="1" si="304"/>
        <v>889.84792314375909</v>
      </c>
      <c r="K657" s="307">
        <f t="shared" ca="1" si="305"/>
        <v>-8.2982572221800179</v>
      </c>
      <c r="L657" s="304">
        <f t="shared" ca="1" si="290"/>
        <v>889.88661491011703</v>
      </c>
      <c r="M657" s="306">
        <f t="shared" ca="1" si="306"/>
        <v>-1.4753804423181265</v>
      </c>
      <c r="N657" s="304">
        <f t="shared" ca="1" si="307"/>
        <v>-84.533072520973249</v>
      </c>
      <c r="P657" s="310">
        <f t="shared" ca="1" si="308"/>
        <v>23</v>
      </c>
      <c r="Q657" s="304">
        <f t="shared" ca="1" si="309"/>
        <v>0</v>
      </c>
      <c r="R657" s="306">
        <f t="shared" ca="1" si="310"/>
        <v>0</v>
      </c>
      <c r="S657" s="307">
        <f t="shared" ca="1" si="311"/>
        <v>7.150000000000003</v>
      </c>
      <c r="T657" s="304">
        <f t="shared" ca="1" si="291"/>
        <v>70.141500000000036</v>
      </c>
      <c r="U657" s="311">
        <f t="shared" ca="1" si="292"/>
        <v>0</v>
      </c>
      <c r="V657" s="306">
        <f t="shared" ca="1" si="293"/>
        <v>1.2260169584588612</v>
      </c>
      <c r="W657" s="304">
        <f t="shared" ca="1" si="294"/>
        <v>54.643465603740346</v>
      </c>
      <c r="Y657" s="314" t="str">
        <f t="shared" ca="1" si="312"/>
        <v/>
      </c>
      <c r="Z657" s="315" t="str">
        <f t="shared" ca="1" si="313"/>
        <v/>
      </c>
      <c r="AA657" s="316" t="str">
        <f t="shared" ca="1" si="314"/>
        <v/>
      </c>
      <c r="AC657" s="310" t="e">
        <f t="shared" ca="1" si="315"/>
        <v>#N/A</v>
      </c>
      <c r="AD657" s="323" t="e">
        <f t="shared" ca="1" si="316"/>
        <v>#N/A</v>
      </c>
      <c r="AE657" s="324" t="e">
        <f t="shared" ca="1" si="295"/>
        <v>#N/A</v>
      </c>
      <c r="AG657" s="306">
        <f t="shared" ca="1" si="317"/>
        <v>2.122969175270053</v>
      </c>
      <c r="AH657" s="304">
        <f t="shared" ca="1" si="318"/>
        <v>-7.6424079688804296</v>
      </c>
    </row>
    <row r="658" spans="1:34" x14ac:dyDescent="0.2">
      <c r="A658" s="347">
        <f t="shared" ca="1" si="296"/>
        <v>1E-4</v>
      </c>
      <c r="B658" s="304">
        <f t="shared" ca="1" si="297"/>
        <v>36.710700000000607</v>
      </c>
      <c r="D658" s="306">
        <f t="shared" ca="1" si="298"/>
        <v>-0.72810445882796104</v>
      </c>
      <c r="E658" s="307">
        <f t="shared" ca="1" si="299"/>
        <v>-2.2023200015741251</v>
      </c>
      <c r="F658" s="304">
        <f t="shared" ca="1" si="300"/>
        <v>2.3195580381397254</v>
      </c>
      <c r="G658" s="306">
        <f t="shared" ca="1" si="301"/>
        <v>12.449878675462449</v>
      </c>
      <c r="H658" s="307">
        <f t="shared" ca="1" si="302"/>
        <v>-130.08491584446995</v>
      </c>
      <c r="I658" s="304">
        <f t="shared" ca="1" si="303"/>
        <v>130.67932051130569</v>
      </c>
      <c r="J658" s="306">
        <f t="shared" ca="1" si="304"/>
        <v>889.84792314375909</v>
      </c>
      <c r="K658" s="307">
        <f t="shared" ca="1" si="305"/>
        <v>-8.3112657027528645</v>
      </c>
      <c r="L658" s="304">
        <f t="shared" ca="1" si="290"/>
        <v>889.88673631021334</v>
      </c>
      <c r="M658" s="306">
        <f t="shared" ca="1" si="306"/>
        <v>-1.475381157511755</v>
      </c>
      <c r="N658" s="304">
        <f t="shared" ca="1" si="307"/>
        <v>-84.533113498549696</v>
      </c>
      <c r="P658" s="310">
        <f t="shared" ca="1" si="308"/>
        <v>23</v>
      </c>
      <c r="Q658" s="304">
        <f t="shared" ca="1" si="309"/>
        <v>0</v>
      </c>
      <c r="R658" s="306">
        <f t="shared" ca="1" si="310"/>
        <v>0</v>
      </c>
      <c r="S658" s="307">
        <f t="shared" ca="1" si="311"/>
        <v>7.150000000000003</v>
      </c>
      <c r="T658" s="304">
        <f t="shared" ca="1" si="291"/>
        <v>70.141500000000036</v>
      </c>
      <c r="U658" s="311">
        <f t="shared" ca="1" si="292"/>
        <v>0</v>
      </c>
      <c r="V658" s="306">
        <f t="shared" ca="1" si="293"/>
        <v>1.2260185533219519</v>
      </c>
      <c r="W658" s="304">
        <f t="shared" ca="1" si="294"/>
        <v>54.643714228096599</v>
      </c>
      <c r="Y658" s="314" t="str">
        <f t="shared" ca="1" si="312"/>
        <v/>
      </c>
      <c r="Z658" s="315" t="str">
        <f t="shared" ca="1" si="313"/>
        <v/>
      </c>
      <c r="AA658" s="316" t="str">
        <f t="shared" ca="1" si="314"/>
        <v/>
      </c>
      <c r="AC658" s="310" t="e">
        <f t="shared" ca="1" si="315"/>
        <v>#N/A</v>
      </c>
      <c r="AD658" s="323" t="e">
        <f t="shared" ca="1" si="316"/>
        <v>#N/A</v>
      </c>
      <c r="AE658" s="324" t="e">
        <f t="shared" ca="1" si="295"/>
        <v>#N/A</v>
      </c>
      <c r="AG658" s="306">
        <f t="shared" ca="1" si="317"/>
        <v>2.1229350708044397</v>
      </c>
      <c r="AH658" s="304">
        <f t="shared" ca="1" si="318"/>
        <v>-7.6424427417818634</v>
      </c>
    </row>
    <row r="659" spans="1:34" x14ac:dyDescent="0.2">
      <c r="A659" s="347">
        <f t="shared" ca="1" si="296"/>
        <v>1E-4</v>
      </c>
      <c r="B659" s="304">
        <f t="shared" ca="1" si="297"/>
        <v>36.71080000000061</v>
      </c>
      <c r="D659" s="306">
        <f t="shared" ca="1" si="298"/>
        <v>-0.72810233066857666</v>
      </c>
      <c r="E659" s="307">
        <f t="shared" ca="1" si="299"/>
        <v>-2.202284866369105</v>
      </c>
      <c r="F659" s="304">
        <f t="shared" ca="1" si="300"/>
        <v>2.3195240107753574</v>
      </c>
      <c r="G659" s="306">
        <f t="shared" ca="1" si="301"/>
        <v>12.449805865229381</v>
      </c>
      <c r="H659" s="307">
        <f t="shared" ca="1" si="302"/>
        <v>-130.08513607295657</v>
      </c>
      <c r="I659" s="304">
        <f t="shared" ca="1" si="303"/>
        <v>130.67953280143578</v>
      </c>
      <c r="J659" s="306">
        <f t="shared" ca="1" si="304"/>
        <v>889.84792314375909</v>
      </c>
      <c r="K659" s="307">
        <f t="shared" ca="1" si="305"/>
        <v>-8.3242742053487362</v>
      </c>
      <c r="L659" s="304">
        <f t="shared" ca="1" si="290"/>
        <v>889.88685790065881</v>
      </c>
      <c r="M659" s="306">
        <f t="shared" ca="1" si="306"/>
        <v>-1.4753818726988772</v>
      </c>
      <c r="N659" s="304">
        <f t="shared" ca="1" si="307"/>
        <v>-84.533154475753363</v>
      </c>
      <c r="P659" s="310">
        <f t="shared" ca="1" si="308"/>
        <v>23</v>
      </c>
      <c r="Q659" s="304">
        <f t="shared" ca="1" si="309"/>
        <v>0</v>
      </c>
      <c r="R659" s="306">
        <f t="shared" ca="1" si="310"/>
        <v>0</v>
      </c>
      <c r="S659" s="307">
        <f t="shared" ca="1" si="311"/>
        <v>7.150000000000003</v>
      </c>
      <c r="T659" s="304">
        <f t="shared" ca="1" si="291"/>
        <v>70.141500000000036</v>
      </c>
      <c r="U659" s="311">
        <f t="shared" ca="1" si="292"/>
        <v>0</v>
      </c>
      <c r="V659" s="306">
        <f t="shared" ca="1" si="293"/>
        <v>1.2260201481898183</v>
      </c>
      <c r="W659" s="304">
        <f t="shared" ca="1" si="294"/>
        <v>54.643962850563923</v>
      </c>
      <c r="Y659" s="314" t="str">
        <f t="shared" ca="1" si="312"/>
        <v/>
      </c>
      <c r="Z659" s="315" t="str">
        <f t="shared" ca="1" si="313"/>
        <v/>
      </c>
      <c r="AA659" s="316" t="str">
        <f t="shared" ca="1" si="314"/>
        <v/>
      </c>
      <c r="AC659" s="310" t="e">
        <f t="shared" ca="1" si="315"/>
        <v>#N/A</v>
      </c>
      <c r="AD659" s="323" t="e">
        <f t="shared" ca="1" si="316"/>
        <v>#N/A</v>
      </c>
      <c r="AE659" s="324" t="e">
        <f t="shared" ca="1" si="295"/>
        <v>#N/A</v>
      </c>
      <c r="AG659" s="306">
        <f t="shared" ca="1" si="317"/>
        <v>2.1229009665919465</v>
      </c>
      <c r="AH659" s="304">
        <f t="shared" ca="1" si="318"/>
        <v>-7.6424775144191015</v>
      </c>
    </row>
    <row r="660" spans="1:34" x14ac:dyDescent="0.2">
      <c r="A660" s="347">
        <f t="shared" ca="1" si="296"/>
        <v>1E-4</v>
      </c>
      <c r="B660" s="304">
        <f t="shared" ca="1" si="297"/>
        <v>36.710900000000613</v>
      </c>
      <c r="D660" s="306">
        <f t="shared" ca="1" si="298"/>
        <v>-0.72810020248363749</v>
      </c>
      <c r="E660" s="307">
        <f t="shared" ca="1" si="299"/>
        <v>-2.2022497314309595</v>
      </c>
      <c r="F660" s="304">
        <f t="shared" ca="1" si="300"/>
        <v>2.3194899836913385</v>
      </c>
      <c r="G660" s="306">
        <f t="shared" ca="1" si="301"/>
        <v>12.449733055209133</v>
      </c>
      <c r="H660" s="307">
        <f t="shared" ca="1" si="302"/>
        <v>-130.08535629792971</v>
      </c>
      <c r="I660" s="304">
        <f t="shared" ca="1" si="303"/>
        <v>130.67974508815544</v>
      </c>
      <c r="J660" s="306">
        <f t="shared" ca="1" si="304"/>
        <v>889.84792314375909</v>
      </c>
      <c r="K660" s="307">
        <f t="shared" ca="1" si="305"/>
        <v>-8.3372827299672814</v>
      </c>
      <c r="L660" s="304">
        <f t="shared" ca="1" si="290"/>
        <v>889.88697968145414</v>
      </c>
      <c r="M660" s="306">
        <f t="shared" ca="1" si="306"/>
        <v>-1.4753825878794931</v>
      </c>
      <c r="N660" s="304">
        <f t="shared" ca="1" si="307"/>
        <v>-84.533195452584238</v>
      </c>
      <c r="P660" s="310">
        <f t="shared" ca="1" si="308"/>
        <v>23</v>
      </c>
      <c r="Q660" s="304">
        <f t="shared" ca="1" si="309"/>
        <v>0</v>
      </c>
      <c r="R660" s="306">
        <f t="shared" ca="1" si="310"/>
        <v>0</v>
      </c>
      <c r="S660" s="307">
        <f t="shared" ca="1" si="311"/>
        <v>7.150000000000003</v>
      </c>
      <c r="T660" s="304">
        <f t="shared" ca="1" si="291"/>
        <v>70.141500000000036</v>
      </c>
      <c r="U660" s="311">
        <f t="shared" ca="1" si="292"/>
        <v>0</v>
      </c>
      <c r="V660" s="306">
        <f t="shared" ca="1" si="293"/>
        <v>1.2260217430624607</v>
      </c>
      <c r="W660" s="304">
        <f t="shared" ca="1" si="294"/>
        <v>54.644211471142263</v>
      </c>
      <c r="Y660" s="314" t="str">
        <f t="shared" ca="1" si="312"/>
        <v/>
      </c>
      <c r="Z660" s="315" t="str">
        <f t="shared" ca="1" si="313"/>
        <v/>
      </c>
      <c r="AA660" s="316" t="str">
        <f t="shared" ca="1" si="314"/>
        <v/>
      </c>
      <c r="AC660" s="310" t="e">
        <f t="shared" ca="1" si="315"/>
        <v>#N/A</v>
      </c>
      <c r="AD660" s="323" t="e">
        <f t="shared" ca="1" si="316"/>
        <v>#N/A</v>
      </c>
      <c r="AE660" s="324" t="e">
        <f t="shared" ca="1" si="295"/>
        <v>#N/A</v>
      </c>
      <c r="AG660" s="306">
        <f t="shared" ca="1" si="317"/>
        <v>2.1228668626325637</v>
      </c>
      <c r="AH660" s="304">
        <f t="shared" ca="1" si="318"/>
        <v>-7.6425122867921536</v>
      </c>
    </row>
    <row r="661" spans="1:34" x14ac:dyDescent="0.2">
      <c r="A661" s="347">
        <f t="shared" ca="1" si="296"/>
        <v>1E-4</v>
      </c>
      <c r="B661" s="304">
        <f t="shared" ca="1" si="297"/>
        <v>36.711000000000617</v>
      </c>
      <c r="D661" s="306">
        <f t="shared" ca="1" si="298"/>
        <v>-0.72809807427314421</v>
      </c>
      <c r="E661" s="307">
        <f t="shared" ca="1" si="299"/>
        <v>-2.2022145967596947</v>
      </c>
      <c r="F661" s="304">
        <f t="shared" ca="1" si="300"/>
        <v>2.3194559568876763</v>
      </c>
      <c r="G661" s="306">
        <f t="shared" ca="1" si="301"/>
        <v>12.449660245401706</v>
      </c>
      <c r="H661" s="307">
        <f t="shared" ca="1" si="302"/>
        <v>-130.08557651938938</v>
      </c>
      <c r="I661" s="304">
        <f t="shared" ca="1" si="303"/>
        <v>130.67995737146475</v>
      </c>
      <c r="J661" s="306">
        <f t="shared" ca="1" si="304"/>
        <v>889.84792314375909</v>
      </c>
      <c r="K661" s="307">
        <f t="shared" ca="1" si="305"/>
        <v>-8.3502912766081465</v>
      </c>
      <c r="L661" s="304">
        <f t="shared" ca="1" si="290"/>
        <v>889.88710165260045</v>
      </c>
      <c r="M661" s="306">
        <f t="shared" ca="1" si="306"/>
        <v>-1.475383303053603</v>
      </c>
      <c r="N661" s="304">
        <f t="shared" ca="1" si="307"/>
        <v>-84.533236429042361</v>
      </c>
      <c r="P661" s="310">
        <f t="shared" ca="1" si="308"/>
        <v>23</v>
      </c>
      <c r="Q661" s="304">
        <f t="shared" ca="1" si="309"/>
        <v>0</v>
      </c>
      <c r="R661" s="306">
        <f t="shared" ca="1" si="310"/>
        <v>0</v>
      </c>
      <c r="S661" s="307">
        <f t="shared" ca="1" si="311"/>
        <v>7.150000000000003</v>
      </c>
      <c r="T661" s="304">
        <f t="shared" ca="1" si="291"/>
        <v>70.141500000000036</v>
      </c>
      <c r="U661" s="311">
        <f t="shared" ca="1" si="292"/>
        <v>0</v>
      </c>
      <c r="V661" s="306">
        <f t="shared" ca="1" si="293"/>
        <v>1.2260233379398784</v>
      </c>
      <c r="W661" s="304">
        <f t="shared" ca="1" si="294"/>
        <v>54.644460089831632</v>
      </c>
      <c r="Y661" s="314" t="str">
        <f t="shared" ca="1" si="312"/>
        <v/>
      </c>
      <c r="Z661" s="315" t="str">
        <f t="shared" ca="1" si="313"/>
        <v/>
      </c>
      <c r="AA661" s="316" t="str">
        <f t="shared" ca="1" si="314"/>
        <v/>
      </c>
      <c r="AC661" s="310" t="e">
        <f t="shared" ca="1" si="315"/>
        <v>#N/A</v>
      </c>
      <c r="AD661" s="323" t="e">
        <f t="shared" ca="1" si="316"/>
        <v>#N/A</v>
      </c>
      <c r="AE661" s="324" t="e">
        <f t="shared" ca="1" si="295"/>
        <v>#N/A</v>
      </c>
      <c r="AG661" s="306">
        <f t="shared" ca="1" si="317"/>
        <v>2.1228327589262967</v>
      </c>
      <c r="AH661" s="304">
        <f t="shared" ca="1" si="318"/>
        <v>-7.6425470589010125</v>
      </c>
    </row>
    <row r="662" spans="1:34" x14ac:dyDescent="0.2">
      <c r="A662" s="347">
        <f t="shared" ca="1" si="296"/>
        <v>1E-4</v>
      </c>
      <c r="B662" s="304">
        <f t="shared" ca="1" si="297"/>
        <v>36.71110000000062</v>
      </c>
      <c r="D662" s="306">
        <f t="shared" ca="1" si="298"/>
        <v>-0.7280959460370946</v>
      </c>
      <c r="E662" s="307">
        <f t="shared" ca="1" si="299"/>
        <v>-2.2021794623553115</v>
      </c>
      <c r="F662" s="304">
        <f t="shared" ca="1" si="300"/>
        <v>2.3194219303643702</v>
      </c>
      <c r="G662" s="306">
        <f t="shared" ca="1" si="301"/>
        <v>12.449587435807102</v>
      </c>
      <c r="H662" s="307">
        <f t="shared" ca="1" si="302"/>
        <v>-130.08579673733561</v>
      </c>
      <c r="I662" s="304">
        <f t="shared" ca="1" si="303"/>
        <v>130.68016965136371</v>
      </c>
      <c r="J662" s="306">
        <f t="shared" ca="1" si="304"/>
        <v>889.84792314375909</v>
      </c>
      <c r="K662" s="307">
        <f t="shared" ca="1" si="305"/>
        <v>-8.3632998452709835</v>
      </c>
      <c r="L662" s="304">
        <f t="shared" ca="1" si="290"/>
        <v>889.88722381409843</v>
      </c>
      <c r="M662" s="306">
        <f t="shared" ca="1" si="306"/>
        <v>-1.4753840182212068</v>
      </c>
      <c r="N662" s="304">
        <f t="shared" ca="1" si="307"/>
        <v>-84.533277405127691</v>
      </c>
      <c r="P662" s="310">
        <f t="shared" ca="1" si="308"/>
        <v>23</v>
      </c>
      <c r="Q662" s="304">
        <f t="shared" ca="1" si="309"/>
        <v>0</v>
      </c>
      <c r="R662" s="306">
        <f t="shared" ca="1" si="310"/>
        <v>0</v>
      </c>
      <c r="S662" s="307">
        <f t="shared" ca="1" si="311"/>
        <v>7.150000000000003</v>
      </c>
      <c r="T662" s="304">
        <f t="shared" ca="1" si="291"/>
        <v>70.141500000000036</v>
      </c>
      <c r="U662" s="311">
        <f t="shared" ca="1" si="292"/>
        <v>0</v>
      </c>
      <c r="V662" s="306">
        <f t="shared" ca="1" si="293"/>
        <v>1.2260249328220711</v>
      </c>
      <c r="W662" s="304">
        <f t="shared" ca="1" si="294"/>
        <v>54.644708706631995</v>
      </c>
      <c r="Y662" s="314" t="str">
        <f t="shared" ca="1" si="312"/>
        <v/>
      </c>
      <c r="Z662" s="315" t="str">
        <f t="shared" ca="1" si="313"/>
        <v/>
      </c>
      <c r="AA662" s="316" t="str">
        <f t="shared" ca="1" si="314"/>
        <v/>
      </c>
      <c r="AC662" s="310" t="e">
        <f t="shared" ca="1" si="315"/>
        <v>#N/A</v>
      </c>
      <c r="AD662" s="323" t="e">
        <f t="shared" ca="1" si="316"/>
        <v>#N/A</v>
      </c>
      <c r="AE662" s="324" t="e">
        <f t="shared" ca="1" si="295"/>
        <v>#N/A</v>
      </c>
      <c r="AG662" s="306">
        <f t="shared" ca="1" si="317"/>
        <v>2.1227986554731482</v>
      </c>
      <c r="AH662" s="304">
        <f t="shared" ca="1" si="318"/>
        <v>-7.6425818307456792</v>
      </c>
    </row>
    <row r="663" spans="1:34" x14ac:dyDescent="0.2">
      <c r="A663" s="347">
        <f t="shared" ca="1" si="296"/>
        <v>1E-4</v>
      </c>
      <c r="B663" s="304">
        <f t="shared" ca="1" si="297"/>
        <v>36.711200000000623</v>
      </c>
      <c r="D663" s="306">
        <f t="shared" ca="1" si="298"/>
        <v>-0.72809381777549131</v>
      </c>
      <c r="E663" s="307">
        <f t="shared" ca="1" si="299"/>
        <v>-2.2021443282178117</v>
      </c>
      <c r="F663" s="304">
        <f t="shared" ca="1" si="300"/>
        <v>2.3193879041214229</v>
      </c>
      <c r="G663" s="306">
        <f t="shared" ca="1" si="301"/>
        <v>12.449514626425325</v>
      </c>
      <c r="H663" s="307">
        <f t="shared" ca="1" si="302"/>
        <v>-130.08601695176844</v>
      </c>
      <c r="I663" s="304">
        <f t="shared" ca="1" si="303"/>
        <v>130.68038192785238</v>
      </c>
      <c r="J663" s="306">
        <f t="shared" ca="1" si="304"/>
        <v>889.84792314375909</v>
      </c>
      <c r="K663" s="307">
        <f t="shared" ca="1" si="305"/>
        <v>-8.3763084359554387</v>
      </c>
      <c r="L663" s="304">
        <f t="shared" ca="1" si="290"/>
        <v>889.887346165949</v>
      </c>
      <c r="M663" s="306">
        <f t="shared" ca="1" si="306"/>
        <v>-1.4753847333823045</v>
      </c>
      <c r="N663" s="304">
        <f t="shared" ca="1" si="307"/>
        <v>-84.533318380840271</v>
      </c>
      <c r="P663" s="310">
        <f t="shared" ca="1" si="308"/>
        <v>23</v>
      </c>
      <c r="Q663" s="304">
        <f t="shared" ca="1" si="309"/>
        <v>0</v>
      </c>
      <c r="R663" s="306">
        <f t="shared" ca="1" si="310"/>
        <v>0</v>
      </c>
      <c r="S663" s="307">
        <f t="shared" ca="1" si="311"/>
        <v>7.150000000000003</v>
      </c>
      <c r="T663" s="304">
        <f t="shared" ca="1" si="291"/>
        <v>70.141500000000036</v>
      </c>
      <c r="U663" s="311">
        <f t="shared" ca="1" si="292"/>
        <v>0</v>
      </c>
      <c r="V663" s="306">
        <f t="shared" ca="1" si="293"/>
        <v>1.2260265277090401</v>
      </c>
      <c r="W663" s="304">
        <f t="shared" ca="1" si="294"/>
        <v>54.644957321543444</v>
      </c>
      <c r="Y663" s="314" t="str">
        <f t="shared" ca="1" si="312"/>
        <v/>
      </c>
      <c r="Z663" s="315" t="str">
        <f t="shared" ca="1" si="313"/>
        <v/>
      </c>
      <c r="AA663" s="316" t="str">
        <f t="shared" ca="1" si="314"/>
        <v/>
      </c>
      <c r="AC663" s="310" t="e">
        <f t="shared" ca="1" si="315"/>
        <v>#N/A</v>
      </c>
      <c r="AD663" s="323" t="e">
        <f t="shared" ca="1" si="316"/>
        <v>#N/A</v>
      </c>
      <c r="AE663" s="324" t="e">
        <f t="shared" ca="1" si="295"/>
        <v>#N/A</v>
      </c>
      <c r="AG663" s="306">
        <f t="shared" ca="1" si="317"/>
        <v>2.122764552273118</v>
      </c>
      <c r="AH663" s="304">
        <f t="shared" ca="1" si="318"/>
        <v>-7.6426166023261501</v>
      </c>
    </row>
    <row r="664" spans="1:34" x14ac:dyDescent="0.2">
      <c r="A664" s="347">
        <f t="shared" ca="1" si="296"/>
        <v>1E-4</v>
      </c>
      <c r="B664" s="304">
        <f t="shared" ca="1" si="297"/>
        <v>36.711300000000627</v>
      </c>
      <c r="D664" s="306">
        <f t="shared" ca="1" si="298"/>
        <v>-0.7280916894883368</v>
      </c>
      <c r="E664" s="307">
        <f t="shared" ca="1" si="299"/>
        <v>-2.2021091943471847</v>
      </c>
      <c r="F664" s="304">
        <f t="shared" ca="1" si="300"/>
        <v>2.3193538781588261</v>
      </c>
      <c r="G664" s="306">
        <f t="shared" ca="1" si="301"/>
        <v>12.449441817256377</v>
      </c>
      <c r="H664" s="307">
        <f t="shared" ca="1" si="302"/>
        <v>-130.08623716268787</v>
      </c>
      <c r="I664" s="304">
        <f t="shared" ca="1" si="303"/>
        <v>130.6805942009307</v>
      </c>
      <c r="J664" s="306">
        <f t="shared" ca="1" si="304"/>
        <v>889.84792314375909</v>
      </c>
      <c r="K664" s="307">
        <f t="shared" ca="1" si="305"/>
        <v>-8.3893170486611623</v>
      </c>
      <c r="L664" s="304">
        <f t="shared" ca="1" si="290"/>
        <v>889.88746870815316</v>
      </c>
      <c r="M664" s="306">
        <f t="shared" ca="1" si="306"/>
        <v>-1.4753854485368965</v>
      </c>
      <c r="N664" s="304">
        <f t="shared" ca="1" si="307"/>
        <v>-84.533359356180085</v>
      </c>
      <c r="P664" s="310">
        <f t="shared" ca="1" si="308"/>
        <v>23</v>
      </c>
      <c r="Q664" s="304">
        <f t="shared" ca="1" si="309"/>
        <v>0</v>
      </c>
      <c r="R664" s="306">
        <f t="shared" ca="1" si="310"/>
        <v>0</v>
      </c>
      <c r="S664" s="307">
        <f t="shared" ca="1" si="311"/>
        <v>7.150000000000003</v>
      </c>
      <c r="T664" s="304">
        <f t="shared" ca="1" si="291"/>
        <v>70.141500000000036</v>
      </c>
      <c r="U664" s="311">
        <f t="shared" ca="1" si="292"/>
        <v>0</v>
      </c>
      <c r="V664" s="306">
        <f t="shared" ca="1" si="293"/>
        <v>1.2260281226007843</v>
      </c>
      <c r="W664" s="304">
        <f t="shared" ca="1" si="294"/>
        <v>54.645205934565865</v>
      </c>
      <c r="Y664" s="314" t="str">
        <f t="shared" ca="1" si="312"/>
        <v/>
      </c>
      <c r="Z664" s="315" t="str">
        <f t="shared" ca="1" si="313"/>
        <v/>
      </c>
      <c r="AA664" s="316" t="str">
        <f t="shared" ca="1" si="314"/>
        <v/>
      </c>
      <c r="AC664" s="310" t="e">
        <f t="shared" ca="1" si="315"/>
        <v>#N/A</v>
      </c>
      <c r="AD664" s="323" t="e">
        <f t="shared" ca="1" si="316"/>
        <v>#N/A</v>
      </c>
      <c r="AE664" s="324" t="e">
        <f t="shared" ca="1" si="295"/>
        <v>#N/A</v>
      </c>
      <c r="AG664" s="306">
        <f t="shared" ca="1" si="317"/>
        <v>2.1227304493261983</v>
      </c>
      <c r="AH664" s="304">
        <f t="shared" ca="1" si="318"/>
        <v>-7.6426513736424369</v>
      </c>
    </row>
    <row r="665" spans="1:34" x14ac:dyDescent="0.2">
      <c r="A665" s="347">
        <f t="shared" ca="1" si="296"/>
        <v>1E-4</v>
      </c>
      <c r="B665" s="304">
        <f t="shared" ca="1" si="297"/>
        <v>36.71140000000063</v>
      </c>
      <c r="D665" s="306">
        <f t="shared" ca="1" si="298"/>
        <v>-0.7280895611756274</v>
      </c>
      <c r="E665" s="307">
        <f t="shared" ca="1" si="299"/>
        <v>-2.2020740607434464</v>
      </c>
      <c r="F665" s="304">
        <f t="shared" ca="1" si="300"/>
        <v>2.3193198524765939</v>
      </c>
      <c r="G665" s="306">
        <f t="shared" ca="1" si="301"/>
        <v>12.449369008300259</v>
      </c>
      <c r="H665" s="307">
        <f t="shared" ca="1" si="302"/>
        <v>-130.08645737009394</v>
      </c>
      <c r="I665" s="304">
        <f t="shared" ca="1" si="303"/>
        <v>130.68080647059881</v>
      </c>
      <c r="J665" s="306">
        <f t="shared" ca="1" si="304"/>
        <v>889.84792314375909</v>
      </c>
      <c r="K665" s="307">
        <f t="shared" ca="1" si="305"/>
        <v>-8.4023256833878008</v>
      </c>
      <c r="L665" s="304">
        <f t="shared" ca="1" si="290"/>
        <v>889.88759144071173</v>
      </c>
      <c r="M665" s="306">
        <f t="shared" ca="1" si="306"/>
        <v>-1.4753861636849825</v>
      </c>
      <c r="N665" s="304">
        <f t="shared" ca="1" si="307"/>
        <v>-84.533400331147149</v>
      </c>
      <c r="P665" s="310">
        <f t="shared" ca="1" si="308"/>
        <v>23</v>
      </c>
      <c r="Q665" s="304">
        <f t="shared" ca="1" si="309"/>
        <v>0</v>
      </c>
      <c r="R665" s="306">
        <f t="shared" ca="1" si="310"/>
        <v>0</v>
      </c>
      <c r="S665" s="307">
        <f t="shared" ca="1" si="311"/>
        <v>7.150000000000003</v>
      </c>
      <c r="T665" s="304">
        <f t="shared" ca="1" si="291"/>
        <v>70.141500000000036</v>
      </c>
      <c r="U665" s="311">
        <f t="shared" ca="1" si="292"/>
        <v>0</v>
      </c>
      <c r="V665" s="306">
        <f t="shared" ca="1" si="293"/>
        <v>1.2260297174973036</v>
      </c>
      <c r="W665" s="304">
        <f t="shared" ca="1" si="294"/>
        <v>54.64545454569933</v>
      </c>
      <c r="Y665" s="314" t="str">
        <f t="shared" ca="1" si="312"/>
        <v/>
      </c>
      <c r="Z665" s="315" t="str">
        <f t="shared" ca="1" si="313"/>
        <v/>
      </c>
      <c r="AA665" s="316" t="str">
        <f t="shared" ca="1" si="314"/>
        <v/>
      </c>
      <c r="AC665" s="310" t="e">
        <f t="shared" ca="1" si="315"/>
        <v>#N/A</v>
      </c>
      <c r="AD665" s="323" t="e">
        <f t="shared" ca="1" si="316"/>
        <v>#N/A</v>
      </c>
      <c r="AE665" s="324" t="e">
        <f t="shared" ca="1" si="295"/>
        <v>#N/A</v>
      </c>
      <c r="AG665" s="306">
        <f t="shared" ca="1" si="317"/>
        <v>2.1226963466324049</v>
      </c>
      <c r="AH665" s="304">
        <f t="shared" ca="1" si="318"/>
        <v>-7.6426861446945233</v>
      </c>
    </row>
    <row r="666" spans="1:34" x14ac:dyDescent="0.2">
      <c r="A666" s="347">
        <f t="shared" ca="1" si="296"/>
        <v>1E-4</v>
      </c>
      <c r="B666" s="304">
        <f t="shared" ca="1" si="297"/>
        <v>36.711500000000633</v>
      </c>
      <c r="D666" s="306">
        <f t="shared" ca="1" si="298"/>
        <v>-0.72808743283736688</v>
      </c>
      <c r="E666" s="307">
        <f t="shared" ca="1" si="299"/>
        <v>-2.2020389274065861</v>
      </c>
      <c r="F666" s="304">
        <f t="shared" ca="1" si="300"/>
        <v>2.3192858270747174</v>
      </c>
      <c r="G666" s="306">
        <f t="shared" ca="1" si="301"/>
        <v>12.449296199556976</v>
      </c>
      <c r="H666" s="307">
        <f t="shared" ca="1" si="302"/>
        <v>-130.08667757398669</v>
      </c>
      <c r="I666" s="304">
        <f t="shared" ca="1" si="303"/>
        <v>130.68101873685663</v>
      </c>
      <c r="J666" s="306">
        <f t="shared" ca="1" si="304"/>
        <v>889.84792314375909</v>
      </c>
      <c r="K666" s="307">
        <f t="shared" ca="1" si="305"/>
        <v>-8.4153343401350043</v>
      </c>
      <c r="L666" s="304">
        <f t="shared" ca="1" si="290"/>
        <v>889.88771436362549</v>
      </c>
      <c r="M666" s="306">
        <f t="shared" ca="1" si="306"/>
        <v>-1.4753868788265629</v>
      </c>
      <c r="N666" s="304">
        <f t="shared" ca="1" si="307"/>
        <v>-84.533441305741462</v>
      </c>
      <c r="P666" s="310">
        <f t="shared" ca="1" si="308"/>
        <v>23</v>
      </c>
      <c r="Q666" s="304">
        <f t="shared" ca="1" si="309"/>
        <v>0</v>
      </c>
      <c r="R666" s="306">
        <f t="shared" ca="1" si="310"/>
        <v>0</v>
      </c>
      <c r="S666" s="307">
        <f t="shared" ca="1" si="311"/>
        <v>7.150000000000003</v>
      </c>
      <c r="T666" s="304">
        <f t="shared" ca="1" si="291"/>
        <v>70.141500000000036</v>
      </c>
      <c r="U666" s="311">
        <f t="shared" ca="1" si="292"/>
        <v>0</v>
      </c>
      <c r="V666" s="306">
        <f t="shared" ca="1" si="293"/>
        <v>1.2260313123985986</v>
      </c>
      <c r="W666" s="304">
        <f t="shared" ca="1" si="294"/>
        <v>54.645703154943789</v>
      </c>
      <c r="Y666" s="314" t="str">
        <f t="shared" ca="1" si="312"/>
        <v/>
      </c>
      <c r="Z666" s="315" t="str">
        <f t="shared" ca="1" si="313"/>
        <v/>
      </c>
      <c r="AA666" s="316" t="str">
        <f t="shared" ca="1" si="314"/>
        <v/>
      </c>
      <c r="AC666" s="310" t="e">
        <f t="shared" ca="1" si="315"/>
        <v>#N/A</v>
      </c>
      <c r="AD666" s="323" t="e">
        <f t="shared" ca="1" si="316"/>
        <v>#N/A</v>
      </c>
      <c r="AE666" s="324" t="e">
        <f t="shared" ca="1" si="295"/>
        <v>#N/A</v>
      </c>
      <c r="AG666" s="306">
        <f t="shared" ca="1" si="317"/>
        <v>2.1226622441917256</v>
      </c>
      <c r="AH666" s="304">
        <f t="shared" ca="1" si="318"/>
        <v>-7.6427209154824203</v>
      </c>
    </row>
    <row r="667" spans="1:34" x14ac:dyDescent="0.2">
      <c r="A667" s="347">
        <f t="shared" ca="1" si="296"/>
        <v>1E-4</v>
      </c>
      <c r="B667" s="304">
        <f t="shared" ca="1" si="297"/>
        <v>36.711600000000637</v>
      </c>
      <c r="D667" s="306">
        <f t="shared" ca="1" si="298"/>
        <v>-0.72808530447355446</v>
      </c>
      <c r="E667" s="307">
        <f t="shared" ca="1" si="299"/>
        <v>-2.2020037943366102</v>
      </c>
      <c r="F667" s="304">
        <f t="shared" ca="1" si="300"/>
        <v>2.3192518019532025</v>
      </c>
      <c r="G667" s="306">
        <f t="shared" ca="1" si="301"/>
        <v>12.449223391026528</v>
      </c>
      <c r="H667" s="307">
        <f t="shared" ca="1" si="302"/>
        <v>-130.08689777436612</v>
      </c>
      <c r="I667" s="304">
        <f t="shared" ca="1" si="303"/>
        <v>130.68123099970427</v>
      </c>
      <c r="J667" s="306">
        <f t="shared" ca="1" si="304"/>
        <v>889.84792314375909</v>
      </c>
      <c r="K667" s="307">
        <f t="shared" ca="1" si="305"/>
        <v>-8.4283430189024227</v>
      </c>
      <c r="L667" s="304">
        <f t="shared" ca="1" si="290"/>
        <v>889.88783747689558</v>
      </c>
      <c r="M667" s="306">
        <f t="shared" ca="1" si="306"/>
        <v>-1.4753875939616379</v>
      </c>
      <c r="N667" s="304">
        <f t="shared" ca="1" si="307"/>
        <v>-84.533482279963039</v>
      </c>
      <c r="P667" s="310">
        <f t="shared" ca="1" si="308"/>
        <v>23</v>
      </c>
      <c r="Q667" s="304">
        <f t="shared" ca="1" si="309"/>
        <v>0</v>
      </c>
      <c r="R667" s="306">
        <f t="shared" ca="1" si="310"/>
        <v>0</v>
      </c>
      <c r="S667" s="307">
        <f t="shared" ca="1" si="311"/>
        <v>7.150000000000003</v>
      </c>
      <c r="T667" s="304">
        <f t="shared" ca="1" si="291"/>
        <v>70.141500000000036</v>
      </c>
      <c r="U667" s="311">
        <f t="shared" ca="1" si="292"/>
        <v>0</v>
      </c>
      <c r="V667" s="306">
        <f t="shared" ca="1" si="293"/>
        <v>1.2260329073046692</v>
      </c>
      <c r="W667" s="304">
        <f t="shared" ca="1" si="294"/>
        <v>54.645951762299291</v>
      </c>
      <c r="Y667" s="314" t="str">
        <f t="shared" ca="1" si="312"/>
        <v/>
      </c>
      <c r="Z667" s="315" t="str">
        <f t="shared" ca="1" si="313"/>
        <v/>
      </c>
      <c r="AA667" s="316" t="str">
        <f t="shared" ca="1" si="314"/>
        <v/>
      </c>
      <c r="AC667" s="310" t="e">
        <f t="shared" ca="1" si="315"/>
        <v>#N/A</v>
      </c>
      <c r="AD667" s="323" t="e">
        <f t="shared" ca="1" si="316"/>
        <v>#N/A</v>
      </c>
      <c r="AE667" s="324" t="e">
        <f t="shared" ca="1" si="295"/>
        <v>#N/A</v>
      </c>
      <c r="AG667" s="306">
        <f t="shared" ca="1" si="317"/>
        <v>2.1226281420041682</v>
      </c>
      <c r="AH667" s="304">
        <f t="shared" ca="1" si="318"/>
        <v>-7.6427556860061214</v>
      </c>
    </row>
    <row r="668" spans="1:34" x14ac:dyDescent="0.2">
      <c r="A668" s="347">
        <f t="shared" ca="1" si="296"/>
        <v>1E-4</v>
      </c>
      <c r="B668" s="304">
        <f t="shared" ca="1" si="297"/>
        <v>36.71170000000064</v>
      </c>
      <c r="D668" s="306">
        <f t="shared" ca="1" si="298"/>
        <v>-0.72808317608419004</v>
      </c>
      <c r="E668" s="307">
        <f t="shared" ca="1" si="299"/>
        <v>-2.2019686615335123</v>
      </c>
      <c r="F668" s="304">
        <f t="shared" ca="1" si="300"/>
        <v>2.3192177771120437</v>
      </c>
      <c r="G668" s="306">
        <f t="shared" ca="1" si="301"/>
        <v>12.449150582708921</v>
      </c>
      <c r="H668" s="307">
        <f t="shared" ca="1" si="302"/>
        <v>-130.08711797123229</v>
      </c>
      <c r="I668" s="304">
        <f t="shared" ca="1" si="303"/>
        <v>130.6814432591417</v>
      </c>
      <c r="J668" s="306">
        <f t="shared" ca="1" si="304"/>
        <v>889.84792314375909</v>
      </c>
      <c r="K668" s="307">
        <f t="shared" ca="1" si="305"/>
        <v>-8.4413517196897025</v>
      </c>
      <c r="L668" s="304">
        <f t="shared" ca="1" si="290"/>
        <v>889.88796078052258</v>
      </c>
      <c r="M668" s="306">
        <f t="shared" ca="1" si="306"/>
        <v>-1.4753883090902071</v>
      </c>
      <c r="N668" s="304">
        <f t="shared" ca="1" si="307"/>
        <v>-84.533523253811865</v>
      </c>
      <c r="P668" s="310">
        <f t="shared" ca="1" si="308"/>
        <v>23</v>
      </c>
      <c r="Q668" s="304">
        <f t="shared" ca="1" si="309"/>
        <v>0</v>
      </c>
      <c r="R668" s="306">
        <f t="shared" ca="1" si="310"/>
        <v>0</v>
      </c>
      <c r="S668" s="307">
        <f t="shared" ca="1" si="311"/>
        <v>7.150000000000003</v>
      </c>
      <c r="T668" s="304">
        <f t="shared" ca="1" si="291"/>
        <v>70.141500000000036</v>
      </c>
      <c r="U668" s="311">
        <f t="shared" ca="1" si="292"/>
        <v>0</v>
      </c>
      <c r="V668" s="306">
        <f t="shared" ca="1" si="293"/>
        <v>1.2260345022155148</v>
      </c>
      <c r="W668" s="304">
        <f t="shared" ca="1" si="294"/>
        <v>54.646200367765793</v>
      </c>
      <c r="Y668" s="314" t="str">
        <f t="shared" ca="1" si="312"/>
        <v/>
      </c>
      <c r="Z668" s="315" t="str">
        <f t="shared" ca="1" si="313"/>
        <v/>
      </c>
      <c r="AA668" s="316" t="str">
        <f t="shared" ca="1" si="314"/>
        <v/>
      </c>
      <c r="AC668" s="310" t="e">
        <f t="shared" ca="1" si="315"/>
        <v>#N/A</v>
      </c>
      <c r="AD668" s="323" t="e">
        <f t="shared" ca="1" si="316"/>
        <v>#N/A</v>
      </c>
      <c r="AE668" s="324" t="e">
        <f t="shared" ca="1" si="295"/>
        <v>#N/A</v>
      </c>
      <c r="AG668" s="306">
        <f t="shared" ca="1" si="317"/>
        <v>2.1225940400697274</v>
      </c>
      <c r="AH668" s="304">
        <f t="shared" ca="1" si="318"/>
        <v>-7.6427904562656321</v>
      </c>
    </row>
    <row r="669" spans="1:34" x14ac:dyDescent="0.2">
      <c r="A669" s="347">
        <f t="shared" ca="1" si="296"/>
        <v>1E-4</v>
      </c>
      <c r="B669" s="304">
        <f t="shared" ca="1" si="297"/>
        <v>36.711800000000643</v>
      </c>
      <c r="D669" s="306">
        <f t="shared" ca="1" si="298"/>
        <v>-0.72808104766927595</v>
      </c>
      <c r="E669" s="307">
        <f t="shared" ca="1" si="299"/>
        <v>-2.2019335289972988</v>
      </c>
      <c r="F669" s="304">
        <f t="shared" ca="1" si="300"/>
        <v>2.3191837525512482</v>
      </c>
      <c r="G669" s="306">
        <f t="shared" ca="1" si="301"/>
        <v>12.449077774604154</v>
      </c>
      <c r="H669" s="307">
        <f t="shared" ca="1" si="302"/>
        <v>-130.08733816458519</v>
      </c>
      <c r="I669" s="304">
        <f t="shared" ca="1" si="303"/>
        <v>130.68165551516896</v>
      </c>
      <c r="J669" s="306">
        <f t="shared" ca="1" si="304"/>
        <v>889.84792314375909</v>
      </c>
      <c r="K669" s="307">
        <f t="shared" ca="1" si="305"/>
        <v>-8.454360442496494</v>
      </c>
      <c r="L669" s="304">
        <f t="shared" ca="1" si="290"/>
        <v>889.88808427450749</v>
      </c>
      <c r="M669" s="306">
        <f t="shared" ca="1" si="306"/>
        <v>-1.4753890242122709</v>
      </c>
      <c r="N669" s="304">
        <f t="shared" ca="1" si="307"/>
        <v>-84.533564227287954</v>
      </c>
      <c r="P669" s="310">
        <f t="shared" ca="1" si="308"/>
        <v>23</v>
      </c>
      <c r="Q669" s="304">
        <f t="shared" ca="1" si="309"/>
        <v>0</v>
      </c>
      <c r="R669" s="306">
        <f t="shared" ca="1" si="310"/>
        <v>0</v>
      </c>
      <c r="S669" s="307">
        <f t="shared" ca="1" si="311"/>
        <v>7.150000000000003</v>
      </c>
      <c r="T669" s="304">
        <f t="shared" ca="1" si="291"/>
        <v>70.141500000000036</v>
      </c>
      <c r="U669" s="311">
        <f t="shared" ca="1" si="292"/>
        <v>0</v>
      </c>
      <c r="V669" s="306">
        <f t="shared" ca="1" si="293"/>
        <v>1.2260360971311361</v>
      </c>
      <c r="W669" s="304">
        <f t="shared" ca="1" si="294"/>
        <v>54.646448971343325</v>
      </c>
      <c r="Y669" s="314" t="str">
        <f t="shared" ca="1" si="312"/>
        <v/>
      </c>
      <c r="Z669" s="315" t="str">
        <f t="shared" ca="1" si="313"/>
        <v/>
      </c>
      <c r="AA669" s="316" t="str">
        <f t="shared" ca="1" si="314"/>
        <v/>
      </c>
      <c r="AC669" s="310" t="e">
        <f t="shared" ca="1" si="315"/>
        <v>#N/A</v>
      </c>
      <c r="AD669" s="323" t="e">
        <f t="shared" ca="1" si="316"/>
        <v>#N/A</v>
      </c>
      <c r="AE669" s="324" t="e">
        <f t="shared" ca="1" si="295"/>
        <v>#N/A</v>
      </c>
      <c r="AG669" s="306">
        <f t="shared" ca="1" si="317"/>
        <v>2.1225599383884104</v>
      </c>
      <c r="AH669" s="304">
        <f t="shared" ca="1" si="318"/>
        <v>-7.6428252262609471</v>
      </c>
    </row>
    <row r="670" spans="1:34" x14ac:dyDescent="0.2">
      <c r="A670" s="347">
        <f t="shared" ca="1" si="296"/>
        <v>1E-4</v>
      </c>
      <c r="B670" s="304">
        <f t="shared" ca="1" si="297"/>
        <v>36.711900000000647</v>
      </c>
      <c r="D670" s="306">
        <f t="shared" ca="1" si="298"/>
        <v>-0.72807891922881252</v>
      </c>
      <c r="E670" s="307">
        <f t="shared" ca="1" si="299"/>
        <v>-2.2018983967279651</v>
      </c>
      <c r="F670" s="304">
        <f t="shared" ca="1" si="300"/>
        <v>2.3191497282708116</v>
      </c>
      <c r="G670" s="306">
        <f t="shared" ca="1" si="301"/>
        <v>12.449004966712231</v>
      </c>
      <c r="H670" s="307">
        <f t="shared" ca="1" si="302"/>
        <v>-130.08755835442486</v>
      </c>
      <c r="I670" s="304">
        <f t="shared" ca="1" si="303"/>
        <v>130.68186776778603</v>
      </c>
      <c r="J670" s="306">
        <f t="shared" ca="1" si="304"/>
        <v>889.84792314375909</v>
      </c>
      <c r="K670" s="307">
        <f t="shared" ca="1" si="305"/>
        <v>-8.4673691873224453</v>
      </c>
      <c r="L670" s="304">
        <f t="shared" ca="1" si="290"/>
        <v>889.88820795885124</v>
      </c>
      <c r="M670" s="306">
        <f t="shared" ca="1" si="306"/>
        <v>-1.4753897393278295</v>
      </c>
      <c r="N670" s="304">
        <f t="shared" ca="1" si="307"/>
        <v>-84.533605200391321</v>
      </c>
      <c r="P670" s="310">
        <f t="shared" ca="1" si="308"/>
        <v>23</v>
      </c>
      <c r="Q670" s="304">
        <f t="shared" ca="1" si="309"/>
        <v>0</v>
      </c>
      <c r="R670" s="306">
        <f t="shared" ca="1" si="310"/>
        <v>0</v>
      </c>
      <c r="S670" s="307">
        <f t="shared" ca="1" si="311"/>
        <v>7.150000000000003</v>
      </c>
      <c r="T670" s="304">
        <f t="shared" ca="1" si="291"/>
        <v>70.141500000000036</v>
      </c>
      <c r="U670" s="311">
        <f t="shared" ca="1" si="292"/>
        <v>0</v>
      </c>
      <c r="V670" s="306">
        <f t="shared" ca="1" si="293"/>
        <v>1.2260376920515321</v>
      </c>
      <c r="W670" s="304">
        <f t="shared" ca="1" si="294"/>
        <v>54.646697573031787</v>
      </c>
      <c r="Y670" s="314" t="str">
        <f t="shared" ca="1" si="312"/>
        <v/>
      </c>
      <c r="Z670" s="315" t="str">
        <f t="shared" ca="1" si="313"/>
        <v/>
      </c>
      <c r="AA670" s="316" t="str">
        <f t="shared" ca="1" si="314"/>
        <v/>
      </c>
      <c r="AC670" s="310" t="e">
        <f t="shared" ca="1" si="315"/>
        <v>#N/A</v>
      </c>
      <c r="AD670" s="323" t="e">
        <f t="shared" ca="1" si="316"/>
        <v>#N/A</v>
      </c>
      <c r="AE670" s="324" t="e">
        <f t="shared" ca="1" si="295"/>
        <v>#N/A</v>
      </c>
      <c r="AG670" s="306">
        <f t="shared" ca="1" si="317"/>
        <v>2.1225258369602091</v>
      </c>
      <c r="AH670" s="304">
        <f t="shared" ca="1" si="318"/>
        <v>-7.6428599959920707</v>
      </c>
    </row>
    <row r="671" spans="1:34" x14ac:dyDescent="0.2">
      <c r="A671" s="347">
        <f t="shared" ca="1" si="296"/>
        <v>1E-4</v>
      </c>
      <c r="B671" s="304">
        <f t="shared" ca="1" si="297"/>
        <v>36.71200000000065</v>
      </c>
      <c r="D671" s="306">
        <f t="shared" ca="1" si="298"/>
        <v>-0.72807679076279752</v>
      </c>
      <c r="E671" s="307">
        <f t="shared" ca="1" si="299"/>
        <v>-2.2018632647255254</v>
      </c>
      <c r="F671" s="304">
        <f t="shared" ca="1" si="300"/>
        <v>2.3191157042707471</v>
      </c>
      <c r="G671" s="306">
        <f t="shared" ca="1" si="301"/>
        <v>12.448932159033154</v>
      </c>
      <c r="H671" s="307">
        <f t="shared" ca="1" si="302"/>
        <v>-130.08777854075132</v>
      </c>
      <c r="I671" s="304">
        <f t="shared" ca="1" si="303"/>
        <v>130.68208001699301</v>
      </c>
      <c r="J671" s="306">
        <f t="shared" ca="1" si="304"/>
        <v>889.84792314375909</v>
      </c>
      <c r="K671" s="307">
        <f t="shared" ca="1" si="305"/>
        <v>-8.4803779541672046</v>
      </c>
      <c r="L671" s="304">
        <f t="shared" ca="1" si="290"/>
        <v>889.88833183355473</v>
      </c>
      <c r="M671" s="306">
        <f t="shared" ca="1" si="306"/>
        <v>-1.4753904544368828</v>
      </c>
      <c r="N671" s="304">
        <f t="shared" ca="1" si="307"/>
        <v>-84.533646173121966</v>
      </c>
      <c r="P671" s="310">
        <f t="shared" ca="1" si="308"/>
        <v>23</v>
      </c>
      <c r="Q671" s="304">
        <f t="shared" ca="1" si="309"/>
        <v>0</v>
      </c>
      <c r="R671" s="306">
        <f t="shared" ca="1" si="310"/>
        <v>0</v>
      </c>
      <c r="S671" s="307">
        <f t="shared" ca="1" si="311"/>
        <v>7.150000000000003</v>
      </c>
      <c r="T671" s="304">
        <f t="shared" ca="1" si="291"/>
        <v>70.141500000000036</v>
      </c>
      <c r="U671" s="311">
        <f t="shared" ca="1" si="292"/>
        <v>0</v>
      </c>
      <c r="V671" s="306">
        <f t="shared" ca="1" si="293"/>
        <v>1.2260392869767041</v>
      </c>
      <c r="W671" s="304">
        <f t="shared" ca="1" si="294"/>
        <v>54.646946172831314</v>
      </c>
      <c r="Y671" s="314" t="str">
        <f t="shared" ca="1" si="312"/>
        <v/>
      </c>
      <c r="Z671" s="315" t="str">
        <f t="shared" ca="1" si="313"/>
        <v/>
      </c>
      <c r="AA671" s="316" t="str">
        <f t="shared" ca="1" si="314"/>
        <v/>
      </c>
      <c r="AC671" s="310" t="e">
        <f t="shared" ca="1" si="315"/>
        <v>#N/A</v>
      </c>
      <c r="AD671" s="323" t="e">
        <f t="shared" ca="1" si="316"/>
        <v>#N/A</v>
      </c>
      <c r="AE671" s="324" t="e">
        <f t="shared" ca="1" si="295"/>
        <v>#N/A</v>
      </c>
      <c r="AG671" s="306">
        <f t="shared" ca="1" si="317"/>
        <v>2.1224917357851405</v>
      </c>
      <c r="AH671" s="304">
        <f t="shared" ca="1" si="318"/>
        <v>-7.6428947654589878</v>
      </c>
    </row>
    <row r="672" spans="1:34" x14ac:dyDescent="0.2">
      <c r="A672" s="347">
        <f t="shared" ca="1" si="296"/>
        <v>1E-4</v>
      </c>
      <c r="B672" s="304">
        <f t="shared" ca="1" si="297"/>
        <v>36.712100000000653</v>
      </c>
      <c r="D672" s="306">
        <f t="shared" ca="1" si="298"/>
        <v>-0.7280746622712343</v>
      </c>
      <c r="E672" s="307">
        <f t="shared" ca="1" si="299"/>
        <v>-2.2018281329899612</v>
      </c>
      <c r="F672" s="304">
        <f t="shared" ca="1" si="300"/>
        <v>2.3190816805510388</v>
      </c>
      <c r="G672" s="306">
        <f t="shared" ca="1" si="301"/>
        <v>12.448859351566927</v>
      </c>
      <c r="H672" s="307">
        <f t="shared" ca="1" si="302"/>
        <v>-130.08799872356462</v>
      </c>
      <c r="I672" s="304">
        <f t="shared" ca="1" si="303"/>
        <v>130.68229226278996</v>
      </c>
      <c r="J672" s="306">
        <f t="shared" ca="1" si="304"/>
        <v>889.84792314375909</v>
      </c>
      <c r="K672" s="307">
        <f t="shared" ca="1" si="305"/>
        <v>-8.4933867430304204</v>
      </c>
      <c r="L672" s="304">
        <f t="shared" ca="1" si="290"/>
        <v>889.88845589861876</v>
      </c>
      <c r="M672" s="306">
        <f t="shared" ca="1" si="306"/>
        <v>-1.4753911695394308</v>
      </c>
      <c r="N672" s="304">
        <f t="shared" ca="1" si="307"/>
        <v>-84.533687145479888</v>
      </c>
      <c r="P672" s="310">
        <f t="shared" ca="1" si="308"/>
        <v>23</v>
      </c>
      <c r="Q672" s="304">
        <f t="shared" ca="1" si="309"/>
        <v>0</v>
      </c>
      <c r="R672" s="306">
        <f t="shared" ca="1" si="310"/>
        <v>0</v>
      </c>
      <c r="S672" s="307">
        <f t="shared" ca="1" si="311"/>
        <v>7.150000000000003</v>
      </c>
      <c r="T672" s="304">
        <f t="shared" ca="1" si="291"/>
        <v>70.141500000000036</v>
      </c>
      <c r="U672" s="311">
        <f t="shared" ca="1" si="292"/>
        <v>0</v>
      </c>
      <c r="V672" s="306">
        <f t="shared" ca="1" si="293"/>
        <v>1.2260408819066506</v>
      </c>
      <c r="W672" s="304">
        <f t="shared" ca="1" si="294"/>
        <v>54.647194770741876</v>
      </c>
      <c r="Y672" s="314" t="str">
        <f t="shared" ca="1" si="312"/>
        <v/>
      </c>
      <c r="Z672" s="315" t="str">
        <f t="shared" ca="1" si="313"/>
        <v/>
      </c>
      <c r="AA672" s="316" t="str">
        <f t="shared" ca="1" si="314"/>
        <v/>
      </c>
      <c r="AC672" s="310" t="e">
        <f t="shared" ca="1" si="315"/>
        <v>#N/A</v>
      </c>
      <c r="AD672" s="323" t="e">
        <f t="shared" ca="1" si="316"/>
        <v>#N/A</v>
      </c>
      <c r="AE672" s="324" t="e">
        <f t="shared" ca="1" si="295"/>
        <v>#N/A</v>
      </c>
      <c r="AG672" s="306">
        <f t="shared" ca="1" si="317"/>
        <v>2.1224576348631841</v>
      </c>
      <c r="AH672" s="304">
        <f t="shared" ca="1" si="318"/>
        <v>-7.642929534661719</v>
      </c>
    </row>
    <row r="673" spans="1:34" x14ac:dyDescent="0.2">
      <c r="A673" s="347">
        <f t="shared" ca="1" si="296"/>
        <v>1E-4</v>
      </c>
      <c r="B673" s="304">
        <f t="shared" ca="1" si="297"/>
        <v>36.712200000000657</v>
      </c>
      <c r="D673" s="306">
        <f t="shared" ca="1" si="298"/>
        <v>-0.72807253375412351</v>
      </c>
      <c r="E673" s="307">
        <f t="shared" ca="1" si="299"/>
        <v>-2.2017930015212768</v>
      </c>
      <c r="F673" s="304">
        <f t="shared" ca="1" si="300"/>
        <v>2.3190476571116907</v>
      </c>
      <c r="G673" s="306">
        <f t="shared" ca="1" si="301"/>
        <v>12.448786544313553</v>
      </c>
      <c r="H673" s="307">
        <f t="shared" ca="1" si="302"/>
        <v>-130.08821890286478</v>
      </c>
      <c r="I673" s="304">
        <f t="shared" ca="1" si="303"/>
        <v>130.68250450517678</v>
      </c>
      <c r="J673" s="306">
        <f t="shared" ca="1" si="304"/>
        <v>889.84792314375909</v>
      </c>
      <c r="K673" s="307">
        <f t="shared" ca="1" si="305"/>
        <v>-8.5063955539117426</v>
      </c>
      <c r="L673" s="304">
        <f t="shared" ca="1" si="290"/>
        <v>889.88858015404435</v>
      </c>
      <c r="M673" s="306">
        <f t="shared" ca="1" si="306"/>
        <v>-1.4753918846354739</v>
      </c>
      <c r="N673" s="304">
        <f t="shared" ca="1" si="307"/>
        <v>-84.533728117465103</v>
      </c>
      <c r="P673" s="310">
        <f t="shared" ca="1" si="308"/>
        <v>23</v>
      </c>
      <c r="Q673" s="304">
        <f t="shared" ca="1" si="309"/>
        <v>0</v>
      </c>
      <c r="R673" s="306">
        <f t="shared" ca="1" si="310"/>
        <v>0</v>
      </c>
      <c r="S673" s="307">
        <f t="shared" ca="1" si="311"/>
        <v>7.150000000000003</v>
      </c>
      <c r="T673" s="304">
        <f t="shared" ca="1" si="291"/>
        <v>70.141500000000036</v>
      </c>
      <c r="U673" s="311">
        <f t="shared" ca="1" si="292"/>
        <v>0</v>
      </c>
      <c r="V673" s="306">
        <f t="shared" ca="1" si="293"/>
        <v>1.2260424768413727</v>
      </c>
      <c r="W673" s="304">
        <f t="shared" ca="1" si="294"/>
        <v>54.64744336676339</v>
      </c>
      <c r="Y673" s="314" t="str">
        <f t="shared" ca="1" si="312"/>
        <v/>
      </c>
      <c r="Z673" s="315" t="str">
        <f t="shared" ca="1" si="313"/>
        <v/>
      </c>
      <c r="AA673" s="316" t="str">
        <f t="shared" ca="1" si="314"/>
        <v/>
      </c>
      <c r="AC673" s="310" t="e">
        <f t="shared" ca="1" si="315"/>
        <v>#N/A</v>
      </c>
      <c r="AD673" s="323" t="e">
        <f t="shared" ca="1" si="316"/>
        <v>#N/A</v>
      </c>
      <c r="AE673" s="324" t="e">
        <f t="shared" ca="1" si="295"/>
        <v>#N/A</v>
      </c>
      <c r="AG673" s="306">
        <f t="shared" ca="1" si="317"/>
        <v>2.1224235341943469</v>
      </c>
      <c r="AH673" s="304">
        <f t="shared" ca="1" si="318"/>
        <v>-7.6429643036002588</v>
      </c>
    </row>
    <row r="674" spans="1:34" x14ac:dyDescent="0.2">
      <c r="A674" s="347">
        <f t="shared" ca="1" si="296"/>
        <v>1E-4</v>
      </c>
      <c r="B674" s="304">
        <f t="shared" ca="1" si="297"/>
        <v>36.71230000000066</v>
      </c>
      <c r="D674" s="306">
        <f t="shared" ca="1" si="298"/>
        <v>-0.72807040521146382</v>
      </c>
      <c r="E674" s="307">
        <f t="shared" ca="1" si="299"/>
        <v>-2.2017578703194811</v>
      </c>
      <c r="F674" s="304">
        <f t="shared" ca="1" si="300"/>
        <v>2.3190136339527117</v>
      </c>
      <c r="G674" s="306">
        <f t="shared" ca="1" si="301"/>
        <v>12.448713737273032</v>
      </c>
      <c r="H674" s="307">
        <f t="shared" ca="1" si="302"/>
        <v>-130.08843907865182</v>
      </c>
      <c r="I674" s="304">
        <f t="shared" ca="1" si="303"/>
        <v>130.68271674415357</v>
      </c>
      <c r="J674" s="306">
        <f t="shared" ca="1" si="304"/>
        <v>889.84792314375909</v>
      </c>
      <c r="K674" s="307">
        <f t="shared" ca="1" si="305"/>
        <v>-8.5194043868108178</v>
      </c>
      <c r="L674" s="304">
        <f t="shared" ca="1" si="290"/>
        <v>889.88870459983218</v>
      </c>
      <c r="M674" s="306">
        <f t="shared" ca="1" si="306"/>
        <v>-1.4753925997250119</v>
      </c>
      <c r="N674" s="304">
        <f t="shared" ca="1" si="307"/>
        <v>-84.533769089077609</v>
      </c>
      <c r="P674" s="310">
        <f t="shared" ca="1" si="308"/>
        <v>23</v>
      </c>
      <c r="Q674" s="304">
        <f t="shared" ca="1" si="309"/>
        <v>0</v>
      </c>
      <c r="R674" s="306">
        <f t="shared" ca="1" si="310"/>
        <v>0</v>
      </c>
      <c r="S674" s="307">
        <f t="shared" ca="1" si="311"/>
        <v>7.150000000000003</v>
      </c>
      <c r="T674" s="304">
        <f t="shared" ca="1" si="291"/>
        <v>70.141500000000036</v>
      </c>
      <c r="U674" s="311">
        <f t="shared" ca="1" si="292"/>
        <v>0</v>
      </c>
      <c r="V674" s="306">
        <f t="shared" ca="1" si="293"/>
        <v>1.2260440717808698</v>
      </c>
      <c r="W674" s="304">
        <f t="shared" ca="1" si="294"/>
        <v>54.647691960895919</v>
      </c>
      <c r="Y674" s="314" t="str">
        <f t="shared" ca="1" si="312"/>
        <v/>
      </c>
      <c r="Z674" s="315" t="str">
        <f t="shared" ca="1" si="313"/>
        <v/>
      </c>
      <c r="AA674" s="316" t="str">
        <f t="shared" ca="1" si="314"/>
        <v/>
      </c>
      <c r="AC674" s="310" t="e">
        <f t="shared" ca="1" si="315"/>
        <v>#N/A</v>
      </c>
      <c r="AD674" s="323" t="e">
        <f t="shared" ca="1" si="316"/>
        <v>#N/A</v>
      </c>
      <c r="AE674" s="324" t="e">
        <f t="shared" ca="1" si="295"/>
        <v>#N/A</v>
      </c>
      <c r="AG674" s="306">
        <f t="shared" ca="1" si="317"/>
        <v>2.1223894337786415</v>
      </c>
      <c r="AH674" s="304">
        <f t="shared" ca="1" si="318"/>
        <v>-7.6429990722745966</v>
      </c>
    </row>
    <row r="675" spans="1:34" x14ac:dyDescent="0.2">
      <c r="A675" s="347">
        <f t="shared" ca="1" si="296"/>
        <v>1E-4</v>
      </c>
      <c r="B675" s="304">
        <f t="shared" ca="1" si="297"/>
        <v>36.712400000000663</v>
      </c>
      <c r="D675" s="306">
        <f t="shared" ca="1" si="298"/>
        <v>-0.72806827664325724</v>
      </c>
      <c r="E675" s="307">
        <f t="shared" ca="1" si="299"/>
        <v>-2.2017227393845689</v>
      </c>
      <c r="F675" s="304">
        <f t="shared" ca="1" si="300"/>
        <v>2.3189796110740977</v>
      </c>
      <c r="G675" s="306">
        <f t="shared" ca="1" si="301"/>
        <v>12.448640930445368</v>
      </c>
      <c r="H675" s="307">
        <f t="shared" ca="1" si="302"/>
        <v>-130.08865925092576</v>
      </c>
      <c r="I675" s="304">
        <f t="shared" ca="1" si="303"/>
        <v>130.68292897972034</v>
      </c>
      <c r="J675" s="306">
        <f t="shared" ca="1" si="304"/>
        <v>889.84792314375909</v>
      </c>
      <c r="K675" s="307">
        <f t="shared" ca="1" si="305"/>
        <v>-8.532413241727296</v>
      </c>
      <c r="L675" s="304">
        <f t="shared" ca="1" si="290"/>
        <v>889.88882923598328</v>
      </c>
      <c r="M675" s="306">
        <f t="shared" ca="1" si="306"/>
        <v>-1.4753933148080451</v>
      </c>
      <c r="N675" s="304">
        <f t="shared" ca="1" si="307"/>
        <v>-84.533810060317407</v>
      </c>
      <c r="P675" s="310">
        <f t="shared" ca="1" si="308"/>
        <v>23</v>
      </c>
      <c r="Q675" s="304">
        <f t="shared" ca="1" si="309"/>
        <v>0</v>
      </c>
      <c r="R675" s="306">
        <f t="shared" ca="1" si="310"/>
        <v>0</v>
      </c>
      <c r="S675" s="307">
        <f t="shared" ca="1" si="311"/>
        <v>7.150000000000003</v>
      </c>
      <c r="T675" s="304">
        <f t="shared" ca="1" si="291"/>
        <v>70.141500000000036</v>
      </c>
      <c r="U675" s="311">
        <f t="shared" ca="1" si="292"/>
        <v>0</v>
      </c>
      <c r="V675" s="306">
        <f t="shared" ca="1" si="293"/>
        <v>1.2260456667251423</v>
      </c>
      <c r="W675" s="304">
        <f t="shared" ca="1" si="294"/>
        <v>54.647940553139442</v>
      </c>
      <c r="Y675" s="314" t="str">
        <f t="shared" ca="1" si="312"/>
        <v/>
      </c>
      <c r="Z675" s="315" t="str">
        <f t="shared" ca="1" si="313"/>
        <v/>
      </c>
      <c r="AA675" s="316" t="str">
        <f t="shared" ca="1" si="314"/>
        <v/>
      </c>
      <c r="AC675" s="310" t="e">
        <f t="shared" ca="1" si="315"/>
        <v>#N/A</v>
      </c>
      <c r="AD675" s="323" t="e">
        <f t="shared" ca="1" si="316"/>
        <v>#N/A</v>
      </c>
      <c r="AE675" s="324" t="e">
        <f t="shared" ca="1" si="295"/>
        <v>#N/A</v>
      </c>
      <c r="AG675" s="306">
        <f t="shared" ca="1" si="317"/>
        <v>2.1223553336160546</v>
      </c>
      <c r="AH675" s="304">
        <f t="shared" ca="1" si="318"/>
        <v>-7.6430338406847405</v>
      </c>
    </row>
    <row r="676" spans="1:34" x14ac:dyDescent="0.2">
      <c r="A676" s="347">
        <f t="shared" ca="1" si="296"/>
        <v>1E-4</v>
      </c>
      <c r="B676" s="304">
        <f t="shared" ca="1" si="297"/>
        <v>36.712500000000666</v>
      </c>
      <c r="D676" s="306">
        <f t="shared" ca="1" si="298"/>
        <v>-0.72806614804950298</v>
      </c>
      <c r="E676" s="307">
        <f t="shared" ca="1" si="299"/>
        <v>-2.2016876087165418</v>
      </c>
      <c r="F676" s="304">
        <f t="shared" ca="1" si="300"/>
        <v>2.3189455884758496</v>
      </c>
      <c r="G676" s="306">
        <f t="shared" ca="1" si="301"/>
        <v>12.448568123830563</v>
      </c>
      <c r="H676" s="307">
        <f t="shared" ca="1" si="302"/>
        <v>-130.08887941968663</v>
      </c>
      <c r="I676" s="304">
        <f t="shared" ca="1" si="303"/>
        <v>130.68314121187711</v>
      </c>
      <c r="J676" s="306">
        <f t="shared" ca="1" si="304"/>
        <v>889.84792314375909</v>
      </c>
      <c r="K676" s="307">
        <f t="shared" ca="1" si="305"/>
        <v>-8.5454221186608272</v>
      </c>
      <c r="L676" s="304">
        <f t="shared" ca="1" si="290"/>
        <v>889.88895406249844</v>
      </c>
      <c r="M676" s="306">
        <f t="shared" ca="1" si="306"/>
        <v>-1.4753940298845734</v>
      </c>
      <c r="N676" s="304">
        <f t="shared" ca="1" si="307"/>
        <v>-84.533851031184511</v>
      </c>
      <c r="P676" s="310">
        <f t="shared" ca="1" si="308"/>
        <v>23</v>
      </c>
      <c r="Q676" s="304">
        <f t="shared" ca="1" si="309"/>
        <v>0</v>
      </c>
      <c r="R676" s="306">
        <f t="shared" ca="1" si="310"/>
        <v>0</v>
      </c>
      <c r="S676" s="307">
        <f t="shared" ca="1" si="311"/>
        <v>7.150000000000003</v>
      </c>
      <c r="T676" s="304">
        <f t="shared" ca="1" si="291"/>
        <v>70.141500000000036</v>
      </c>
      <c r="U676" s="311">
        <f t="shared" ca="1" si="292"/>
        <v>0</v>
      </c>
      <c r="V676" s="306">
        <f t="shared" ca="1" si="293"/>
        <v>1.2260472616741895</v>
      </c>
      <c r="W676" s="304">
        <f t="shared" ca="1" si="294"/>
        <v>54.648189143493966</v>
      </c>
      <c r="Y676" s="314" t="str">
        <f t="shared" ca="1" si="312"/>
        <v/>
      </c>
      <c r="Z676" s="315" t="str">
        <f t="shared" ca="1" si="313"/>
        <v/>
      </c>
      <c r="AA676" s="316" t="str">
        <f t="shared" ca="1" si="314"/>
        <v/>
      </c>
      <c r="AC676" s="310" t="e">
        <f t="shared" ca="1" si="315"/>
        <v>#N/A</v>
      </c>
      <c r="AD676" s="323" t="e">
        <f t="shared" ca="1" si="316"/>
        <v>#N/A</v>
      </c>
      <c r="AE676" s="324" t="e">
        <f t="shared" ca="1" si="295"/>
        <v>#N/A</v>
      </c>
      <c r="AG676" s="306">
        <f t="shared" ca="1" si="317"/>
        <v>2.122321233706594</v>
      </c>
      <c r="AH676" s="304">
        <f t="shared" ca="1" si="318"/>
        <v>-7.6430686088306876</v>
      </c>
    </row>
    <row r="677" spans="1:34" x14ac:dyDescent="0.2">
      <c r="A677" s="347">
        <f t="shared" ca="1" si="296"/>
        <v>1E-4</v>
      </c>
      <c r="B677" s="304">
        <f t="shared" ca="1" si="297"/>
        <v>36.71260000000067</v>
      </c>
      <c r="D677" s="306">
        <f t="shared" ca="1" si="298"/>
        <v>-0.72806401943020427</v>
      </c>
      <c r="E677" s="307">
        <f t="shared" ca="1" si="299"/>
        <v>-2.2016524783153981</v>
      </c>
      <c r="F677" s="304">
        <f t="shared" ca="1" si="300"/>
        <v>2.318911566157968</v>
      </c>
      <c r="G677" s="306">
        <f t="shared" ca="1" si="301"/>
        <v>12.44849531742862</v>
      </c>
      <c r="H677" s="307">
        <f t="shared" ca="1" si="302"/>
        <v>-130.08909958493447</v>
      </c>
      <c r="I677" s="304">
        <f t="shared" ca="1" si="303"/>
        <v>130.68335344062396</v>
      </c>
      <c r="J677" s="306">
        <f t="shared" ca="1" si="304"/>
        <v>889.84792314375909</v>
      </c>
      <c r="K677" s="307">
        <f t="shared" ca="1" si="305"/>
        <v>-8.5584310176110581</v>
      </c>
      <c r="L677" s="304">
        <f t="shared" ca="1" si="290"/>
        <v>889.88907907937858</v>
      </c>
      <c r="M677" s="306">
        <f t="shared" ca="1" si="306"/>
        <v>-1.475394744954597</v>
      </c>
      <c r="N677" s="304">
        <f t="shared" ca="1" si="307"/>
        <v>-84.533892001678922</v>
      </c>
      <c r="P677" s="310">
        <f t="shared" ca="1" si="308"/>
        <v>23</v>
      </c>
      <c r="Q677" s="304">
        <f t="shared" ca="1" si="309"/>
        <v>0</v>
      </c>
      <c r="R677" s="306">
        <f t="shared" ca="1" si="310"/>
        <v>0</v>
      </c>
      <c r="S677" s="307">
        <f t="shared" ca="1" si="311"/>
        <v>7.150000000000003</v>
      </c>
      <c r="T677" s="304">
        <f t="shared" ca="1" si="291"/>
        <v>70.141500000000036</v>
      </c>
      <c r="U677" s="311">
        <f t="shared" ca="1" si="292"/>
        <v>0</v>
      </c>
      <c r="V677" s="306">
        <f t="shared" ca="1" si="293"/>
        <v>1.2260488566280126</v>
      </c>
      <c r="W677" s="304">
        <f t="shared" ca="1" si="294"/>
        <v>54.648437731959525</v>
      </c>
      <c r="Y677" s="314" t="str">
        <f t="shared" ca="1" si="312"/>
        <v/>
      </c>
      <c r="Z677" s="315" t="str">
        <f t="shared" ca="1" si="313"/>
        <v/>
      </c>
      <c r="AA677" s="316" t="str">
        <f t="shared" ca="1" si="314"/>
        <v/>
      </c>
      <c r="AC677" s="310" t="e">
        <f t="shared" ca="1" si="315"/>
        <v>#N/A</v>
      </c>
      <c r="AD677" s="323" t="e">
        <f t="shared" ca="1" si="316"/>
        <v>#N/A</v>
      </c>
      <c r="AE677" s="324" t="e">
        <f t="shared" ca="1" si="295"/>
        <v>#N/A</v>
      </c>
      <c r="AG677" s="306">
        <f t="shared" ca="1" si="317"/>
        <v>2.1222871340502527</v>
      </c>
      <c r="AH677" s="304">
        <f t="shared" ca="1" si="318"/>
        <v>-7.6431033767124399</v>
      </c>
    </row>
    <row r="678" spans="1:34" x14ac:dyDescent="0.2">
      <c r="A678" s="347">
        <f t="shared" ca="1" si="296"/>
        <v>1E-4</v>
      </c>
      <c r="B678" s="304">
        <f t="shared" ca="1" si="297"/>
        <v>36.712700000000673</v>
      </c>
      <c r="D678" s="306">
        <f t="shared" ca="1" si="298"/>
        <v>-0.72806189078535899</v>
      </c>
      <c r="E678" s="307">
        <f t="shared" ca="1" si="299"/>
        <v>-2.2016173481811334</v>
      </c>
      <c r="F678" s="304">
        <f t="shared" ca="1" si="300"/>
        <v>2.3188775441204474</v>
      </c>
      <c r="G678" s="306">
        <f t="shared" ca="1" si="301"/>
        <v>12.44842251123954</v>
      </c>
      <c r="H678" s="307">
        <f t="shared" ca="1" si="302"/>
        <v>-130.0893197466693</v>
      </c>
      <c r="I678" s="304">
        <f t="shared" ca="1" si="303"/>
        <v>130.68356566596083</v>
      </c>
      <c r="J678" s="306">
        <f t="shared" ca="1" si="304"/>
        <v>889.84792314375909</v>
      </c>
      <c r="K678" s="307">
        <f t="shared" ca="1" si="305"/>
        <v>-8.5714399385776385</v>
      </c>
      <c r="L678" s="304">
        <f t="shared" ca="1" si="290"/>
        <v>889.8892042866247</v>
      </c>
      <c r="M678" s="306">
        <f t="shared" ca="1" si="306"/>
        <v>-1.4753954600181158</v>
      </c>
      <c r="N678" s="304">
        <f t="shared" ca="1" si="307"/>
        <v>-84.533932971800624</v>
      </c>
      <c r="P678" s="310">
        <f t="shared" ca="1" si="308"/>
        <v>23</v>
      </c>
      <c r="Q678" s="304">
        <f t="shared" ca="1" si="309"/>
        <v>0</v>
      </c>
      <c r="R678" s="306">
        <f t="shared" ca="1" si="310"/>
        <v>0</v>
      </c>
      <c r="S678" s="307">
        <f t="shared" ca="1" si="311"/>
        <v>7.150000000000003</v>
      </c>
      <c r="T678" s="304">
        <f t="shared" ca="1" si="291"/>
        <v>70.141500000000036</v>
      </c>
      <c r="U678" s="311">
        <f t="shared" ca="1" si="292"/>
        <v>0</v>
      </c>
      <c r="V678" s="306">
        <f t="shared" ca="1" si="293"/>
        <v>1.2260504515866097</v>
      </c>
      <c r="W678" s="304">
        <f t="shared" ca="1" si="294"/>
        <v>54.648686318536022</v>
      </c>
      <c r="Y678" s="314" t="str">
        <f t="shared" ca="1" si="312"/>
        <v/>
      </c>
      <c r="Z678" s="315" t="str">
        <f t="shared" ca="1" si="313"/>
        <v/>
      </c>
      <c r="AA678" s="316" t="str">
        <f t="shared" ca="1" si="314"/>
        <v/>
      </c>
      <c r="AC678" s="310" t="e">
        <f t="shared" ca="1" si="315"/>
        <v>#N/A</v>
      </c>
      <c r="AD678" s="323" t="e">
        <f t="shared" ca="1" si="316"/>
        <v>#N/A</v>
      </c>
      <c r="AE678" s="324" t="e">
        <f t="shared" ca="1" si="295"/>
        <v>#N/A</v>
      </c>
      <c r="AG678" s="306">
        <f t="shared" ca="1" si="317"/>
        <v>2.1222530346470352</v>
      </c>
      <c r="AH678" s="304">
        <f t="shared" ca="1" si="318"/>
        <v>-7.6431381443299999</v>
      </c>
    </row>
    <row r="679" spans="1:34" x14ac:dyDescent="0.2">
      <c r="A679" s="347">
        <f t="shared" ca="1" si="296"/>
        <v>1E-4</v>
      </c>
      <c r="B679" s="304">
        <f t="shared" ca="1" si="297"/>
        <v>36.712800000000676</v>
      </c>
      <c r="D679" s="306">
        <f t="shared" ca="1" si="298"/>
        <v>-0.72805976211496926</v>
      </c>
      <c r="E679" s="307">
        <f t="shared" ca="1" si="299"/>
        <v>-2.2015822183137628</v>
      </c>
      <c r="F679" s="304">
        <f t="shared" ca="1" si="300"/>
        <v>2.3188435223633039</v>
      </c>
      <c r="G679" s="306">
        <f t="shared" ca="1" si="301"/>
        <v>12.448349705263329</v>
      </c>
      <c r="H679" s="307">
        <f t="shared" ca="1" si="302"/>
        <v>-130.08953990489113</v>
      </c>
      <c r="I679" s="304">
        <f t="shared" ca="1" si="303"/>
        <v>130.6837778878878</v>
      </c>
      <c r="J679" s="306">
        <f t="shared" ca="1" si="304"/>
        <v>889.84792314375909</v>
      </c>
      <c r="K679" s="307">
        <f t="shared" ca="1" si="305"/>
        <v>-8.5844488815602169</v>
      </c>
      <c r="L679" s="304">
        <f t="shared" ca="1" si="290"/>
        <v>889.88932968423751</v>
      </c>
      <c r="M679" s="306">
        <f t="shared" ca="1" si="306"/>
        <v>-1.4753961750751303</v>
      </c>
      <c r="N679" s="304">
        <f t="shared" ca="1" si="307"/>
        <v>-84.533973941549675</v>
      </c>
      <c r="P679" s="310">
        <f t="shared" ca="1" si="308"/>
        <v>23</v>
      </c>
      <c r="Q679" s="304">
        <f t="shared" ca="1" si="309"/>
        <v>0</v>
      </c>
      <c r="R679" s="306">
        <f t="shared" ca="1" si="310"/>
        <v>0</v>
      </c>
      <c r="S679" s="307">
        <f t="shared" ca="1" si="311"/>
        <v>7.150000000000003</v>
      </c>
      <c r="T679" s="304">
        <f t="shared" ca="1" si="291"/>
        <v>70.141500000000036</v>
      </c>
      <c r="U679" s="311">
        <f t="shared" ca="1" si="292"/>
        <v>0</v>
      </c>
      <c r="V679" s="306">
        <f t="shared" ca="1" si="293"/>
        <v>1.2260520465499827</v>
      </c>
      <c r="W679" s="304">
        <f t="shared" ca="1" si="294"/>
        <v>54.648934903223534</v>
      </c>
      <c r="Y679" s="314" t="str">
        <f t="shared" ca="1" si="312"/>
        <v/>
      </c>
      <c r="Z679" s="315" t="str">
        <f t="shared" ca="1" si="313"/>
        <v/>
      </c>
      <c r="AA679" s="316" t="str">
        <f t="shared" ca="1" si="314"/>
        <v/>
      </c>
      <c r="AC679" s="310" t="e">
        <f t="shared" ca="1" si="315"/>
        <v>#N/A</v>
      </c>
      <c r="AD679" s="323" t="e">
        <f t="shared" ca="1" si="316"/>
        <v>#N/A</v>
      </c>
      <c r="AE679" s="324" t="e">
        <f t="shared" ca="1" si="295"/>
        <v>#N/A</v>
      </c>
      <c r="AG679" s="306">
        <f t="shared" ca="1" si="317"/>
        <v>2.1222189354969494</v>
      </c>
      <c r="AH679" s="304">
        <f t="shared" ca="1" si="318"/>
        <v>-7.6431729116833562</v>
      </c>
    </row>
    <row r="680" spans="1:34" x14ac:dyDescent="0.2">
      <c r="A680" s="347">
        <f t="shared" ca="1" si="296"/>
        <v>1E-4</v>
      </c>
      <c r="B680" s="304">
        <f t="shared" ca="1" si="297"/>
        <v>36.71290000000068</v>
      </c>
      <c r="D680" s="306">
        <f t="shared" ca="1" si="298"/>
        <v>-0.72805763341903373</v>
      </c>
      <c r="E680" s="307">
        <f t="shared" ca="1" si="299"/>
        <v>-2.2015470887132729</v>
      </c>
      <c r="F680" s="304">
        <f t="shared" ca="1" si="300"/>
        <v>2.3188095008865242</v>
      </c>
      <c r="G680" s="306">
        <f t="shared" ca="1" si="301"/>
        <v>12.448276899499987</v>
      </c>
      <c r="H680" s="307">
        <f t="shared" ca="1" si="302"/>
        <v>-130.0897600596</v>
      </c>
      <c r="I680" s="304">
        <f t="shared" ca="1" si="303"/>
        <v>130.68399010640488</v>
      </c>
      <c r="J680" s="306">
        <f t="shared" ca="1" si="304"/>
        <v>889.84792314375909</v>
      </c>
      <c r="K680" s="307">
        <f t="shared" ca="1" si="305"/>
        <v>-8.5974578465584415</v>
      </c>
      <c r="L680" s="304">
        <f t="shared" ca="1" si="290"/>
        <v>889.8894552722179</v>
      </c>
      <c r="M680" s="306">
        <f t="shared" ca="1" si="306"/>
        <v>-1.4753968901256402</v>
      </c>
      <c r="N680" s="304">
        <f t="shared" ca="1" si="307"/>
        <v>-84.534014910926032</v>
      </c>
      <c r="P680" s="310">
        <f t="shared" ca="1" si="308"/>
        <v>23</v>
      </c>
      <c r="Q680" s="304">
        <f t="shared" ca="1" si="309"/>
        <v>0</v>
      </c>
      <c r="R680" s="306">
        <f t="shared" ca="1" si="310"/>
        <v>0</v>
      </c>
      <c r="S680" s="307">
        <f t="shared" ca="1" si="311"/>
        <v>7.150000000000003</v>
      </c>
      <c r="T680" s="304">
        <f t="shared" ca="1" si="291"/>
        <v>70.141500000000036</v>
      </c>
      <c r="U680" s="311">
        <f t="shared" ca="1" si="292"/>
        <v>0</v>
      </c>
      <c r="V680" s="306">
        <f t="shared" ca="1" si="293"/>
        <v>1.2260536415181302</v>
      </c>
      <c r="W680" s="304">
        <f t="shared" ca="1" si="294"/>
        <v>54.649183486022032</v>
      </c>
      <c r="Y680" s="314" t="str">
        <f t="shared" ca="1" si="312"/>
        <v/>
      </c>
      <c r="Z680" s="315" t="str">
        <f t="shared" ca="1" si="313"/>
        <v/>
      </c>
      <c r="AA680" s="316" t="str">
        <f t="shared" ca="1" si="314"/>
        <v/>
      </c>
      <c r="AC680" s="310" t="e">
        <f t="shared" ca="1" si="315"/>
        <v>#N/A</v>
      </c>
      <c r="AD680" s="323" t="e">
        <f t="shared" ca="1" si="316"/>
        <v>#N/A</v>
      </c>
      <c r="AE680" s="324" t="e">
        <f t="shared" ca="1" si="295"/>
        <v>#N/A</v>
      </c>
      <c r="AG680" s="306">
        <f t="shared" ca="1" si="317"/>
        <v>2.1221848365999829</v>
      </c>
      <c r="AH680" s="304">
        <f t="shared" ca="1" si="318"/>
        <v>-7.6432076787725194</v>
      </c>
    </row>
    <row r="681" spans="1:34" x14ac:dyDescent="0.2">
      <c r="A681" s="347">
        <f t="shared" ca="1" si="296"/>
        <v>1E-4</v>
      </c>
      <c r="B681" s="304">
        <f t="shared" ca="1" si="297"/>
        <v>36.713000000000683</v>
      </c>
      <c r="D681" s="306">
        <f t="shared" ca="1" si="298"/>
        <v>-0.72805550469755498</v>
      </c>
      <c r="E681" s="307">
        <f t="shared" ca="1" si="299"/>
        <v>-2.2015119593796699</v>
      </c>
      <c r="F681" s="304">
        <f t="shared" ca="1" si="300"/>
        <v>2.3187754796901157</v>
      </c>
      <c r="G681" s="306">
        <f t="shared" ca="1" si="301"/>
        <v>12.448204093949517</v>
      </c>
      <c r="H681" s="307">
        <f t="shared" ca="1" si="302"/>
        <v>-130.08998021079594</v>
      </c>
      <c r="I681" s="304">
        <f t="shared" ca="1" si="303"/>
        <v>130.68420232151206</v>
      </c>
      <c r="J681" s="306">
        <f t="shared" ca="1" si="304"/>
        <v>889.84792314375909</v>
      </c>
      <c r="K681" s="307">
        <f t="shared" ca="1" si="305"/>
        <v>-8.6104668335719605</v>
      </c>
      <c r="L681" s="304">
        <f t="shared" ca="1" si="290"/>
        <v>889.88958105056679</v>
      </c>
      <c r="M681" s="306">
        <f t="shared" ca="1" si="306"/>
        <v>-1.4753976051696458</v>
      </c>
      <c r="N681" s="304">
        <f t="shared" ca="1" si="307"/>
        <v>-84.53405587992971</v>
      </c>
      <c r="P681" s="310">
        <f t="shared" ca="1" si="308"/>
        <v>23</v>
      </c>
      <c r="Q681" s="304">
        <f t="shared" ca="1" si="309"/>
        <v>0</v>
      </c>
      <c r="R681" s="306">
        <f t="shared" ca="1" si="310"/>
        <v>0</v>
      </c>
      <c r="S681" s="307">
        <f t="shared" ca="1" si="311"/>
        <v>7.150000000000003</v>
      </c>
      <c r="T681" s="304">
        <f t="shared" ca="1" si="291"/>
        <v>70.141500000000036</v>
      </c>
      <c r="U681" s="311">
        <f t="shared" ca="1" si="292"/>
        <v>0</v>
      </c>
      <c r="V681" s="306">
        <f t="shared" ca="1" si="293"/>
        <v>1.2260552364910531</v>
      </c>
      <c r="W681" s="304">
        <f t="shared" ca="1" si="294"/>
        <v>54.649432066931496</v>
      </c>
      <c r="Y681" s="314" t="str">
        <f t="shared" ca="1" si="312"/>
        <v/>
      </c>
      <c r="Z681" s="315" t="str">
        <f t="shared" ca="1" si="313"/>
        <v/>
      </c>
      <c r="AA681" s="316" t="str">
        <f t="shared" ca="1" si="314"/>
        <v/>
      </c>
      <c r="AC681" s="310" t="e">
        <f t="shared" ca="1" si="315"/>
        <v>#N/A</v>
      </c>
      <c r="AD681" s="323" t="e">
        <f t="shared" ca="1" si="316"/>
        <v>#N/A</v>
      </c>
      <c r="AE681" s="324" t="e">
        <f t="shared" ca="1" si="295"/>
        <v>#N/A</v>
      </c>
      <c r="AG681" s="306">
        <f t="shared" ca="1" si="317"/>
        <v>2.1221507379561464</v>
      </c>
      <c r="AH681" s="304">
        <f t="shared" ca="1" si="318"/>
        <v>-7.6432424455974841</v>
      </c>
    </row>
    <row r="682" spans="1:34" x14ac:dyDescent="0.2">
      <c r="A682" s="347">
        <f t="shared" ca="1" si="296"/>
        <v>1E-4</v>
      </c>
      <c r="B682" s="304">
        <f t="shared" ca="1" si="297"/>
        <v>36.713100000000686</v>
      </c>
      <c r="D682" s="306">
        <f t="shared" ca="1" si="298"/>
        <v>-0.72805337595053232</v>
      </c>
      <c r="E682" s="307">
        <f t="shared" ca="1" si="299"/>
        <v>-2.2014768303129557</v>
      </c>
      <c r="F682" s="304">
        <f t="shared" ca="1" si="300"/>
        <v>2.3187414587740793</v>
      </c>
      <c r="G682" s="306">
        <f t="shared" ca="1" si="301"/>
        <v>12.448131288611922</v>
      </c>
      <c r="H682" s="307">
        <f t="shared" ca="1" si="302"/>
        <v>-130.09020035847897</v>
      </c>
      <c r="I682" s="304">
        <f t="shared" ca="1" si="303"/>
        <v>130.68441453320943</v>
      </c>
      <c r="J682" s="306">
        <f t="shared" ca="1" si="304"/>
        <v>889.84792314375909</v>
      </c>
      <c r="K682" s="307">
        <f t="shared" ca="1" si="305"/>
        <v>-8.6234758426004241</v>
      </c>
      <c r="L682" s="304">
        <f t="shared" ca="1" si="290"/>
        <v>889.8897070192852</v>
      </c>
      <c r="M682" s="306">
        <f t="shared" ca="1" si="306"/>
        <v>-1.475398320207147</v>
      </c>
      <c r="N682" s="304">
        <f t="shared" ca="1" si="307"/>
        <v>-84.534096848560722</v>
      </c>
      <c r="P682" s="310">
        <f t="shared" ca="1" si="308"/>
        <v>23</v>
      </c>
      <c r="Q682" s="304">
        <f t="shared" ca="1" si="309"/>
        <v>0</v>
      </c>
      <c r="R682" s="306">
        <f t="shared" ca="1" si="310"/>
        <v>0</v>
      </c>
      <c r="S682" s="307">
        <f t="shared" ca="1" si="311"/>
        <v>7.150000000000003</v>
      </c>
      <c r="T682" s="304">
        <f t="shared" ca="1" si="291"/>
        <v>70.141500000000036</v>
      </c>
      <c r="U682" s="311">
        <f t="shared" ca="1" si="292"/>
        <v>0</v>
      </c>
      <c r="V682" s="306">
        <f t="shared" ca="1" si="293"/>
        <v>1.2260568314687508</v>
      </c>
      <c r="W682" s="304">
        <f t="shared" ca="1" si="294"/>
        <v>54.649680645951975</v>
      </c>
      <c r="Y682" s="314" t="str">
        <f t="shared" ca="1" si="312"/>
        <v/>
      </c>
      <c r="Z682" s="315" t="str">
        <f t="shared" ca="1" si="313"/>
        <v/>
      </c>
      <c r="AA682" s="316" t="str">
        <f t="shared" ca="1" si="314"/>
        <v/>
      </c>
      <c r="AC682" s="310" t="e">
        <f t="shared" ca="1" si="315"/>
        <v>#N/A</v>
      </c>
      <c r="AD682" s="323" t="e">
        <f t="shared" ca="1" si="316"/>
        <v>#N/A</v>
      </c>
      <c r="AE682" s="324" t="e">
        <f t="shared" ca="1" si="295"/>
        <v>#N/A</v>
      </c>
      <c r="AG682" s="306">
        <f t="shared" ca="1" si="317"/>
        <v>2.1221166395654389</v>
      </c>
      <c r="AH682" s="304">
        <f t="shared" ca="1" si="318"/>
        <v>-7.6432772121582477</v>
      </c>
    </row>
    <row r="683" spans="1:34" x14ac:dyDescent="0.2">
      <c r="A683" s="347">
        <f t="shared" ca="1" si="296"/>
        <v>1E-4</v>
      </c>
      <c r="B683" s="304">
        <f t="shared" ca="1" si="297"/>
        <v>36.71320000000069</v>
      </c>
      <c r="D683" s="306">
        <f t="shared" ca="1" si="298"/>
        <v>-0.72805124717796765</v>
      </c>
      <c r="E683" s="307">
        <f t="shared" ca="1" si="299"/>
        <v>-2.201441701513124</v>
      </c>
      <c r="F683" s="304">
        <f t="shared" ca="1" si="300"/>
        <v>2.3187074381384107</v>
      </c>
      <c r="G683" s="306">
        <f t="shared" ca="1" si="301"/>
        <v>12.448058483487204</v>
      </c>
      <c r="H683" s="307">
        <f t="shared" ca="1" si="302"/>
        <v>-130.09042050264912</v>
      </c>
      <c r="I683" s="304">
        <f t="shared" ca="1" si="303"/>
        <v>130.684626741497</v>
      </c>
      <c r="J683" s="306">
        <f t="shared" ca="1" si="304"/>
        <v>889.84792314375909</v>
      </c>
      <c r="K683" s="307">
        <f t="shared" ca="1" si="305"/>
        <v>-8.6364848736434805</v>
      </c>
      <c r="L683" s="304">
        <f t="shared" ca="1" si="290"/>
        <v>889.88983317837381</v>
      </c>
      <c r="M683" s="306">
        <f t="shared" ca="1" si="306"/>
        <v>-1.4753990352381441</v>
      </c>
      <c r="N683" s="304">
        <f t="shared" ca="1" si="307"/>
        <v>-84.534137816819083</v>
      </c>
      <c r="P683" s="310">
        <f t="shared" ca="1" si="308"/>
        <v>23</v>
      </c>
      <c r="Q683" s="304">
        <f t="shared" ca="1" si="309"/>
        <v>0</v>
      </c>
      <c r="R683" s="306">
        <f t="shared" ca="1" si="310"/>
        <v>0</v>
      </c>
      <c r="S683" s="307">
        <f t="shared" ca="1" si="311"/>
        <v>7.150000000000003</v>
      </c>
      <c r="T683" s="304">
        <f t="shared" ca="1" si="291"/>
        <v>70.141500000000036</v>
      </c>
      <c r="U683" s="311">
        <f t="shared" ca="1" si="292"/>
        <v>0</v>
      </c>
      <c r="V683" s="306">
        <f t="shared" ca="1" si="293"/>
        <v>1.2260584264512233</v>
      </c>
      <c r="W683" s="304">
        <f t="shared" ca="1" si="294"/>
        <v>54.649929223083447</v>
      </c>
      <c r="Y683" s="314" t="str">
        <f t="shared" ca="1" si="312"/>
        <v/>
      </c>
      <c r="Z683" s="315" t="str">
        <f t="shared" ca="1" si="313"/>
        <v/>
      </c>
      <c r="AA683" s="316" t="str">
        <f t="shared" ca="1" si="314"/>
        <v/>
      </c>
      <c r="AC683" s="310" t="e">
        <f t="shared" ca="1" si="315"/>
        <v>#N/A</v>
      </c>
      <c r="AD683" s="323" t="e">
        <f t="shared" ca="1" si="316"/>
        <v>#N/A</v>
      </c>
      <c r="AE683" s="324" t="e">
        <f t="shared" ca="1" si="295"/>
        <v>#N/A</v>
      </c>
      <c r="AG683" s="306">
        <f t="shared" ca="1" si="317"/>
        <v>2.1220825414278544</v>
      </c>
      <c r="AH683" s="304">
        <f t="shared" ca="1" si="318"/>
        <v>-7.6433119784548182</v>
      </c>
    </row>
    <row r="684" spans="1:34" x14ac:dyDescent="0.2">
      <c r="A684" s="347">
        <f t="shared" ca="1" si="296"/>
        <v>1E-4</v>
      </c>
      <c r="B684" s="304">
        <f t="shared" ca="1" si="297"/>
        <v>36.713300000000693</v>
      </c>
      <c r="D684" s="306">
        <f t="shared" ca="1" si="298"/>
        <v>-0.72804911837986019</v>
      </c>
      <c r="E684" s="307">
        <f t="shared" ca="1" si="299"/>
        <v>-2.2014065729801766</v>
      </c>
      <c r="F684" s="304">
        <f t="shared" ca="1" si="300"/>
        <v>2.3186734177831121</v>
      </c>
      <c r="G684" s="306">
        <f t="shared" ca="1" si="301"/>
        <v>12.447985678575366</v>
      </c>
      <c r="H684" s="307">
        <f t="shared" ca="1" si="302"/>
        <v>-130.09064064330641</v>
      </c>
      <c r="I684" s="304">
        <f t="shared" ca="1" si="303"/>
        <v>130.68483894637475</v>
      </c>
      <c r="J684" s="306">
        <f t="shared" ca="1" si="304"/>
        <v>889.84792314375909</v>
      </c>
      <c r="K684" s="307">
        <f t="shared" ca="1" si="305"/>
        <v>-8.649493926700778</v>
      </c>
      <c r="L684" s="304">
        <f t="shared" ca="1" si="290"/>
        <v>889.88995952783364</v>
      </c>
      <c r="M684" s="306">
        <f t="shared" ca="1" si="306"/>
        <v>-1.4753997502626368</v>
      </c>
      <c r="N684" s="304">
        <f t="shared" ca="1" si="307"/>
        <v>-84.534178784704764</v>
      </c>
      <c r="P684" s="310">
        <f t="shared" ca="1" si="308"/>
        <v>23</v>
      </c>
      <c r="Q684" s="304">
        <f t="shared" ca="1" si="309"/>
        <v>0</v>
      </c>
      <c r="R684" s="306">
        <f t="shared" ca="1" si="310"/>
        <v>0</v>
      </c>
      <c r="S684" s="307">
        <f t="shared" ca="1" si="311"/>
        <v>7.150000000000003</v>
      </c>
      <c r="T684" s="304">
        <f t="shared" ca="1" si="291"/>
        <v>70.141500000000036</v>
      </c>
      <c r="U684" s="311">
        <f t="shared" ca="1" si="292"/>
        <v>0</v>
      </c>
      <c r="V684" s="306">
        <f t="shared" ca="1" si="293"/>
        <v>1.2260600214384705</v>
      </c>
      <c r="W684" s="304">
        <f t="shared" ca="1" si="294"/>
        <v>54.650177798325856</v>
      </c>
      <c r="Y684" s="314" t="str">
        <f t="shared" ca="1" si="312"/>
        <v/>
      </c>
      <c r="Z684" s="315" t="str">
        <f t="shared" ca="1" si="313"/>
        <v/>
      </c>
      <c r="AA684" s="316" t="str">
        <f t="shared" ca="1" si="314"/>
        <v/>
      </c>
      <c r="AC684" s="310" t="e">
        <f t="shared" ca="1" si="315"/>
        <v>#N/A</v>
      </c>
      <c r="AD684" s="323" t="e">
        <f t="shared" ca="1" si="316"/>
        <v>#N/A</v>
      </c>
      <c r="AE684" s="324" t="e">
        <f t="shared" ca="1" si="295"/>
        <v>#N/A</v>
      </c>
      <c r="AG684" s="306">
        <f t="shared" ca="1" si="317"/>
        <v>2.1220484435433944</v>
      </c>
      <c r="AH684" s="304">
        <f t="shared" ca="1" si="318"/>
        <v>-7.6433467444871921</v>
      </c>
    </row>
    <row r="685" spans="1:34" x14ac:dyDescent="0.2">
      <c r="A685" s="347">
        <f t="shared" ca="1" si="296"/>
        <v>1E-4</v>
      </c>
      <c r="B685" s="304">
        <f t="shared" ca="1" si="297"/>
        <v>36.713400000000696</v>
      </c>
      <c r="D685" s="306">
        <f t="shared" ca="1" si="298"/>
        <v>-0.72804698955621228</v>
      </c>
      <c r="E685" s="307">
        <f t="shared" ca="1" si="299"/>
        <v>-2.2013714447141233</v>
      </c>
      <c r="F685" s="304">
        <f t="shared" ca="1" si="300"/>
        <v>2.3186393977081927</v>
      </c>
      <c r="G685" s="306">
        <f t="shared" ca="1" si="301"/>
        <v>12.44791287387641</v>
      </c>
      <c r="H685" s="307">
        <f t="shared" ca="1" si="302"/>
        <v>-130.0908607804509</v>
      </c>
      <c r="I685" s="304">
        <f t="shared" ca="1" si="303"/>
        <v>130.68505114784276</v>
      </c>
      <c r="J685" s="306">
        <f t="shared" ca="1" si="304"/>
        <v>889.84792314375909</v>
      </c>
      <c r="K685" s="307">
        <f t="shared" ca="1" si="305"/>
        <v>-8.6625030017719666</v>
      </c>
      <c r="L685" s="304">
        <f t="shared" ca="1" si="290"/>
        <v>889.89008606766549</v>
      </c>
      <c r="M685" s="306">
        <f t="shared" ca="1" si="306"/>
        <v>-1.4754004652806259</v>
      </c>
      <c r="N685" s="304">
        <f t="shared" ca="1" si="307"/>
        <v>-84.534219752217808</v>
      </c>
      <c r="P685" s="310">
        <f t="shared" ca="1" si="308"/>
        <v>23</v>
      </c>
      <c r="Q685" s="304">
        <f t="shared" ca="1" si="309"/>
        <v>0</v>
      </c>
      <c r="R685" s="306">
        <f t="shared" ca="1" si="310"/>
        <v>0</v>
      </c>
      <c r="S685" s="307">
        <f t="shared" ca="1" si="311"/>
        <v>7.150000000000003</v>
      </c>
      <c r="T685" s="304">
        <f t="shared" ca="1" si="291"/>
        <v>70.141500000000036</v>
      </c>
      <c r="U685" s="311">
        <f t="shared" ca="1" si="292"/>
        <v>0</v>
      </c>
      <c r="V685" s="306">
        <f t="shared" ca="1" si="293"/>
        <v>1.2260616164304929</v>
      </c>
      <c r="W685" s="304">
        <f t="shared" ca="1" si="294"/>
        <v>54.650426371679281</v>
      </c>
      <c r="Y685" s="314" t="str">
        <f t="shared" ca="1" si="312"/>
        <v/>
      </c>
      <c r="Z685" s="315" t="str">
        <f t="shared" ca="1" si="313"/>
        <v/>
      </c>
      <c r="AA685" s="316" t="str">
        <f t="shared" ca="1" si="314"/>
        <v/>
      </c>
      <c r="AC685" s="310" t="e">
        <f t="shared" ca="1" si="315"/>
        <v>#N/A</v>
      </c>
      <c r="AD685" s="323" t="e">
        <f t="shared" ca="1" si="316"/>
        <v>#N/A</v>
      </c>
      <c r="AE685" s="324" t="e">
        <f t="shared" ca="1" si="295"/>
        <v>#N/A</v>
      </c>
      <c r="AG685" s="306">
        <f t="shared" ca="1" si="317"/>
        <v>2.1220143459120688</v>
      </c>
      <c r="AH685" s="304">
        <f t="shared" ca="1" si="318"/>
        <v>-7.6433815102553613</v>
      </c>
    </row>
    <row r="686" spans="1:34" x14ac:dyDescent="0.2">
      <c r="A686" s="347">
        <f t="shared" ca="1" si="296"/>
        <v>1E-4</v>
      </c>
      <c r="B686" s="304">
        <f t="shared" ca="1" si="297"/>
        <v>36.7135000000007</v>
      </c>
      <c r="D686" s="306">
        <f t="shared" ca="1" si="298"/>
        <v>-0.7280448607070209</v>
      </c>
      <c r="E686" s="307">
        <f t="shared" ca="1" si="299"/>
        <v>-2.2013363167149507</v>
      </c>
      <c r="F686" s="304">
        <f t="shared" ca="1" si="300"/>
        <v>2.3186053779136397</v>
      </c>
      <c r="G686" s="306">
        <f t="shared" ca="1" si="301"/>
        <v>12.44784006939034</v>
      </c>
      <c r="H686" s="307">
        <f t="shared" ca="1" si="302"/>
        <v>-130.09108091408257</v>
      </c>
      <c r="I686" s="304">
        <f t="shared" ca="1" si="303"/>
        <v>130.68526334590101</v>
      </c>
      <c r="J686" s="306">
        <f t="shared" ca="1" si="304"/>
        <v>889.84792314375909</v>
      </c>
      <c r="K686" s="307">
        <f t="shared" ca="1" si="305"/>
        <v>-8.6755120988566929</v>
      </c>
      <c r="L686" s="304">
        <f t="shared" ca="1" si="290"/>
        <v>889.89021279787028</v>
      </c>
      <c r="M686" s="306">
        <f t="shared" ca="1" si="306"/>
        <v>-1.4754011802921108</v>
      </c>
      <c r="N686" s="304">
        <f t="shared" ca="1" si="307"/>
        <v>-84.534260719358201</v>
      </c>
      <c r="P686" s="310">
        <f t="shared" ca="1" si="308"/>
        <v>23</v>
      </c>
      <c r="Q686" s="304">
        <f t="shared" ca="1" si="309"/>
        <v>0</v>
      </c>
      <c r="R686" s="306">
        <f t="shared" ca="1" si="310"/>
        <v>0</v>
      </c>
      <c r="S686" s="307">
        <f t="shared" ca="1" si="311"/>
        <v>7.150000000000003</v>
      </c>
      <c r="T686" s="304">
        <f t="shared" ca="1" si="291"/>
        <v>70.141500000000036</v>
      </c>
      <c r="U686" s="311">
        <f t="shared" ca="1" si="292"/>
        <v>0</v>
      </c>
      <c r="V686" s="306">
        <f t="shared" ca="1" si="293"/>
        <v>1.22606321142729</v>
      </c>
      <c r="W686" s="304">
        <f t="shared" ca="1" si="294"/>
        <v>54.650674943143663</v>
      </c>
      <c r="Y686" s="314" t="str">
        <f t="shared" ca="1" si="312"/>
        <v/>
      </c>
      <c r="Z686" s="315" t="str">
        <f t="shared" ca="1" si="313"/>
        <v/>
      </c>
      <c r="AA686" s="316" t="str">
        <f t="shared" ca="1" si="314"/>
        <v/>
      </c>
      <c r="AC686" s="310" t="e">
        <f t="shared" ca="1" si="315"/>
        <v>#N/A</v>
      </c>
      <c r="AD686" s="323" t="e">
        <f t="shared" ca="1" si="316"/>
        <v>#N/A</v>
      </c>
      <c r="AE686" s="324" t="e">
        <f t="shared" ca="1" si="295"/>
        <v>#N/A</v>
      </c>
      <c r="AG686" s="306">
        <f t="shared" ca="1" si="317"/>
        <v>2.1219802485338688</v>
      </c>
      <c r="AH686" s="304">
        <f t="shared" ca="1" si="318"/>
        <v>-7.6434162757593365</v>
      </c>
    </row>
    <row r="687" spans="1:34" x14ac:dyDescent="0.2">
      <c r="A687" s="347">
        <f t="shared" ca="1" si="296"/>
        <v>1E-4</v>
      </c>
      <c r="B687" s="304">
        <f t="shared" ca="1" si="297"/>
        <v>36.713600000000703</v>
      </c>
      <c r="D687" s="306">
        <f t="shared" ca="1" si="298"/>
        <v>-0.72804273183229029</v>
      </c>
      <c r="E687" s="307">
        <f t="shared" ca="1" si="299"/>
        <v>-2.2013011889826686</v>
      </c>
      <c r="F687" s="304">
        <f t="shared" ca="1" si="300"/>
        <v>2.3185713583994638</v>
      </c>
      <c r="G687" s="306">
        <f t="shared" ca="1" si="301"/>
        <v>12.447767265117157</v>
      </c>
      <c r="H687" s="307">
        <f t="shared" ca="1" si="302"/>
        <v>-130.09130104420146</v>
      </c>
      <c r="I687" s="304">
        <f t="shared" ca="1" si="303"/>
        <v>130.68547554054953</v>
      </c>
      <c r="J687" s="306">
        <f t="shared" ca="1" si="304"/>
        <v>889.84792314375909</v>
      </c>
      <c r="K687" s="307">
        <f t="shared" ca="1" si="305"/>
        <v>-8.688521217954607</v>
      </c>
      <c r="L687" s="304">
        <f t="shared" ca="1" si="290"/>
        <v>889.89033971844879</v>
      </c>
      <c r="M687" s="306">
        <f t="shared" ca="1" si="306"/>
        <v>-1.4754018952970918</v>
      </c>
      <c r="N687" s="304">
        <f t="shared" ca="1" si="307"/>
        <v>-84.534301686125943</v>
      </c>
      <c r="P687" s="310">
        <f t="shared" ca="1" si="308"/>
        <v>23</v>
      </c>
      <c r="Q687" s="304">
        <f t="shared" ca="1" si="309"/>
        <v>0</v>
      </c>
      <c r="R687" s="306">
        <f t="shared" ca="1" si="310"/>
        <v>0</v>
      </c>
      <c r="S687" s="307">
        <f t="shared" ca="1" si="311"/>
        <v>7.150000000000003</v>
      </c>
      <c r="T687" s="304">
        <f t="shared" ca="1" si="291"/>
        <v>70.141500000000036</v>
      </c>
      <c r="U687" s="311">
        <f t="shared" ca="1" si="292"/>
        <v>0</v>
      </c>
      <c r="V687" s="306">
        <f t="shared" ca="1" si="293"/>
        <v>1.226064806428862</v>
      </c>
      <c r="W687" s="304">
        <f t="shared" ca="1" si="294"/>
        <v>54.650923512718997</v>
      </c>
      <c r="Y687" s="314" t="str">
        <f t="shared" ca="1" si="312"/>
        <v/>
      </c>
      <c r="Z687" s="315" t="str">
        <f t="shared" ca="1" si="313"/>
        <v/>
      </c>
      <c r="AA687" s="316" t="str">
        <f t="shared" ca="1" si="314"/>
        <v/>
      </c>
      <c r="AC687" s="310" t="e">
        <f t="shared" ca="1" si="315"/>
        <v>#N/A</v>
      </c>
      <c r="AD687" s="323" t="e">
        <f t="shared" ca="1" si="316"/>
        <v>#N/A</v>
      </c>
      <c r="AE687" s="324" t="e">
        <f t="shared" ca="1" si="295"/>
        <v>#N/A</v>
      </c>
      <c r="AG687" s="306">
        <f t="shared" ca="1" si="317"/>
        <v>2.1219461514087996</v>
      </c>
      <c r="AH687" s="304">
        <f t="shared" ca="1" si="318"/>
        <v>-7.6434510409991105</v>
      </c>
    </row>
    <row r="688" spans="1:34" x14ac:dyDescent="0.2">
      <c r="A688" s="347">
        <f t="shared" ca="1" si="296"/>
        <v>1E-4</v>
      </c>
      <c r="B688" s="304">
        <f t="shared" ca="1" si="297"/>
        <v>36.713700000000706</v>
      </c>
      <c r="D688" s="306">
        <f t="shared" ca="1" si="298"/>
        <v>-0.72804060293201955</v>
      </c>
      <c r="E688" s="307">
        <f t="shared" ca="1" si="299"/>
        <v>-2.201266061517277</v>
      </c>
      <c r="F688" s="304">
        <f t="shared" ca="1" si="300"/>
        <v>2.318537339165665</v>
      </c>
      <c r="G688" s="306">
        <f t="shared" ca="1" si="301"/>
        <v>12.447694461056864</v>
      </c>
      <c r="H688" s="307">
        <f t="shared" ca="1" si="302"/>
        <v>-130.0915211708076</v>
      </c>
      <c r="I688" s="304">
        <f t="shared" ca="1" si="303"/>
        <v>130.68568773178839</v>
      </c>
      <c r="J688" s="306">
        <f t="shared" ca="1" si="304"/>
        <v>889.84792314375909</v>
      </c>
      <c r="K688" s="307">
        <f t="shared" ca="1" si="305"/>
        <v>-8.701530359065357</v>
      </c>
      <c r="L688" s="304">
        <f t="shared" ca="1" si="290"/>
        <v>889.89046682940204</v>
      </c>
      <c r="M688" s="306">
        <f t="shared" ca="1" si="306"/>
        <v>-1.4754026102955693</v>
      </c>
      <c r="N688" s="304">
        <f t="shared" ca="1" si="307"/>
        <v>-84.534342652521062</v>
      </c>
      <c r="P688" s="310">
        <f t="shared" ca="1" si="308"/>
        <v>23</v>
      </c>
      <c r="Q688" s="304">
        <f t="shared" ca="1" si="309"/>
        <v>0</v>
      </c>
      <c r="R688" s="306">
        <f t="shared" ca="1" si="310"/>
        <v>0</v>
      </c>
      <c r="S688" s="307">
        <f t="shared" ca="1" si="311"/>
        <v>7.150000000000003</v>
      </c>
      <c r="T688" s="304">
        <f t="shared" ca="1" si="291"/>
        <v>70.141500000000036</v>
      </c>
      <c r="U688" s="311">
        <f t="shared" ca="1" si="292"/>
        <v>0</v>
      </c>
      <c r="V688" s="306">
        <f t="shared" ca="1" si="293"/>
        <v>1.226066401435209</v>
      </c>
      <c r="W688" s="304">
        <f t="shared" ca="1" si="294"/>
        <v>54.651172080405345</v>
      </c>
      <c r="Y688" s="314" t="str">
        <f t="shared" ca="1" si="312"/>
        <v/>
      </c>
      <c r="Z688" s="315" t="str">
        <f t="shared" ca="1" si="313"/>
        <v/>
      </c>
      <c r="AA688" s="316" t="str">
        <f t="shared" ca="1" si="314"/>
        <v/>
      </c>
      <c r="AC688" s="310" t="e">
        <f t="shared" ca="1" si="315"/>
        <v>#N/A</v>
      </c>
      <c r="AD688" s="323" t="e">
        <f t="shared" ca="1" si="316"/>
        <v>#N/A</v>
      </c>
      <c r="AE688" s="324" t="e">
        <f t="shared" ca="1" si="295"/>
        <v>#N/A</v>
      </c>
      <c r="AG688" s="306">
        <f t="shared" ca="1" si="317"/>
        <v>2.1219120545368648</v>
      </c>
      <c r="AH688" s="304">
        <f t="shared" ca="1" si="318"/>
        <v>-7.6434858059746817</v>
      </c>
    </row>
    <row r="689" spans="1:34" x14ac:dyDescent="0.2">
      <c r="A689" s="347">
        <f t="shared" ca="1" si="296"/>
        <v>1E-4</v>
      </c>
      <c r="B689" s="304">
        <f t="shared" ca="1" si="297"/>
        <v>36.71380000000071</v>
      </c>
      <c r="D689" s="306">
        <f t="shared" ca="1" si="298"/>
        <v>-0.72803847400620736</v>
      </c>
      <c r="E689" s="307">
        <f t="shared" ca="1" si="299"/>
        <v>-2.2012309343187679</v>
      </c>
      <c r="F689" s="304">
        <f t="shared" ca="1" si="300"/>
        <v>2.3185033202122365</v>
      </c>
      <c r="G689" s="306">
        <f t="shared" ca="1" si="301"/>
        <v>12.447621657209464</v>
      </c>
      <c r="H689" s="307">
        <f t="shared" ca="1" si="302"/>
        <v>-130.09174129390104</v>
      </c>
      <c r="I689" s="304">
        <f t="shared" ca="1" si="303"/>
        <v>130.68589991961761</v>
      </c>
      <c r="J689" s="306">
        <f t="shared" ca="1" si="304"/>
        <v>889.84792314375909</v>
      </c>
      <c r="K689" s="307">
        <f t="shared" ca="1" si="305"/>
        <v>-8.7145395221885931</v>
      </c>
      <c r="L689" s="304">
        <f t="shared" ca="1" si="290"/>
        <v>889.89059413073085</v>
      </c>
      <c r="M689" s="306">
        <f t="shared" ca="1" si="306"/>
        <v>-1.4754033252875429</v>
      </c>
      <c r="N689" s="304">
        <f t="shared" ca="1" si="307"/>
        <v>-84.534383618543529</v>
      </c>
      <c r="P689" s="310">
        <f t="shared" ca="1" si="308"/>
        <v>23</v>
      </c>
      <c r="Q689" s="304">
        <f t="shared" ca="1" si="309"/>
        <v>0</v>
      </c>
      <c r="R689" s="306">
        <f t="shared" ca="1" si="310"/>
        <v>0</v>
      </c>
      <c r="S689" s="307">
        <f t="shared" ca="1" si="311"/>
        <v>7.150000000000003</v>
      </c>
      <c r="T689" s="304">
        <f t="shared" ca="1" si="291"/>
        <v>70.141500000000036</v>
      </c>
      <c r="U689" s="311">
        <f t="shared" ca="1" si="292"/>
        <v>0</v>
      </c>
      <c r="V689" s="306">
        <f t="shared" ca="1" si="293"/>
        <v>1.2260679964463301</v>
      </c>
      <c r="W689" s="304">
        <f t="shared" ca="1" si="294"/>
        <v>54.651420646202666</v>
      </c>
      <c r="Y689" s="314" t="str">
        <f t="shared" ca="1" si="312"/>
        <v/>
      </c>
      <c r="Z689" s="315" t="str">
        <f t="shared" ca="1" si="313"/>
        <v/>
      </c>
      <c r="AA689" s="316" t="str">
        <f t="shared" ca="1" si="314"/>
        <v/>
      </c>
      <c r="AC689" s="310" t="e">
        <f t="shared" ca="1" si="315"/>
        <v>#N/A</v>
      </c>
      <c r="AD689" s="323" t="e">
        <f t="shared" ca="1" si="316"/>
        <v>#N/A</v>
      </c>
      <c r="AE689" s="324" t="e">
        <f t="shared" ca="1" si="295"/>
        <v>#N/A</v>
      </c>
      <c r="AG689" s="306">
        <f t="shared" ca="1" si="317"/>
        <v>2.121877957918052</v>
      </c>
      <c r="AH689" s="304">
        <f t="shared" ca="1" si="318"/>
        <v>-7.6435205706860589</v>
      </c>
    </row>
    <row r="690" spans="1:34" x14ac:dyDescent="0.2">
      <c r="A690" s="347">
        <f t="shared" ca="1" si="296"/>
        <v>1E-4</v>
      </c>
      <c r="B690" s="304">
        <f t="shared" ca="1" si="297"/>
        <v>36.713900000000713</v>
      </c>
      <c r="D690" s="306">
        <f t="shared" ca="1" si="298"/>
        <v>-0.72803634505485815</v>
      </c>
      <c r="E690" s="307">
        <f t="shared" ca="1" si="299"/>
        <v>-2.2011958073871476</v>
      </c>
      <c r="F690" s="304">
        <f t="shared" ca="1" si="300"/>
        <v>2.3184693015391842</v>
      </c>
      <c r="G690" s="306">
        <f t="shared" ca="1" si="301"/>
        <v>12.447548853574958</v>
      </c>
      <c r="H690" s="307">
        <f t="shared" ca="1" si="302"/>
        <v>-130.09196141348178</v>
      </c>
      <c r="I690" s="304">
        <f t="shared" ca="1" si="303"/>
        <v>130.68611210403716</v>
      </c>
      <c r="J690" s="306">
        <f t="shared" ca="1" si="304"/>
        <v>889.84792314375909</v>
      </c>
      <c r="K690" s="307">
        <f t="shared" ca="1" si="305"/>
        <v>-8.7275487073239617</v>
      </c>
      <c r="L690" s="304">
        <f t="shared" ca="1" si="290"/>
        <v>889.8907216224361</v>
      </c>
      <c r="M690" s="306">
        <f t="shared" ca="1" si="306"/>
        <v>-1.4754040402730131</v>
      </c>
      <c r="N690" s="304">
        <f t="shared" ca="1" si="307"/>
        <v>-84.534424584193388</v>
      </c>
      <c r="P690" s="310">
        <f t="shared" ca="1" si="308"/>
        <v>23</v>
      </c>
      <c r="Q690" s="304">
        <f t="shared" ca="1" si="309"/>
        <v>0</v>
      </c>
      <c r="R690" s="306">
        <f t="shared" ca="1" si="310"/>
        <v>0</v>
      </c>
      <c r="S690" s="307">
        <f t="shared" ca="1" si="311"/>
        <v>7.150000000000003</v>
      </c>
      <c r="T690" s="304">
        <f t="shared" ca="1" si="291"/>
        <v>70.141500000000036</v>
      </c>
      <c r="U690" s="311">
        <f t="shared" ca="1" si="292"/>
        <v>0</v>
      </c>
      <c r="V690" s="306">
        <f t="shared" ca="1" si="293"/>
        <v>1.2260695914622264</v>
      </c>
      <c r="W690" s="304">
        <f t="shared" ca="1" si="294"/>
        <v>54.651669210110938</v>
      </c>
      <c r="Y690" s="314" t="str">
        <f t="shared" ca="1" si="312"/>
        <v/>
      </c>
      <c r="Z690" s="315" t="str">
        <f t="shared" ca="1" si="313"/>
        <v/>
      </c>
      <c r="AA690" s="316" t="str">
        <f t="shared" ca="1" si="314"/>
        <v/>
      </c>
      <c r="AC690" s="310" t="e">
        <f t="shared" ca="1" si="315"/>
        <v>#N/A</v>
      </c>
      <c r="AD690" s="323" t="e">
        <f t="shared" ca="1" si="316"/>
        <v>#N/A</v>
      </c>
      <c r="AE690" s="324" t="e">
        <f t="shared" ca="1" si="295"/>
        <v>#N/A</v>
      </c>
      <c r="AG690" s="306">
        <f t="shared" ca="1" si="317"/>
        <v>2.12184386155237</v>
      </c>
      <c r="AH690" s="304">
        <f t="shared" ca="1" si="318"/>
        <v>-7.6435553351332368</v>
      </c>
    </row>
    <row r="691" spans="1:34" x14ac:dyDescent="0.2">
      <c r="A691" s="347">
        <f t="shared" ca="1" si="296"/>
        <v>1E-4</v>
      </c>
      <c r="B691" s="304">
        <f t="shared" ca="1" si="297"/>
        <v>36.714000000000716</v>
      </c>
      <c r="D691" s="306">
        <f t="shared" ca="1" si="298"/>
        <v>-0.72803421607796925</v>
      </c>
      <c r="E691" s="307">
        <f t="shared" ca="1" si="299"/>
        <v>-2.2011606807224169</v>
      </c>
      <c r="F691" s="304">
        <f t="shared" ca="1" si="300"/>
        <v>2.3184352831465098</v>
      </c>
      <c r="G691" s="306">
        <f t="shared" ca="1" si="301"/>
        <v>12.44747605015335</v>
      </c>
      <c r="H691" s="307">
        <f t="shared" ca="1" si="302"/>
        <v>-130.09218152954986</v>
      </c>
      <c r="I691" s="304">
        <f t="shared" ca="1" si="303"/>
        <v>130.68632428504711</v>
      </c>
      <c r="J691" s="306">
        <f t="shared" ca="1" si="304"/>
        <v>889.84792314375909</v>
      </c>
      <c r="K691" s="307">
        <f t="shared" ca="1" si="305"/>
        <v>-8.740557914471113</v>
      </c>
      <c r="L691" s="304">
        <f t="shared" ca="1" si="290"/>
        <v>889.89084930451872</v>
      </c>
      <c r="M691" s="306">
        <f t="shared" ca="1" si="306"/>
        <v>-1.4754047552519796</v>
      </c>
      <c r="N691" s="304">
        <f t="shared" ca="1" si="307"/>
        <v>-84.53446554947061</v>
      </c>
      <c r="P691" s="310">
        <f t="shared" ca="1" si="308"/>
        <v>23</v>
      </c>
      <c r="Q691" s="304">
        <f t="shared" ca="1" si="309"/>
        <v>0</v>
      </c>
      <c r="R691" s="306">
        <f t="shared" ca="1" si="310"/>
        <v>0</v>
      </c>
      <c r="S691" s="307">
        <f t="shared" ca="1" si="311"/>
        <v>7.150000000000003</v>
      </c>
      <c r="T691" s="304">
        <f t="shared" ca="1" si="291"/>
        <v>70.141500000000036</v>
      </c>
      <c r="U691" s="311">
        <f t="shared" ca="1" si="292"/>
        <v>0</v>
      </c>
      <c r="V691" s="306">
        <f t="shared" ca="1" si="293"/>
        <v>1.2260711864828975</v>
      </c>
      <c r="W691" s="304">
        <f t="shared" ca="1" si="294"/>
        <v>54.651917772130204</v>
      </c>
      <c r="Y691" s="314" t="str">
        <f t="shared" ca="1" si="312"/>
        <v/>
      </c>
      <c r="Z691" s="315" t="str">
        <f t="shared" ca="1" si="313"/>
        <v/>
      </c>
      <c r="AA691" s="316" t="str">
        <f t="shared" ca="1" si="314"/>
        <v/>
      </c>
      <c r="AC691" s="310" t="e">
        <f t="shared" ca="1" si="315"/>
        <v>#N/A</v>
      </c>
      <c r="AD691" s="323" t="e">
        <f t="shared" ca="1" si="316"/>
        <v>#N/A</v>
      </c>
      <c r="AE691" s="324" t="e">
        <f t="shared" ca="1" si="295"/>
        <v>#N/A</v>
      </c>
      <c r="AG691" s="306">
        <f t="shared" ca="1" si="317"/>
        <v>2.1218097654398225</v>
      </c>
      <c r="AH691" s="304">
        <f t="shared" ca="1" si="318"/>
        <v>-7.6435900993162118</v>
      </c>
    </row>
    <row r="692" spans="1:34" x14ac:dyDescent="0.2">
      <c r="A692" s="347">
        <f t="shared" ca="1" si="296"/>
        <v>1E-4</v>
      </c>
      <c r="B692" s="304">
        <f t="shared" ca="1" si="297"/>
        <v>36.71410000000072</v>
      </c>
      <c r="D692" s="306">
        <f t="shared" ca="1" si="298"/>
        <v>-0.72803208707554412</v>
      </c>
      <c r="E692" s="307">
        <f t="shared" ca="1" si="299"/>
        <v>-2.2011255543245722</v>
      </c>
      <c r="F692" s="304">
        <f t="shared" ca="1" si="300"/>
        <v>2.3184012650342107</v>
      </c>
      <c r="G692" s="306">
        <f t="shared" ca="1" si="301"/>
        <v>12.447403246944642</v>
      </c>
      <c r="H692" s="307">
        <f t="shared" ca="1" si="302"/>
        <v>-130.0924016421053</v>
      </c>
      <c r="I692" s="304">
        <f t="shared" ca="1" si="303"/>
        <v>130.6865364626475</v>
      </c>
      <c r="J692" s="306">
        <f t="shared" ca="1" si="304"/>
        <v>889.84792314375909</v>
      </c>
      <c r="K692" s="307">
        <f t="shared" ca="1" si="305"/>
        <v>-8.7535671436296951</v>
      </c>
      <c r="L692" s="304">
        <f t="shared" ca="1" si="290"/>
        <v>889.8909771769795</v>
      </c>
      <c r="M692" s="306">
        <f t="shared" ca="1" si="306"/>
        <v>-1.4754054702244428</v>
      </c>
      <c r="N692" s="304">
        <f t="shared" ca="1" si="307"/>
        <v>-84.534506514375224</v>
      </c>
      <c r="P692" s="310">
        <f t="shared" ca="1" si="308"/>
        <v>23</v>
      </c>
      <c r="Q692" s="304">
        <f t="shared" ca="1" si="309"/>
        <v>0</v>
      </c>
      <c r="R692" s="306">
        <f t="shared" ca="1" si="310"/>
        <v>0</v>
      </c>
      <c r="S692" s="307">
        <f t="shared" ca="1" si="311"/>
        <v>7.150000000000003</v>
      </c>
      <c r="T692" s="304">
        <f t="shared" ca="1" si="291"/>
        <v>70.141500000000036</v>
      </c>
      <c r="U692" s="311">
        <f t="shared" ca="1" si="292"/>
        <v>0</v>
      </c>
      <c r="V692" s="306">
        <f t="shared" ca="1" si="293"/>
        <v>1.226072781508343</v>
      </c>
      <c r="W692" s="304">
        <f t="shared" ca="1" si="294"/>
        <v>54.652166332260435</v>
      </c>
      <c r="Y692" s="314" t="str">
        <f t="shared" ca="1" si="312"/>
        <v/>
      </c>
      <c r="Z692" s="315" t="str">
        <f t="shared" ca="1" si="313"/>
        <v/>
      </c>
      <c r="AA692" s="316" t="str">
        <f t="shared" ca="1" si="314"/>
        <v/>
      </c>
      <c r="AC692" s="310" t="e">
        <f t="shared" ca="1" si="315"/>
        <v>#N/A</v>
      </c>
      <c r="AD692" s="323" t="e">
        <f t="shared" ca="1" si="316"/>
        <v>#N/A</v>
      </c>
      <c r="AE692" s="324" t="e">
        <f t="shared" ca="1" si="295"/>
        <v>#N/A</v>
      </c>
      <c r="AG692" s="306">
        <f t="shared" ca="1" si="317"/>
        <v>2.1217756695804013</v>
      </c>
      <c r="AH692" s="304">
        <f t="shared" ca="1" si="318"/>
        <v>-7.6436248632349901</v>
      </c>
    </row>
    <row r="693" spans="1:34" x14ac:dyDescent="0.2">
      <c r="A693" s="347">
        <f t="shared" ca="1" si="296"/>
        <v>1E-4</v>
      </c>
      <c r="B693" s="304">
        <f t="shared" ca="1" si="297"/>
        <v>36.714200000000723</v>
      </c>
      <c r="D693" s="306">
        <f t="shared" ca="1" si="298"/>
        <v>-0.72802995804758053</v>
      </c>
      <c r="E693" s="307">
        <f t="shared" ca="1" si="299"/>
        <v>-2.2010904281936163</v>
      </c>
      <c r="F693" s="304">
        <f t="shared" ca="1" si="300"/>
        <v>2.3183672472022887</v>
      </c>
      <c r="G693" s="306">
        <f t="shared" ca="1" si="301"/>
        <v>12.447330443948838</v>
      </c>
      <c r="H693" s="307">
        <f t="shared" ca="1" si="302"/>
        <v>-130.09262175114813</v>
      </c>
      <c r="I693" s="304">
        <f t="shared" ca="1" si="303"/>
        <v>130.6867486368383</v>
      </c>
      <c r="J693" s="306">
        <f t="shared" ca="1" si="304"/>
        <v>889.84792314375909</v>
      </c>
      <c r="K693" s="307">
        <f t="shared" ca="1" si="305"/>
        <v>-8.7665763947993582</v>
      </c>
      <c r="L693" s="304">
        <f t="shared" ca="1" si="290"/>
        <v>889.89110523981935</v>
      </c>
      <c r="M693" s="306">
        <f t="shared" ca="1" si="306"/>
        <v>-1.4754061851904026</v>
      </c>
      <c r="N693" s="304">
        <f t="shared" ca="1" si="307"/>
        <v>-84.534547478907214</v>
      </c>
      <c r="P693" s="310">
        <f t="shared" ca="1" si="308"/>
        <v>23</v>
      </c>
      <c r="Q693" s="304">
        <f t="shared" ca="1" si="309"/>
        <v>0</v>
      </c>
      <c r="R693" s="306">
        <f t="shared" ca="1" si="310"/>
        <v>0</v>
      </c>
      <c r="S693" s="307">
        <f t="shared" ca="1" si="311"/>
        <v>7.150000000000003</v>
      </c>
      <c r="T693" s="304">
        <f t="shared" ca="1" si="291"/>
        <v>70.141500000000036</v>
      </c>
      <c r="U693" s="311">
        <f t="shared" ca="1" si="292"/>
        <v>0</v>
      </c>
      <c r="V693" s="306">
        <f t="shared" ca="1" si="293"/>
        <v>1.2260743765385631</v>
      </c>
      <c r="W693" s="304">
        <f t="shared" ca="1" si="294"/>
        <v>54.652414890501603</v>
      </c>
      <c r="Y693" s="314" t="str">
        <f t="shared" ca="1" si="312"/>
        <v/>
      </c>
      <c r="Z693" s="315" t="str">
        <f t="shared" ca="1" si="313"/>
        <v/>
      </c>
      <c r="AA693" s="316" t="str">
        <f t="shared" ca="1" si="314"/>
        <v/>
      </c>
      <c r="AC693" s="310" t="e">
        <f t="shared" ca="1" si="315"/>
        <v>#N/A</v>
      </c>
      <c r="AD693" s="323" t="e">
        <f t="shared" ca="1" si="316"/>
        <v>#N/A</v>
      </c>
      <c r="AE693" s="324" t="e">
        <f t="shared" ca="1" si="295"/>
        <v>#N/A</v>
      </c>
      <c r="AG693" s="306">
        <f t="shared" ca="1" si="317"/>
        <v>2.1217415739741137</v>
      </c>
      <c r="AH693" s="304">
        <f t="shared" ca="1" si="318"/>
        <v>-7.6436596268895682</v>
      </c>
    </row>
    <row r="694" spans="1:34" x14ac:dyDescent="0.2">
      <c r="A694" s="347">
        <f t="shared" ca="1" si="296"/>
        <v>1E-4</v>
      </c>
      <c r="B694" s="304">
        <f t="shared" ca="1" si="297"/>
        <v>36.714300000000726</v>
      </c>
      <c r="D694" s="306">
        <f t="shared" ca="1" si="298"/>
        <v>-0.72802782899408081</v>
      </c>
      <c r="E694" s="307">
        <f t="shared" ca="1" si="299"/>
        <v>-2.2010553023295536</v>
      </c>
      <c r="F694" s="304">
        <f t="shared" ca="1" si="300"/>
        <v>2.3183332296507499</v>
      </c>
      <c r="G694" s="306">
        <f t="shared" ca="1" si="301"/>
        <v>12.447257641165939</v>
      </c>
      <c r="H694" s="307">
        <f t="shared" ca="1" si="302"/>
        <v>-130.09284185667838</v>
      </c>
      <c r="I694" s="304">
        <f t="shared" ca="1" si="303"/>
        <v>130.68696080761956</v>
      </c>
      <c r="J694" s="306">
        <f t="shared" ca="1" si="304"/>
        <v>889.84792314375909</v>
      </c>
      <c r="K694" s="307">
        <f t="shared" ca="1" si="305"/>
        <v>-8.7795856679797488</v>
      </c>
      <c r="L694" s="304">
        <f t="shared" ca="1" si="290"/>
        <v>889.89123349303918</v>
      </c>
      <c r="M694" s="306">
        <f t="shared" ca="1" si="306"/>
        <v>-1.4754069001498593</v>
      </c>
      <c r="N694" s="304">
        <f t="shared" ca="1" si="307"/>
        <v>-84.53458844306661</v>
      </c>
      <c r="P694" s="310">
        <f t="shared" ca="1" si="308"/>
        <v>23</v>
      </c>
      <c r="Q694" s="304">
        <f t="shared" ca="1" si="309"/>
        <v>0</v>
      </c>
      <c r="R694" s="306">
        <f t="shared" ca="1" si="310"/>
        <v>0</v>
      </c>
      <c r="S694" s="307">
        <f t="shared" ca="1" si="311"/>
        <v>7.150000000000003</v>
      </c>
      <c r="T694" s="304">
        <f t="shared" ca="1" si="291"/>
        <v>70.141500000000036</v>
      </c>
      <c r="U694" s="311">
        <f t="shared" ca="1" si="292"/>
        <v>0</v>
      </c>
      <c r="V694" s="306">
        <f t="shared" ca="1" si="293"/>
        <v>1.2260759715735581</v>
      </c>
      <c r="W694" s="304">
        <f t="shared" ca="1" si="294"/>
        <v>54.652663446853758</v>
      </c>
      <c r="Y694" s="314" t="str">
        <f t="shared" ca="1" si="312"/>
        <v/>
      </c>
      <c r="Z694" s="315" t="str">
        <f t="shared" ca="1" si="313"/>
        <v/>
      </c>
      <c r="AA694" s="316" t="str">
        <f t="shared" ca="1" si="314"/>
        <v/>
      </c>
      <c r="AC694" s="310" t="e">
        <f t="shared" ca="1" si="315"/>
        <v>#N/A</v>
      </c>
      <c r="AD694" s="323" t="e">
        <f t="shared" ca="1" si="316"/>
        <v>#N/A</v>
      </c>
      <c r="AE694" s="324" t="e">
        <f t="shared" ca="1" si="295"/>
        <v>#N/A</v>
      </c>
      <c r="AG694" s="306">
        <f t="shared" ca="1" si="317"/>
        <v>2.1217074786209622</v>
      </c>
      <c r="AH694" s="304">
        <f t="shared" ca="1" si="318"/>
        <v>-7.6436943902799417</v>
      </c>
    </row>
    <row r="695" spans="1:34" x14ac:dyDescent="0.2">
      <c r="A695" s="347">
        <f t="shared" ca="1" si="296"/>
        <v>1E-4</v>
      </c>
      <c r="B695" s="304">
        <f t="shared" ca="1" si="297"/>
        <v>36.71440000000073</v>
      </c>
      <c r="D695" s="306">
        <f t="shared" ca="1" si="298"/>
        <v>-0.7280256999150434</v>
      </c>
      <c r="E695" s="307">
        <f t="shared" ca="1" si="299"/>
        <v>-2.201020176732376</v>
      </c>
      <c r="F695" s="304">
        <f t="shared" ca="1" si="300"/>
        <v>2.318299212379586</v>
      </c>
      <c r="G695" s="306">
        <f t="shared" ca="1" si="301"/>
        <v>12.447184838595946</v>
      </c>
      <c r="H695" s="307">
        <f t="shared" ca="1" si="302"/>
        <v>-130.09306195869604</v>
      </c>
      <c r="I695" s="304">
        <f t="shared" ca="1" si="303"/>
        <v>130.68717297499131</v>
      </c>
      <c r="J695" s="306">
        <f t="shared" ca="1" si="304"/>
        <v>889.84792314375909</v>
      </c>
      <c r="K695" s="307">
        <f t="shared" ca="1" si="305"/>
        <v>-8.7925949631705169</v>
      </c>
      <c r="L695" s="304">
        <f t="shared" ca="1" si="290"/>
        <v>889.89136193663978</v>
      </c>
      <c r="M695" s="306">
        <f t="shared" ca="1" si="306"/>
        <v>-1.4754076151028128</v>
      </c>
      <c r="N695" s="304">
        <f t="shared" ca="1" si="307"/>
        <v>-84.534629406853398</v>
      </c>
      <c r="P695" s="310">
        <f t="shared" ca="1" si="308"/>
        <v>23</v>
      </c>
      <c r="Q695" s="304">
        <f t="shared" ca="1" si="309"/>
        <v>0</v>
      </c>
      <c r="R695" s="306">
        <f t="shared" ca="1" si="310"/>
        <v>0</v>
      </c>
      <c r="S695" s="307">
        <f t="shared" ca="1" si="311"/>
        <v>7.150000000000003</v>
      </c>
      <c r="T695" s="304">
        <f t="shared" ca="1" si="291"/>
        <v>70.141500000000036</v>
      </c>
      <c r="U695" s="311">
        <f t="shared" ca="1" si="292"/>
        <v>0</v>
      </c>
      <c r="V695" s="306">
        <f t="shared" ca="1" si="293"/>
        <v>1.2260775666133275</v>
      </c>
      <c r="W695" s="304">
        <f t="shared" ca="1" si="294"/>
        <v>54.652912001316849</v>
      </c>
      <c r="Y695" s="314" t="str">
        <f t="shared" ca="1" si="312"/>
        <v/>
      </c>
      <c r="Z695" s="315" t="str">
        <f t="shared" ca="1" si="313"/>
        <v/>
      </c>
      <c r="AA695" s="316" t="str">
        <f t="shared" ca="1" si="314"/>
        <v/>
      </c>
      <c r="AC695" s="310" t="e">
        <f t="shared" ca="1" si="315"/>
        <v>#N/A</v>
      </c>
      <c r="AD695" s="323" t="e">
        <f t="shared" ca="1" si="316"/>
        <v>#N/A</v>
      </c>
      <c r="AE695" s="324" t="e">
        <f t="shared" ca="1" si="295"/>
        <v>#N/A</v>
      </c>
      <c r="AG695" s="306">
        <f t="shared" ca="1" si="317"/>
        <v>2.1216733835209407</v>
      </c>
      <c r="AH695" s="304">
        <f t="shared" ca="1" si="318"/>
        <v>-7.6437291534061167</v>
      </c>
    </row>
    <row r="696" spans="1:34" x14ac:dyDescent="0.2">
      <c r="A696" s="347">
        <f t="shared" ca="1" si="296"/>
        <v>1E-4</v>
      </c>
      <c r="B696" s="304">
        <f t="shared" ca="1" si="297"/>
        <v>36.714500000000733</v>
      </c>
      <c r="D696" s="306">
        <f t="shared" ca="1" si="298"/>
        <v>-0.72802357081047087</v>
      </c>
      <c r="E696" s="307">
        <f t="shared" ca="1" si="299"/>
        <v>-2.2009850514020917</v>
      </c>
      <c r="F696" s="304">
        <f t="shared" ca="1" si="300"/>
        <v>2.3182651953888054</v>
      </c>
      <c r="G696" s="306">
        <f t="shared" ca="1" si="301"/>
        <v>12.447112036238865</v>
      </c>
      <c r="H696" s="307">
        <f t="shared" ca="1" si="302"/>
        <v>-130.09328205720118</v>
      </c>
      <c r="I696" s="304">
        <f t="shared" ca="1" si="303"/>
        <v>130.68738513895357</v>
      </c>
      <c r="J696" s="306">
        <f t="shared" ca="1" si="304"/>
        <v>889.84792314375909</v>
      </c>
      <c r="K696" s="307">
        <f t="shared" ca="1" si="305"/>
        <v>-8.8056042803713126</v>
      </c>
      <c r="L696" s="304">
        <f t="shared" ca="1" si="290"/>
        <v>889.8914905706223</v>
      </c>
      <c r="M696" s="306">
        <f t="shared" ca="1" si="306"/>
        <v>-1.4754083300492631</v>
      </c>
      <c r="N696" s="304">
        <f t="shared" ca="1" si="307"/>
        <v>-84.534670370267577</v>
      </c>
      <c r="P696" s="310">
        <f t="shared" ca="1" si="308"/>
        <v>23</v>
      </c>
      <c r="Q696" s="304">
        <f t="shared" ca="1" si="309"/>
        <v>0</v>
      </c>
      <c r="R696" s="306">
        <f t="shared" ca="1" si="310"/>
        <v>0</v>
      </c>
      <c r="S696" s="307">
        <f t="shared" ca="1" si="311"/>
        <v>7.150000000000003</v>
      </c>
      <c r="T696" s="304">
        <f t="shared" ca="1" si="291"/>
        <v>70.141500000000036</v>
      </c>
      <c r="U696" s="311">
        <f t="shared" ca="1" si="292"/>
        <v>0</v>
      </c>
      <c r="V696" s="306">
        <f t="shared" ca="1" si="293"/>
        <v>1.2260791616578715</v>
      </c>
      <c r="W696" s="304">
        <f t="shared" ca="1" si="294"/>
        <v>54.653160553890906</v>
      </c>
      <c r="Y696" s="314" t="str">
        <f t="shared" ca="1" si="312"/>
        <v/>
      </c>
      <c r="Z696" s="315" t="str">
        <f t="shared" ca="1" si="313"/>
        <v/>
      </c>
      <c r="AA696" s="316" t="str">
        <f t="shared" ca="1" si="314"/>
        <v/>
      </c>
      <c r="AC696" s="310" t="e">
        <f t="shared" ca="1" si="315"/>
        <v>#N/A</v>
      </c>
      <c r="AD696" s="323" t="e">
        <f t="shared" ca="1" si="316"/>
        <v>#N/A</v>
      </c>
      <c r="AE696" s="324" t="e">
        <f t="shared" ca="1" si="295"/>
        <v>#N/A</v>
      </c>
      <c r="AG696" s="306">
        <f t="shared" ca="1" si="317"/>
        <v>2.1216392886740545</v>
      </c>
      <c r="AH696" s="304">
        <f t="shared" ca="1" si="318"/>
        <v>-7.6437639162680879</v>
      </c>
    </row>
    <row r="697" spans="1:34" x14ac:dyDescent="0.2">
      <c r="A697" s="347">
        <f t="shared" ca="1" si="296"/>
        <v>1E-4</v>
      </c>
      <c r="B697" s="304">
        <f t="shared" ca="1" si="297"/>
        <v>36.714600000000736</v>
      </c>
      <c r="D697" s="306">
        <f t="shared" ca="1" si="298"/>
        <v>-0.72802144168036464</v>
      </c>
      <c r="E697" s="307">
        <f t="shared" ca="1" si="299"/>
        <v>-2.2009499263386969</v>
      </c>
      <c r="F697" s="304">
        <f t="shared" ca="1" si="300"/>
        <v>2.3182311786784062</v>
      </c>
      <c r="G697" s="306">
        <f t="shared" ca="1" si="301"/>
        <v>12.447039234094698</v>
      </c>
      <c r="H697" s="307">
        <f t="shared" ca="1" si="302"/>
        <v>-130.09350215219382</v>
      </c>
      <c r="I697" s="304">
        <f t="shared" ca="1" si="303"/>
        <v>130.68759729950639</v>
      </c>
      <c r="J697" s="306">
        <f t="shared" ca="1" si="304"/>
        <v>889.84792314375909</v>
      </c>
      <c r="K697" s="307">
        <f t="shared" ca="1" si="305"/>
        <v>-8.8186136195817824</v>
      </c>
      <c r="L697" s="304">
        <f t="shared" ca="1" si="290"/>
        <v>889.89161939498729</v>
      </c>
      <c r="M697" s="306">
        <f t="shared" ca="1" si="306"/>
        <v>-1.4754090449892105</v>
      </c>
      <c r="N697" s="304">
        <f t="shared" ca="1" si="307"/>
        <v>-84.534711333309161</v>
      </c>
      <c r="P697" s="310">
        <f t="shared" ca="1" si="308"/>
        <v>23</v>
      </c>
      <c r="Q697" s="304">
        <f t="shared" ca="1" si="309"/>
        <v>0</v>
      </c>
      <c r="R697" s="306">
        <f t="shared" ca="1" si="310"/>
        <v>0</v>
      </c>
      <c r="S697" s="307">
        <f t="shared" ca="1" si="311"/>
        <v>7.150000000000003</v>
      </c>
      <c r="T697" s="304">
        <f t="shared" ca="1" si="291"/>
        <v>70.141500000000036</v>
      </c>
      <c r="U697" s="311">
        <f t="shared" ca="1" si="292"/>
        <v>0</v>
      </c>
      <c r="V697" s="306">
        <f t="shared" ca="1" si="293"/>
        <v>1.2260807567071896</v>
      </c>
      <c r="W697" s="304">
        <f t="shared" ca="1" si="294"/>
        <v>54.653409104575914</v>
      </c>
      <c r="Y697" s="314" t="str">
        <f t="shared" ca="1" si="312"/>
        <v/>
      </c>
      <c r="Z697" s="315" t="str">
        <f t="shared" ca="1" si="313"/>
        <v/>
      </c>
      <c r="AA697" s="316" t="str">
        <f t="shared" ca="1" si="314"/>
        <v/>
      </c>
      <c r="AC697" s="310" t="e">
        <f t="shared" ca="1" si="315"/>
        <v>#N/A</v>
      </c>
      <c r="AD697" s="323" t="e">
        <f t="shared" ca="1" si="316"/>
        <v>#N/A</v>
      </c>
      <c r="AE697" s="324" t="e">
        <f t="shared" ca="1" si="295"/>
        <v>#N/A</v>
      </c>
      <c r="AG697" s="306">
        <f t="shared" ca="1" si="317"/>
        <v>2.1216051940803027</v>
      </c>
      <c r="AH697" s="304">
        <f t="shared" ca="1" si="318"/>
        <v>-7.6437986788658581</v>
      </c>
    </row>
    <row r="698" spans="1:34" x14ac:dyDescent="0.2">
      <c r="A698" s="347">
        <f t="shared" ca="1" si="296"/>
        <v>1E-4</v>
      </c>
      <c r="B698" s="304">
        <f t="shared" ca="1" si="297"/>
        <v>36.71470000000074</v>
      </c>
      <c r="D698" s="306">
        <f t="shared" ca="1" si="298"/>
        <v>-0.7280193125247223</v>
      </c>
      <c r="E698" s="307">
        <f t="shared" ca="1" si="299"/>
        <v>-2.2009148015421935</v>
      </c>
      <c r="F698" s="304">
        <f t="shared" ca="1" si="300"/>
        <v>2.3181971622483886</v>
      </c>
      <c r="G698" s="306">
        <f t="shared" ca="1" si="301"/>
        <v>12.446966432163444</v>
      </c>
      <c r="H698" s="307">
        <f t="shared" ca="1" si="302"/>
        <v>-130.09372224367397</v>
      </c>
      <c r="I698" s="304">
        <f t="shared" ca="1" si="303"/>
        <v>130.68780945664975</v>
      </c>
      <c r="J698" s="306">
        <f t="shared" ca="1" si="304"/>
        <v>889.84792314375909</v>
      </c>
      <c r="K698" s="307">
        <f t="shared" ca="1" si="305"/>
        <v>-8.8316229808015763</v>
      </c>
      <c r="L698" s="304">
        <f t="shared" ca="1" si="290"/>
        <v>889.89174840973578</v>
      </c>
      <c r="M698" s="306">
        <f t="shared" ca="1" si="306"/>
        <v>-1.4754097599226552</v>
      </c>
      <c r="N698" s="304">
        <f t="shared" ca="1" si="307"/>
        <v>-84.53475229597818</v>
      </c>
      <c r="P698" s="310">
        <f t="shared" ca="1" si="308"/>
        <v>23</v>
      </c>
      <c r="Q698" s="304">
        <f t="shared" ca="1" si="309"/>
        <v>0</v>
      </c>
      <c r="R698" s="306">
        <f t="shared" ca="1" si="310"/>
        <v>0</v>
      </c>
      <c r="S698" s="307">
        <f t="shared" ca="1" si="311"/>
        <v>7.150000000000003</v>
      </c>
      <c r="T698" s="304">
        <f t="shared" ca="1" si="291"/>
        <v>70.141500000000036</v>
      </c>
      <c r="U698" s="311">
        <f t="shared" ca="1" si="292"/>
        <v>0</v>
      </c>
      <c r="V698" s="306">
        <f t="shared" ca="1" si="293"/>
        <v>1.2260823517612827</v>
      </c>
      <c r="W698" s="304">
        <f t="shared" ca="1" si="294"/>
        <v>54.653657653371873</v>
      </c>
      <c r="Y698" s="314" t="str">
        <f t="shared" ca="1" si="312"/>
        <v/>
      </c>
      <c r="Z698" s="315" t="str">
        <f t="shared" ca="1" si="313"/>
        <v/>
      </c>
      <c r="AA698" s="316" t="str">
        <f t="shared" ca="1" si="314"/>
        <v/>
      </c>
      <c r="AC698" s="310" t="e">
        <f t="shared" ca="1" si="315"/>
        <v>#N/A</v>
      </c>
      <c r="AD698" s="323" t="e">
        <f t="shared" ca="1" si="316"/>
        <v>#N/A</v>
      </c>
      <c r="AE698" s="324" t="e">
        <f t="shared" ca="1" si="295"/>
        <v>#N/A</v>
      </c>
      <c r="AG698" s="306">
        <f t="shared" ca="1" si="317"/>
        <v>2.1215710997396853</v>
      </c>
      <c r="AH698" s="304">
        <f t="shared" ca="1" si="318"/>
        <v>-7.6438334411994253</v>
      </c>
    </row>
    <row r="699" spans="1:34" x14ac:dyDescent="0.2">
      <c r="A699" s="347">
        <f t="shared" ca="1" si="296"/>
        <v>1E-4</v>
      </c>
      <c r="B699" s="304">
        <f t="shared" ca="1" si="297"/>
        <v>36.714800000000743</v>
      </c>
      <c r="D699" s="306">
        <f t="shared" ca="1" si="298"/>
        <v>-0.72801718334354537</v>
      </c>
      <c r="E699" s="307">
        <f t="shared" ca="1" si="299"/>
        <v>-2.2008796770125807</v>
      </c>
      <c r="F699" s="304">
        <f t="shared" ca="1" si="300"/>
        <v>2.3181631460987537</v>
      </c>
      <c r="G699" s="306">
        <f t="shared" ca="1" si="301"/>
        <v>12.446893630445111</v>
      </c>
      <c r="H699" s="307">
        <f t="shared" ca="1" si="302"/>
        <v>-130.09394233164167</v>
      </c>
      <c r="I699" s="304">
        <f t="shared" ca="1" si="303"/>
        <v>130.68802161038374</v>
      </c>
      <c r="J699" s="306">
        <f t="shared" ca="1" si="304"/>
        <v>889.84792314375909</v>
      </c>
      <c r="K699" s="307">
        <f t="shared" ca="1" si="305"/>
        <v>-8.8446323640303426</v>
      </c>
      <c r="L699" s="304">
        <f t="shared" ca="1" si="290"/>
        <v>889.89187761486858</v>
      </c>
      <c r="M699" s="306">
        <f t="shared" ca="1" si="306"/>
        <v>-1.4754104748495969</v>
      </c>
      <c r="N699" s="304">
        <f t="shared" ca="1" si="307"/>
        <v>-84.53479325827459</v>
      </c>
      <c r="P699" s="310">
        <f t="shared" ca="1" si="308"/>
        <v>23</v>
      </c>
      <c r="Q699" s="304">
        <f t="shared" ca="1" si="309"/>
        <v>0</v>
      </c>
      <c r="R699" s="306">
        <f t="shared" ca="1" si="310"/>
        <v>0</v>
      </c>
      <c r="S699" s="307">
        <f t="shared" ca="1" si="311"/>
        <v>7.150000000000003</v>
      </c>
      <c r="T699" s="304">
        <f t="shared" ca="1" si="291"/>
        <v>70.141500000000036</v>
      </c>
      <c r="U699" s="311">
        <f t="shared" ca="1" si="292"/>
        <v>0</v>
      </c>
      <c r="V699" s="306">
        <f t="shared" ca="1" si="293"/>
        <v>1.2260839468201501</v>
      </c>
      <c r="W699" s="304">
        <f t="shared" ca="1" si="294"/>
        <v>54.653906200278826</v>
      </c>
      <c r="Y699" s="314" t="str">
        <f t="shared" ca="1" si="312"/>
        <v/>
      </c>
      <c r="Z699" s="315" t="str">
        <f t="shared" ca="1" si="313"/>
        <v/>
      </c>
      <c r="AA699" s="316" t="str">
        <f t="shared" ca="1" si="314"/>
        <v/>
      </c>
      <c r="AC699" s="310" t="e">
        <f t="shared" ca="1" si="315"/>
        <v>#N/A</v>
      </c>
      <c r="AD699" s="323" t="e">
        <f t="shared" ca="1" si="316"/>
        <v>#N/A</v>
      </c>
      <c r="AE699" s="324" t="e">
        <f t="shared" ca="1" si="295"/>
        <v>#N/A</v>
      </c>
      <c r="AG699" s="306">
        <f t="shared" ca="1" si="317"/>
        <v>2.1215370056522014</v>
      </c>
      <c r="AH699" s="304">
        <f t="shared" ca="1" si="318"/>
        <v>-7.6438682032687906</v>
      </c>
    </row>
    <row r="700" spans="1:34" x14ac:dyDescent="0.2">
      <c r="A700" s="347">
        <f t="shared" ca="1" si="296"/>
        <v>1E-4</v>
      </c>
      <c r="B700" s="304">
        <f t="shared" ca="1" si="297"/>
        <v>36.714900000000746</v>
      </c>
      <c r="D700" s="306">
        <f t="shared" ca="1" si="298"/>
        <v>-0.72801505413683709</v>
      </c>
      <c r="E700" s="307">
        <f t="shared" ca="1" si="299"/>
        <v>-2.200844552749853</v>
      </c>
      <c r="F700" s="304">
        <f t="shared" ca="1" si="300"/>
        <v>2.3181291302294968</v>
      </c>
      <c r="G700" s="306">
        <f t="shared" ca="1" si="301"/>
        <v>12.446820828939696</v>
      </c>
      <c r="H700" s="307">
        <f t="shared" ca="1" si="302"/>
        <v>-130.09416241609694</v>
      </c>
      <c r="I700" s="304">
        <f t="shared" ca="1" si="303"/>
        <v>130.6882337607083</v>
      </c>
      <c r="J700" s="306">
        <f t="shared" ca="1" si="304"/>
        <v>889.84792314375909</v>
      </c>
      <c r="K700" s="307">
        <f t="shared" ca="1" si="305"/>
        <v>-8.8576417692677296</v>
      </c>
      <c r="L700" s="304">
        <f t="shared" ca="1" si="290"/>
        <v>889.89200701038669</v>
      </c>
      <c r="M700" s="306">
        <f t="shared" ca="1" si="306"/>
        <v>-1.4754111897700359</v>
      </c>
      <c r="N700" s="304">
        <f t="shared" ca="1" si="307"/>
        <v>-84.534834220198434</v>
      </c>
      <c r="P700" s="310">
        <f t="shared" ca="1" si="308"/>
        <v>23</v>
      </c>
      <c r="Q700" s="304">
        <f t="shared" ca="1" si="309"/>
        <v>0</v>
      </c>
      <c r="R700" s="306">
        <f t="shared" ca="1" si="310"/>
        <v>0</v>
      </c>
      <c r="S700" s="307">
        <f t="shared" ca="1" si="311"/>
        <v>7.150000000000003</v>
      </c>
      <c r="T700" s="304">
        <f t="shared" ca="1" si="291"/>
        <v>70.141500000000036</v>
      </c>
      <c r="U700" s="311">
        <f t="shared" ca="1" si="292"/>
        <v>0</v>
      </c>
      <c r="V700" s="306">
        <f t="shared" ca="1" si="293"/>
        <v>1.2260855418837922</v>
      </c>
      <c r="W700" s="304">
        <f t="shared" ca="1" si="294"/>
        <v>54.654154745296687</v>
      </c>
      <c r="Y700" s="314" t="str">
        <f t="shared" ca="1" si="312"/>
        <v/>
      </c>
      <c r="Z700" s="315" t="str">
        <f t="shared" ca="1" si="313"/>
        <v/>
      </c>
      <c r="AA700" s="316" t="str">
        <f t="shared" ca="1" si="314"/>
        <v/>
      </c>
      <c r="AC700" s="310" t="e">
        <f t="shared" ca="1" si="315"/>
        <v>#N/A</v>
      </c>
      <c r="AD700" s="323" t="e">
        <f t="shared" ca="1" si="316"/>
        <v>#N/A</v>
      </c>
      <c r="AE700" s="324" t="e">
        <f t="shared" ca="1" si="295"/>
        <v>#N/A</v>
      </c>
      <c r="AG700" s="306">
        <f t="shared" ca="1" si="317"/>
        <v>2.1215029118178501</v>
      </c>
      <c r="AH700" s="304">
        <f t="shared" ca="1" si="318"/>
        <v>-7.6439029650739583</v>
      </c>
    </row>
    <row r="701" spans="1:34" x14ac:dyDescent="0.2">
      <c r="A701" s="347">
        <f t="shared" ca="1" si="296"/>
        <v>1E-4</v>
      </c>
      <c r="B701" s="304">
        <f t="shared" ca="1" si="297"/>
        <v>36.715000000000749</v>
      </c>
      <c r="D701" s="306">
        <f t="shared" ca="1" si="298"/>
        <v>-0.72801292490459435</v>
      </c>
      <c r="E701" s="307">
        <f t="shared" ca="1" si="299"/>
        <v>-2.2008094287540221</v>
      </c>
      <c r="F701" s="304">
        <f t="shared" ca="1" si="300"/>
        <v>2.3180951146406281</v>
      </c>
      <c r="G701" s="306">
        <f t="shared" ca="1" si="301"/>
        <v>12.446748027647205</v>
      </c>
      <c r="H701" s="307">
        <f t="shared" ca="1" si="302"/>
        <v>-130.09438249703982</v>
      </c>
      <c r="I701" s="304">
        <f t="shared" ca="1" si="303"/>
        <v>130.68844590762353</v>
      </c>
      <c r="J701" s="306">
        <f t="shared" ca="1" si="304"/>
        <v>889.84792314375909</v>
      </c>
      <c r="K701" s="307">
        <f t="shared" ca="1" si="305"/>
        <v>-8.8706511965133856</v>
      </c>
      <c r="L701" s="304">
        <f t="shared" ca="1" si="290"/>
        <v>889.89213659629081</v>
      </c>
      <c r="M701" s="306">
        <f t="shared" ca="1" si="306"/>
        <v>-1.4754119046839724</v>
      </c>
      <c r="N701" s="304">
        <f t="shared" ca="1" si="307"/>
        <v>-84.534875181749712</v>
      </c>
      <c r="P701" s="310">
        <f t="shared" ca="1" si="308"/>
        <v>23</v>
      </c>
      <c r="Q701" s="304">
        <f t="shared" ca="1" si="309"/>
        <v>0</v>
      </c>
      <c r="R701" s="306">
        <f t="shared" ca="1" si="310"/>
        <v>0</v>
      </c>
      <c r="S701" s="307">
        <f t="shared" ca="1" si="311"/>
        <v>7.150000000000003</v>
      </c>
      <c r="T701" s="304">
        <f t="shared" ca="1" si="291"/>
        <v>70.141500000000036</v>
      </c>
      <c r="U701" s="311">
        <f t="shared" ca="1" si="292"/>
        <v>0</v>
      </c>
      <c r="V701" s="306">
        <f t="shared" ca="1" si="293"/>
        <v>1.2260871369522082</v>
      </c>
      <c r="W701" s="304">
        <f t="shared" ca="1" si="294"/>
        <v>54.654403288425506</v>
      </c>
      <c r="Y701" s="314" t="str">
        <f t="shared" ca="1" si="312"/>
        <v/>
      </c>
      <c r="Z701" s="315" t="str">
        <f t="shared" ca="1" si="313"/>
        <v/>
      </c>
      <c r="AA701" s="316" t="str">
        <f t="shared" ca="1" si="314"/>
        <v/>
      </c>
      <c r="AC701" s="310" t="e">
        <f t="shared" ca="1" si="315"/>
        <v>#N/A</v>
      </c>
      <c r="AD701" s="323" t="e">
        <f t="shared" ca="1" si="316"/>
        <v>#N/A</v>
      </c>
      <c r="AE701" s="324" t="e">
        <f t="shared" ca="1" si="295"/>
        <v>#N/A</v>
      </c>
      <c r="AG701" s="306">
        <f t="shared" ca="1" si="317"/>
        <v>2.1214688182366404</v>
      </c>
      <c r="AH701" s="304">
        <f t="shared" ca="1" si="318"/>
        <v>-7.6439377266149178</v>
      </c>
    </row>
    <row r="702" spans="1:34" x14ac:dyDescent="0.2">
      <c r="A702" s="347">
        <f t="shared" ca="1" si="296"/>
        <v>1E-4</v>
      </c>
      <c r="B702" s="304">
        <f t="shared" ca="1" si="297"/>
        <v>36.715100000000753</v>
      </c>
      <c r="D702" s="306">
        <f t="shared" ca="1" si="298"/>
        <v>-0.72801079564681914</v>
      </c>
      <c r="E702" s="307">
        <f t="shared" ca="1" si="299"/>
        <v>-2.2007743050250808</v>
      </c>
      <c r="F702" s="304">
        <f t="shared" ca="1" si="300"/>
        <v>2.3180610993321427</v>
      </c>
      <c r="G702" s="306">
        <f t="shared" ca="1" si="301"/>
        <v>12.44667522656764</v>
      </c>
      <c r="H702" s="307">
        <f t="shared" ca="1" si="302"/>
        <v>-130.09460257447031</v>
      </c>
      <c r="I702" s="304">
        <f t="shared" ca="1" si="303"/>
        <v>130.68865805112941</v>
      </c>
      <c r="J702" s="306">
        <f t="shared" ca="1" si="304"/>
        <v>889.84792314375909</v>
      </c>
      <c r="K702" s="307">
        <f t="shared" ca="1" si="305"/>
        <v>-8.8836606457669607</v>
      </c>
      <c r="L702" s="304">
        <f t="shared" ca="1" si="290"/>
        <v>889.89226637258207</v>
      </c>
      <c r="M702" s="306">
        <f t="shared" ca="1" si="306"/>
        <v>-1.4754126195914063</v>
      </c>
      <c r="N702" s="304">
        <f t="shared" ca="1" si="307"/>
        <v>-84.534916142928424</v>
      </c>
      <c r="P702" s="310">
        <f t="shared" ca="1" si="308"/>
        <v>23</v>
      </c>
      <c r="Q702" s="304">
        <f t="shared" ca="1" si="309"/>
        <v>0</v>
      </c>
      <c r="R702" s="306">
        <f t="shared" ca="1" si="310"/>
        <v>0</v>
      </c>
      <c r="S702" s="307">
        <f t="shared" ca="1" si="311"/>
        <v>7.150000000000003</v>
      </c>
      <c r="T702" s="304">
        <f t="shared" ca="1" si="291"/>
        <v>70.141500000000036</v>
      </c>
      <c r="U702" s="311">
        <f t="shared" ca="1" si="292"/>
        <v>0</v>
      </c>
      <c r="V702" s="306">
        <f t="shared" ca="1" si="293"/>
        <v>1.2260887320253988</v>
      </c>
      <c r="W702" s="304">
        <f t="shared" ca="1" si="294"/>
        <v>54.654651829665255</v>
      </c>
      <c r="Y702" s="314" t="str">
        <f t="shared" ca="1" si="312"/>
        <v/>
      </c>
      <c r="Z702" s="315" t="str">
        <f t="shared" ca="1" si="313"/>
        <v/>
      </c>
      <c r="AA702" s="316" t="str">
        <f t="shared" ca="1" si="314"/>
        <v/>
      </c>
      <c r="AC702" s="310" t="e">
        <f t="shared" ca="1" si="315"/>
        <v>#N/A</v>
      </c>
      <c r="AD702" s="323" t="e">
        <f t="shared" ca="1" si="316"/>
        <v>#N/A</v>
      </c>
      <c r="AE702" s="324" t="e">
        <f t="shared" ca="1" si="295"/>
        <v>#N/A</v>
      </c>
      <c r="AG702" s="306">
        <f t="shared" ca="1" si="317"/>
        <v>2.121434724908565</v>
      </c>
      <c r="AH702" s="304">
        <f t="shared" ca="1" si="318"/>
        <v>-7.6439724878916762</v>
      </c>
    </row>
    <row r="703" spans="1:34" x14ac:dyDescent="0.2">
      <c r="A703" s="347">
        <f t="shared" ca="1" si="296"/>
        <v>1E-4</v>
      </c>
      <c r="B703" s="304">
        <f t="shared" ca="1" si="297"/>
        <v>36.715200000000756</v>
      </c>
      <c r="D703" s="306">
        <f t="shared" ca="1" si="298"/>
        <v>-0.72800866636351214</v>
      </c>
      <c r="E703" s="307">
        <f t="shared" ca="1" si="299"/>
        <v>-2.2007391815630344</v>
      </c>
      <c r="F703" s="304">
        <f t="shared" ca="1" si="300"/>
        <v>2.3180270843040454</v>
      </c>
      <c r="G703" s="306">
        <f t="shared" ca="1" si="301"/>
        <v>12.446602425701004</v>
      </c>
      <c r="H703" s="307">
        <f t="shared" ca="1" si="302"/>
        <v>-130.09482264838846</v>
      </c>
      <c r="I703" s="304">
        <f t="shared" ca="1" si="303"/>
        <v>130.68887019122596</v>
      </c>
      <c r="J703" s="306">
        <f t="shared" ca="1" si="304"/>
        <v>889.84792314375909</v>
      </c>
      <c r="K703" s="307">
        <f t="shared" ca="1" si="305"/>
        <v>-8.8966701170281031</v>
      </c>
      <c r="L703" s="304">
        <f t="shared" ca="1" si="290"/>
        <v>889.89239633926115</v>
      </c>
      <c r="M703" s="306">
        <f t="shared" ca="1" si="306"/>
        <v>-1.4754133344923379</v>
      </c>
      <c r="N703" s="304">
        <f t="shared" ca="1" si="307"/>
        <v>-84.53495710373457</v>
      </c>
      <c r="P703" s="310">
        <f t="shared" ca="1" si="308"/>
        <v>23</v>
      </c>
      <c r="Q703" s="304">
        <f t="shared" ca="1" si="309"/>
        <v>0</v>
      </c>
      <c r="R703" s="306">
        <f t="shared" ca="1" si="310"/>
        <v>0</v>
      </c>
      <c r="S703" s="307">
        <f t="shared" ca="1" si="311"/>
        <v>7.150000000000003</v>
      </c>
      <c r="T703" s="304">
        <f t="shared" ca="1" si="291"/>
        <v>70.141500000000036</v>
      </c>
      <c r="U703" s="311">
        <f t="shared" ca="1" si="292"/>
        <v>0</v>
      </c>
      <c r="V703" s="306">
        <f t="shared" ca="1" si="293"/>
        <v>1.2260903271033641</v>
      </c>
      <c r="W703" s="304">
        <f t="shared" ca="1" si="294"/>
        <v>54.654900369015969</v>
      </c>
      <c r="Y703" s="314" t="str">
        <f t="shared" ca="1" si="312"/>
        <v/>
      </c>
      <c r="Z703" s="315" t="str">
        <f t="shared" ca="1" si="313"/>
        <v/>
      </c>
      <c r="AA703" s="316" t="str">
        <f t="shared" ca="1" si="314"/>
        <v/>
      </c>
      <c r="AC703" s="310" t="e">
        <f t="shared" ca="1" si="315"/>
        <v>#N/A</v>
      </c>
      <c r="AD703" s="323" t="e">
        <f t="shared" ca="1" si="316"/>
        <v>#N/A</v>
      </c>
      <c r="AE703" s="324" t="e">
        <f t="shared" ca="1" si="295"/>
        <v>#N/A</v>
      </c>
      <c r="AG703" s="306">
        <f t="shared" ca="1" si="317"/>
        <v>2.1214006318336276</v>
      </c>
      <c r="AH703" s="304">
        <f t="shared" ca="1" si="318"/>
        <v>-7.6440072489042281</v>
      </c>
    </row>
    <row r="704" spans="1:34" x14ac:dyDescent="0.2">
      <c r="A704" s="347">
        <f t="shared" ca="1" si="296"/>
        <v>1E-4</v>
      </c>
      <c r="B704" s="304">
        <f t="shared" ca="1" si="297"/>
        <v>36.715300000000759</v>
      </c>
      <c r="D704" s="306">
        <f t="shared" ca="1" si="298"/>
        <v>-0.72800653705467344</v>
      </c>
      <c r="E704" s="307">
        <f t="shared" ca="1" si="299"/>
        <v>-2.2007040583678759</v>
      </c>
      <c r="F704" s="304">
        <f t="shared" ca="1" si="300"/>
        <v>2.31799306955633</v>
      </c>
      <c r="G704" s="306">
        <f t="shared" ca="1" si="301"/>
        <v>12.446529625047297</v>
      </c>
      <c r="H704" s="307">
        <f t="shared" ca="1" si="302"/>
        <v>-130.0950427187943</v>
      </c>
      <c r="I704" s="304">
        <f t="shared" ca="1" si="303"/>
        <v>130.6890823279133</v>
      </c>
      <c r="J704" s="306">
        <f t="shared" ca="1" si="304"/>
        <v>889.84792314375909</v>
      </c>
      <c r="K704" s="307">
        <f t="shared" ca="1" si="305"/>
        <v>-8.9096796102964628</v>
      </c>
      <c r="L704" s="304">
        <f t="shared" ca="1" si="290"/>
        <v>889.89252649632897</v>
      </c>
      <c r="M704" s="306">
        <f t="shared" ca="1" si="306"/>
        <v>-1.4754140493867671</v>
      </c>
      <c r="N704" s="304">
        <f t="shared" ca="1" si="307"/>
        <v>-84.534998064168164</v>
      </c>
      <c r="P704" s="310">
        <f t="shared" ca="1" si="308"/>
        <v>23</v>
      </c>
      <c r="Q704" s="304">
        <f t="shared" ca="1" si="309"/>
        <v>0</v>
      </c>
      <c r="R704" s="306">
        <f t="shared" ca="1" si="310"/>
        <v>0</v>
      </c>
      <c r="S704" s="307">
        <f t="shared" ca="1" si="311"/>
        <v>7.150000000000003</v>
      </c>
      <c r="T704" s="304">
        <f t="shared" ca="1" si="291"/>
        <v>70.141500000000036</v>
      </c>
      <c r="U704" s="311">
        <f t="shared" ca="1" si="292"/>
        <v>0</v>
      </c>
      <c r="V704" s="306">
        <f t="shared" ca="1" si="293"/>
        <v>1.2260919221861033</v>
      </c>
      <c r="W704" s="304">
        <f t="shared" ca="1" si="294"/>
        <v>54.655148906477649</v>
      </c>
      <c r="Y704" s="314" t="str">
        <f t="shared" ca="1" si="312"/>
        <v/>
      </c>
      <c r="Z704" s="315" t="str">
        <f t="shared" ca="1" si="313"/>
        <v/>
      </c>
      <c r="AA704" s="316" t="str">
        <f t="shared" ca="1" si="314"/>
        <v/>
      </c>
      <c r="AC704" s="310" t="e">
        <f t="shared" ca="1" si="315"/>
        <v>#N/A</v>
      </c>
      <c r="AD704" s="323" t="e">
        <f t="shared" ca="1" si="316"/>
        <v>#N/A</v>
      </c>
      <c r="AE704" s="324" t="e">
        <f t="shared" ca="1" si="295"/>
        <v>#N/A</v>
      </c>
      <c r="AG704" s="306">
        <f t="shared" ca="1" si="317"/>
        <v>2.1213665390118255</v>
      </c>
      <c r="AH704" s="304">
        <f t="shared" ca="1" si="318"/>
        <v>-7.6440420096525798</v>
      </c>
    </row>
    <row r="705" spans="1:34" x14ac:dyDescent="0.2">
      <c r="A705" s="347">
        <f t="shared" ca="1" si="296"/>
        <v>1E-4</v>
      </c>
      <c r="B705" s="304">
        <f t="shared" ca="1" si="297"/>
        <v>36.715400000000763</v>
      </c>
      <c r="D705" s="306">
        <f t="shared" ca="1" si="298"/>
        <v>-0.72800440772030428</v>
      </c>
      <c r="E705" s="307">
        <f t="shared" ca="1" si="299"/>
        <v>-2.2006689354396078</v>
      </c>
      <c r="F705" s="304">
        <f t="shared" ca="1" si="300"/>
        <v>2.3179590550889997</v>
      </c>
      <c r="G705" s="306">
        <f t="shared" ca="1" si="301"/>
        <v>12.446456824606525</v>
      </c>
      <c r="H705" s="307">
        <f t="shared" ca="1" si="302"/>
        <v>-130.09526278568785</v>
      </c>
      <c r="I705" s="304">
        <f t="shared" ca="1" si="303"/>
        <v>130.68929446119134</v>
      </c>
      <c r="J705" s="306">
        <f t="shared" ca="1" si="304"/>
        <v>889.84792314375909</v>
      </c>
      <c r="K705" s="307">
        <f t="shared" ca="1" si="305"/>
        <v>-8.9226891255716865</v>
      </c>
      <c r="L705" s="304">
        <f t="shared" ca="1" si="290"/>
        <v>889.89265684378643</v>
      </c>
      <c r="M705" s="306">
        <f t="shared" ca="1" si="306"/>
        <v>-1.475414764274694</v>
      </c>
      <c r="N705" s="304">
        <f t="shared" ca="1" si="307"/>
        <v>-84.535039024229192</v>
      </c>
      <c r="P705" s="310">
        <f t="shared" ca="1" si="308"/>
        <v>23</v>
      </c>
      <c r="Q705" s="304">
        <f t="shared" ca="1" si="309"/>
        <v>0</v>
      </c>
      <c r="R705" s="306">
        <f t="shared" ca="1" si="310"/>
        <v>0</v>
      </c>
      <c r="S705" s="307">
        <f t="shared" ca="1" si="311"/>
        <v>7.150000000000003</v>
      </c>
      <c r="T705" s="304">
        <f t="shared" ca="1" si="291"/>
        <v>70.141500000000036</v>
      </c>
      <c r="U705" s="311">
        <f t="shared" ca="1" si="292"/>
        <v>0</v>
      </c>
      <c r="V705" s="306">
        <f t="shared" ca="1" si="293"/>
        <v>1.2260935172736169</v>
      </c>
      <c r="W705" s="304">
        <f t="shared" ca="1" si="294"/>
        <v>54.655397442050244</v>
      </c>
      <c r="Y705" s="314" t="str">
        <f t="shared" ca="1" si="312"/>
        <v/>
      </c>
      <c r="Z705" s="315" t="str">
        <f t="shared" ca="1" si="313"/>
        <v/>
      </c>
      <c r="AA705" s="316" t="str">
        <f t="shared" ca="1" si="314"/>
        <v/>
      </c>
      <c r="AC705" s="310" t="e">
        <f t="shared" ca="1" si="315"/>
        <v>#N/A</v>
      </c>
      <c r="AD705" s="323" t="e">
        <f t="shared" ca="1" si="316"/>
        <v>#N/A</v>
      </c>
      <c r="AE705" s="324" t="e">
        <f t="shared" ca="1" si="295"/>
        <v>#N/A</v>
      </c>
      <c r="AG705" s="306">
        <f t="shared" ca="1" si="317"/>
        <v>2.1213324464431578</v>
      </c>
      <c r="AH705" s="304">
        <f t="shared" ca="1" si="318"/>
        <v>-7.6440767701367305</v>
      </c>
    </row>
    <row r="706" spans="1:34" x14ac:dyDescent="0.2">
      <c r="A706" s="347">
        <f t="shared" ca="1" si="296"/>
        <v>1E-4</v>
      </c>
      <c r="B706" s="304">
        <f t="shared" ca="1" si="297"/>
        <v>36.715500000000766</v>
      </c>
      <c r="D706" s="306">
        <f t="shared" ca="1" si="298"/>
        <v>-0.72800227836040532</v>
      </c>
      <c r="E706" s="307">
        <f t="shared" ca="1" si="299"/>
        <v>-2.2006338127782348</v>
      </c>
      <c r="F706" s="304">
        <f t="shared" ca="1" si="300"/>
        <v>2.3179250409020589</v>
      </c>
      <c r="G706" s="306">
        <f t="shared" ca="1" si="301"/>
        <v>12.446384024378689</v>
      </c>
      <c r="H706" s="307">
        <f t="shared" ca="1" si="302"/>
        <v>-130.09548284906913</v>
      </c>
      <c r="I706" s="304">
        <f t="shared" ca="1" si="303"/>
        <v>130.68950659106014</v>
      </c>
      <c r="J706" s="306">
        <f t="shared" ca="1" si="304"/>
        <v>889.84792314375909</v>
      </c>
      <c r="K706" s="307">
        <f t="shared" ca="1" si="305"/>
        <v>-8.9356986628534241</v>
      </c>
      <c r="L706" s="304">
        <f t="shared" ca="1" si="290"/>
        <v>889.89278738163432</v>
      </c>
      <c r="M706" s="306">
        <f t="shared" ca="1" si="306"/>
        <v>-1.4754154791561185</v>
      </c>
      <c r="N706" s="304">
        <f t="shared" ca="1" si="307"/>
        <v>-84.535079983917669</v>
      </c>
      <c r="P706" s="310">
        <f t="shared" ca="1" si="308"/>
        <v>23</v>
      </c>
      <c r="Q706" s="304">
        <f t="shared" ca="1" si="309"/>
        <v>0</v>
      </c>
      <c r="R706" s="306">
        <f t="shared" ca="1" si="310"/>
        <v>0</v>
      </c>
      <c r="S706" s="307">
        <f t="shared" ca="1" si="311"/>
        <v>7.150000000000003</v>
      </c>
      <c r="T706" s="304">
        <f t="shared" ca="1" si="291"/>
        <v>70.141500000000036</v>
      </c>
      <c r="U706" s="311">
        <f t="shared" ca="1" si="292"/>
        <v>0</v>
      </c>
      <c r="V706" s="306">
        <f t="shared" ca="1" si="293"/>
        <v>1.2260951123659045</v>
      </c>
      <c r="W706" s="304">
        <f t="shared" ca="1" si="294"/>
        <v>54.655645975733769</v>
      </c>
      <c r="Y706" s="314" t="str">
        <f t="shared" ca="1" si="312"/>
        <v/>
      </c>
      <c r="Z706" s="315" t="str">
        <f t="shared" ca="1" si="313"/>
        <v/>
      </c>
      <c r="AA706" s="316" t="str">
        <f t="shared" ca="1" si="314"/>
        <v/>
      </c>
      <c r="AC706" s="310" t="e">
        <f t="shared" ca="1" si="315"/>
        <v>#N/A</v>
      </c>
      <c r="AD706" s="323" t="e">
        <f t="shared" ca="1" si="316"/>
        <v>#N/A</v>
      </c>
      <c r="AE706" s="324" t="e">
        <f t="shared" ca="1" si="295"/>
        <v>#N/A</v>
      </c>
      <c r="AG706" s="306">
        <f t="shared" ca="1" si="317"/>
        <v>2.1212983541276316</v>
      </c>
      <c r="AH706" s="304">
        <f t="shared" ca="1" si="318"/>
        <v>-7.6441115303566747</v>
      </c>
    </row>
    <row r="707" spans="1:34" x14ac:dyDescent="0.2">
      <c r="A707" s="347">
        <f t="shared" ca="1" si="296"/>
        <v>1E-4</v>
      </c>
      <c r="B707" s="304">
        <f t="shared" ca="1" si="297"/>
        <v>36.715600000000769</v>
      </c>
      <c r="D707" s="306">
        <f t="shared" ca="1" si="298"/>
        <v>-0.72800014897497789</v>
      </c>
      <c r="E707" s="307">
        <f t="shared" ca="1" si="299"/>
        <v>-2.2005986903837558</v>
      </c>
      <c r="F707" s="304">
        <f t="shared" ca="1" si="300"/>
        <v>2.3178910269955084</v>
      </c>
      <c r="G707" s="306">
        <f t="shared" ca="1" si="301"/>
        <v>12.446311224363791</v>
      </c>
      <c r="H707" s="307">
        <f t="shared" ca="1" si="302"/>
        <v>-130.09570290893816</v>
      </c>
      <c r="I707" s="304">
        <f t="shared" ca="1" si="303"/>
        <v>130.68971871751972</v>
      </c>
      <c r="J707" s="306">
        <f t="shared" ca="1" si="304"/>
        <v>889.84792314375909</v>
      </c>
      <c r="K707" s="307">
        <f t="shared" ca="1" si="305"/>
        <v>-8.9487082221413239</v>
      </c>
      <c r="L707" s="304">
        <f t="shared" ca="1" si="290"/>
        <v>889.89291810987368</v>
      </c>
      <c r="M707" s="306">
        <f t="shared" ca="1" si="306"/>
        <v>-1.4754161940310411</v>
      </c>
      <c r="N707" s="304">
        <f t="shared" ca="1" si="307"/>
        <v>-84.535120943233622</v>
      </c>
      <c r="P707" s="310">
        <f t="shared" ca="1" si="308"/>
        <v>23</v>
      </c>
      <c r="Q707" s="304">
        <f t="shared" ca="1" si="309"/>
        <v>0</v>
      </c>
      <c r="R707" s="306">
        <f t="shared" ca="1" si="310"/>
        <v>0</v>
      </c>
      <c r="S707" s="307">
        <f t="shared" ca="1" si="311"/>
        <v>7.150000000000003</v>
      </c>
      <c r="T707" s="304">
        <f t="shared" ca="1" si="291"/>
        <v>70.141500000000036</v>
      </c>
      <c r="U707" s="311">
        <f t="shared" ca="1" si="292"/>
        <v>0</v>
      </c>
      <c r="V707" s="306">
        <f t="shared" ca="1" si="293"/>
        <v>1.226096707462967</v>
      </c>
      <c r="W707" s="304">
        <f t="shared" ca="1" si="294"/>
        <v>54.655894507528238</v>
      </c>
      <c r="Y707" s="314" t="str">
        <f t="shared" ca="1" si="312"/>
        <v/>
      </c>
      <c r="Z707" s="315" t="str">
        <f t="shared" ca="1" si="313"/>
        <v/>
      </c>
      <c r="AA707" s="316" t="str">
        <f t="shared" ca="1" si="314"/>
        <v/>
      </c>
      <c r="AC707" s="310" t="e">
        <f t="shared" ca="1" si="315"/>
        <v>#N/A</v>
      </c>
      <c r="AD707" s="323" t="e">
        <f t="shared" ca="1" si="316"/>
        <v>#N/A</v>
      </c>
      <c r="AE707" s="324" t="e">
        <f t="shared" ca="1" si="295"/>
        <v>#N/A</v>
      </c>
      <c r="AG707" s="306">
        <f t="shared" ca="1" si="317"/>
        <v>2.1212642620652469</v>
      </c>
      <c r="AH707" s="304">
        <f t="shared" ca="1" si="318"/>
        <v>-7.6441462903124124</v>
      </c>
    </row>
    <row r="708" spans="1:34" x14ac:dyDescent="0.2">
      <c r="A708" s="347">
        <f t="shared" ca="1" si="296"/>
        <v>1E-4</v>
      </c>
      <c r="B708" s="304">
        <f t="shared" ca="1" si="297"/>
        <v>36.715700000000773</v>
      </c>
      <c r="D708" s="306">
        <f t="shared" ca="1" si="298"/>
        <v>-0.7279980195640201</v>
      </c>
      <c r="E708" s="307">
        <f t="shared" ca="1" si="299"/>
        <v>-2.2005635682561682</v>
      </c>
      <c r="F708" s="304">
        <f t="shared" ca="1" si="300"/>
        <v>2.3178570133693439</v>
      </c>
      <c r="G708" s="306">
        <f t="shared" ca="1" si="301"/>
        <v>12.446238424561836</v>
      </c>
      <c r="H708" s="307">
        <f t="shared" ca="1" si="302"/>
        <v>-130.09592296529499</v>
      </c>
      <c r="I708" s="304">
        <f t="shared" ca="1" si="303"/>
        <v>130.68993084057016</v>
      </c>
      <c r="J708" s="306">
        <f t="shared" ca="1" si="304"/>
        <v>889.84792314375909</v>
      </c>
      <c r="K708" s="307">
        <f t="shared" ca="1" si="305"/>
        <v>-8.961717803435036</v>
      </c>
      <c r="L708" s="304">
        <f t="shared" ref="L708:L771" ca="1" si="319">SQRT(pos_x^2+pos_z^2)</f>
        <v>889.89304902850529</v>
      </c>
      <c r="M708" s="306">
        <f t="shared" ca="1" si="306"/>
        <v>-1.4754169088994618</v>
      </c>
      <c r="N708" s="304">
        <f t="shared" ca="1" si="307"/>
        <v>-84.535161902177023</v>
      </c>
      <c r="P708" s="310">
        <f t="shared" ca="1" si="308"/>
        <v>23</v>
      </c>
      <c r="Q708" s="304">
        <f t="shared" ca="1" si="309"/>
        <v>0</v>
      </c>
      <c r="R708" s="306">
        <f t="shared" ca="1" si="310"/>
        <v>0</v>
      </c>
      <c r="S708" s="307">
        <f t="shared" ca="1" si="311"/>
        <v>7.150000000000003</v>
      </c>
      <c r="T708" s="304">
        <f t="shared" ref="T708:T771" ca="1" si="320">m*g</f>
        <v>70.141500000000036</v>
      </c>
      <c r="U708" s="311">
        <f t="shared" ref="U708:U771" ca="1" si="321">IF(pos_xz&lt;L_rampe,Poids*COS(Beta),0)</f>
        <v>0</v>
      </c>
      <c r="V708" s="306">
        <f t="shared" ref="V708:V771" ca="1" si="322">Rho_moyen*(20000-Alt_rampe-pos_z)/(20000+Alt_rampe+pos_z)</f>
        <v>1.2260983025648031</v>
      </c>
      <c r="W708" s="304">
        <f t="shared" ref="W708:W771" ca="1" si="323">1/2*Rho*Sref*Cx*vit_xz^2</f>
        <v>54.656143037433651</v>
      </c>
      <c r="Y708" s="314" t="str">
        <f t="shared" ca="1" si="312"/>
        <v/>
      </c>
      <c r="Z708" s="315" t="str">
        <f t="shared" ca="1" si="313"/>
        <v/>
      </c>
      <c r="AA708" s="316" t="str">
        <f t="shared" ca="1" si="314"/>
        <v/>
      </c>
      <c r="AC708" s="310" t="e">
        <f t="shared" ca="1" si="315"/>
        <v>#N/A</v>
      </c>
      <c r="AD708" s="323" t="e">
        <f t="shared" ca="1" si="316"/>
        <v>#N/A</v>
      </c>
      <c r="AE708" s="324" t="e">
        <f t="shared" ref="AE708:AE771" ca="1" si="324">IF(t&lt;T_para, pos_z, NA())</f>
        <v>#N/A</v>
      </c>
      <c r="AG708" s="306">
        <f t="shared" ca="1" si="317"/>
        <v>2.1212301702559992</v>
      </c>
      <c r="AH708" s="304">
        <f t="shared" ca="1" si="318"/>
        <v>-7.6441810500039464</v>
      </c>
    </row>
    <row r="709" spans="1:34" x14ac:dyDescent="0.2">
      <c r="A709" s="347">
        <f t="shared" ref="A709:A772" ca="1" si="325">IF(B708+0.01&lt;=T_ini+ROUNDUP(Temps_fin_propu,0), 0.01, IF(K708&gt;0, 0.1, 0.0001))</f>
        <v>1E-4</v>
      </c>
      <c r="B709" s="304">
        <f t="shared" ref="B709:B772" ca="1" si="326">B708+pas</f>
        <v>36.715800000000776</v>
      </c>
      <c r="D709" s="306">
        <f t="shared" ref="D709:D772" ca="1" si="327">IF(AND(L708&lt;L_rampe,Poussee&lt;Poids*SIN(M708)),0,(-W708+Poussee)/m*COS(M708)-U708/m*SIN(M708))</f>
        <v>-0.7279958901275333</v>
      </c>
      <c r="E709" s="307">
        <f t="shared" ref="E709:E772" ca="1" si="328">IF(AND(L708&lt;L_rampe,Poussee&lt;Poids*SIN(M708)),0,(-W708+Poussee)/m*SIN(M708)+U708/m*COS(M708)-Poids/m)</f>
        <v>-2.2005284463954746</v>
      </c>
      <c r="F709" s="304">
        <f t="shared" ref="F709:F772" ca="1" si="329">SQRT(acc_x^2+acc_z^2)</f>
        <v>2.3178230000235698</v>
      </c>
      <c r="G709" s="306">
        <f t="shared" ref="G709:G772" ca="1" si="330">G708+acc_x*pas</f>
        <v>12.446165624972823</v>
      </c>
      <c r="H709" s="307">
        <f t="shared" ref="H709:H772" ca="1" si="331">H708+acc_z*pas</f>
        <v>-130.09614301813963</v>
      </c>
      <c r="I709" s="304">
        <f t="shared" ref="I709:I772" ca="1" si="332">SQRT(vit_x^2+vit_z^2)</f>
        <v>130.6901429602114</v>
      </c>
      <c r="J709" s="306">
        <f t="shared" ref="J709:J772" ca="1" si="333">J708+0.5*(vit_x+G708)*pas*(K708&gt;=0)</f>
        <v>889.84792314375909</v>
      </c>
      <c r="K709" s="307">
        <f t="shared" ref="K709:K772" ca="1" si="334">K708+0.5*(vit_z+H708)*pas</f>
        <v>-8.9747274067342069</v>
      </c>
      <c r="L709" s="304">
        <f t="shared" ca="1" si="319"/>
        <v>889.89318013753007</v>
      </c>
      <c r="M709" s="306">
        <f t="shared" ref="M709:M772" ca="1" si="335">IF(AND(L708&gt;L_rampe,G709&gt;0),ATAN2(G709,H709),$M$4)</f>
        <v>-1.4754176237613805</v>
      </c>
      <c r="N709" s="304">
        <f t="shared" ref="N709:N772" ca="1" si="336">DEGREES(Beta)</f>
        <v>-84.535202860747916</v>
      </c>
      <c r="P709" s="310">
        <f t="shared" ref="P709:P772" ca="1" si="337">MATCH(t-pas/2-T_ini,CdP_t)</f>
        <v>23</v>
      </c>
      <c r="Q709" s="304">
        <f t="shared" ref="Q709:Q772" ca="1" si="338">(INDEX(CdP,2,i_P+1)-INDEX(CdP,2,i_P+0))/(INDEX(CdP,1,i_P+1)-INDEX(CdP,1,i_P+0))*(t-pas/2-T_ini-INDEX(CdP,1,i_P+0))+INDEX(CdP,2,i_P+0)</f>
        <v>0</v>
      </c>
      <c r="R709" s="306">
        <f t="shared" ref="R709:R772" ca="1" si="339">Poussee/(g*ISP)</f>
        <v>0</v>
      </c>
      <c r="S709" s="307">
        <f t="shared" ref="S709:S772" ca="1" si="340">S708-Débit*pas</f>
        <v>7.150000000000003</v>
      </c>
      <c r="T709" s="304">
        <f t="shared" ca="1" si="320"/>
        <v>70.141500000000036</v>
      </c>
      <c r="U709" s="311">
        <f t="shared" ca="1" si="321"/>
        <v>0</v>
      </c>
      <c r="V709" s="306">
        <f t="shared" ca="1" si="322"/>
        <v>1.2260998976714139</v>
      </c>
      <c r="W709" s="304">
        <f t="shared" ca="1" si="323"/>
        <v>54.656391565449987</v>
      </c>
      <c r="Y709" s="314" t="str">
        <f t="shared" ref="Y709:Y772" ca="1" si="341">IF(AND(pos_z&lt;=0,K708&gt;0),"Impact balistique","") &amp; IF(AND(H710&lt;0,vit_z&gt;=0),"Apogée","") &amp; IF(AND(Poussee=0,Q708&gt;0),"Fin de propulsion","") &amp; IF(AND(L710&gt;L_rampe,pos_xz&lt;=L_rampe),"Sortie de rampe","")</f>
        <v/>
      </c>
      <c r="Z709" s="315" t="str">
        <f t="shared" ref="Z709:Z772" ca="1" si="342">IF(ABS(t-T_para)&lt;pas/2,"Para","")</f>
        <v/>
      </c>
      <c r="AA709" s="316" t="str">
        <f t="shared" ref="AA709:AA772" ca="1" si="343">IF(ABS(t-T_satellite)&lt;pas/2,"Satellite","")</f>
        <v/>
      </c>
      <c r="AC709" s="310" t="e">
        <f t="shared" ref="AC709:AC772" ca="1" si="344">IF(ABS(t-ROUND(t,0))&lt;0.001,t,NA())</f>
        <v>#N/A</v>
      </c>
      <c r="AD709" s="323" t="e">
        <f t="shared" ref="AD709:AD772" ca="1" si="345">IF(ABS(t-ROUND(t,0))&lt;0.001,pos_x,NA())</f>
        <v>#N/A</v>
      </c>
      <c r="AE709" s="324" t="e">
        <f t="shared" ca="1" si="324"/>
        <v>#N/A</v>
      </c>
      <c r="AG709" s="306">
        <f t="shared" ref="AG709:AG772" ca="1" si="346">IF(AND(L708&lt;L_rampe,Poussee&lt;Poids*SIN(M708)),0,(-W708+Poussee)/m-Poids*SIN(M708)/m)</f>
        <v>2.1211960786998922</v>
      </c>
      <c r="AH709" s="304">
        <f t="shared" ref="AH709:AH772" ca="1" si="347">IF(AND(L708&lt;L_rampe,Poussee&lt;Poids*SIN(M708)), g*SIN(M708), (-W708+Poussee)/m)</f>
        <v>-7.6442158094312767</v>
      </c>
    </row>
    <row r="710" spans="1:34" x14ac:dyDescent="0.2">
      <c r="A710" s="347">
        <f t="shared" ca="1" si="325"/>
        <v>1E-4</v>
      </c>
      <c r="B710" s="304">
        <f t="shared" ca="1" si="326"/>
        <v>36.715900000000779</v>
      </c>
      <c r="D710" s="306">
        <f t="shared" ca="1" si="327"/>
        <v>-0.72799376066551813</v>
      </c>
      <c r="E710" s="307">
        <f t="shared" ca="1" si="328"/>
        <v>-2.2004933248016734</v>
      </c>
      <c r="F710" s="304">
        <f t="shared" ca="1" si="329"/>
        <v>2.3177889869581847</v>
      </c>
      <c r="G710" s="306">
        <f t="shared" ca="1" si="330"/>
        <v>12.446092825596756</v>
      </c>
      <c r="H710" s="307">
        <f t="shared" ca="1" si="331"/>
        <v>-130.09636306747211</v>
      </c>
      <c r="I710" s="304">
        <f t="shared" ca="1" si="332"/>
        <v>130.69035507644355</v>
      </c>
      <c r="J710" s="306">
        <f t="shared" ca="1" si="333"/>
        <v>889.84792314375909</v>
      </c>
      <c r="K710" s="307">
        <f t="shared" ca="1" si="334"/>
        <v>-8.9877370320384866</v>
      </c>
      <c r="L710" s="304">
        <f t="shared" ca="1" si="319"/>
        <v>889.89331143694881</v>
      </c>
      <c r="M710" s="306">
        <f t="shared" ca="1" si="335"/>
        <v>-1.4754183386167974</v>
      </c>
      <c r="N710" s="304">
        <f t="shared" ca="1" si="336"/>
        <v>-84.535243818946256</v>
      </c>
      <c r="P710" s="310">
        <f t="shared" ca="1" si="337"/>
        <v>23</v>
      </c>
      <c r="Q710" s="304">
        <f t="shared" ca="1" si="338"/>
        <v>0</v>
      </c>
      <c r="R710" s="306">
        <f t="shared" ca="1" si="339"/>
        <v>0</v>
      </c>
      <c r="S710" s="307">
        <f t="shared" ca="1" si="340"/>
        <v>7.150000000000003</v>
      </c>
      <c r="T710" s="304">
        <f t="shared" ca="1" si="320"/>
        <v>70.141500000000036</v>
      </c>
      <c r="U710" s="311">
        <f t="shared" ca="1" si="321"/>
        <v>0</v>
      </c>
      <c r="V710" s="306">
        <f t="shared" ca="1" si="322"/>
        <v>1.2261014927827987</v>
      </c>
      <c r="W710" s="304">
        <f t="shared" ca="1" si="323"/>
        <v>54.656640091577273</v>
      </c>
      <c r="Y710" s="314" t="str">
        <f t="shared" ca="1" si="341"/>
        <v/>
      </c>
      <c r="Z710" s="315" t="str">
        <f t="shared" ca="1" si="342"/>
        <v/>
      </c>
      <c r="AA710" s="316" t="str">
        <f t="shared" ca="1" si="343"/>
        <v/>
      </c>
      <c r="AC710" s="310" t="e">
        <f t="shared" ca="1" si="344"/>
        <v>#N/A</v>
      </c>
      <c r="AD710" s="323" t="e">
        <f t="shared" ca="1" si="345"/>
        <v>#N/A</v>
      </c>
      <c r="AE710" s="324" t="e">
        <f t="shared" ca="1" si="324"/>
        <v>#N/A</v>
      </c>
      <c r="AG710" s="306">
        <f t="shared" ca="1" si="346"/>
        <v>2.121161987396925</v>
      </c>
      <c r="AH710" s="304">
        <f t="shared" ca="1" si="347"/>
        <v>-7.6442505685944004</v>
      </c>
    </row>
    <row r="711" spans="1:34" x14ac:dyDescent="0.2">
      <c r="A711" s="347">
        <f t="shared" ca="1" si="325"/>
        <v>1E-4</v>
      </c>
      <c r="B711" s="304">
        <f t="shared" ca="1" si="326"/>
        <v>36.716000000000783</v>
      </c>
      <c r="D711" s="306">
        <f t="shared" ca="1" si="327"/>
        <v>-0.72799163117797661</v>
      </c>
      <c r="E711" s="307">
        <f t="shared" ca="1" si="328"/>
        <v>-2.2004582034747653</v>
      </c>
      <c r="F711" s="304">
        <f t="shared" ca="1" si="329"/>
        <v>2.3177549741731895</v>
      </c>
      <c r="G711" s="306">
        <f t="shared" ca="1" si="330"/>
        <v>12.446020026433638</v>
      </c>
      <c r="H711" s="307">
        <f t="shared" ca="1" si="331"/>
        <v>-130.09658311329247</v>
      </c>
      <c r="I711" s="304">
        <f t="shared" ca="1" si="332"/>
        <v>130.69056718926657</v>
      </c>
      <c r="J711" s="306">
        <f t="shared" ca="1" si="333"/>
        <v>889.84792314375909</v>
      </c>
      <c r="K711" s="307">
        <f t="shared" ca="1" si="334"/>
        <v>-9.0007466793475253</v>
      </c>
      <c r="L711" s="304">
        <f t="shared" ca="1" si="319"/>
        <v>889.89344292676253</v>
      </c>
      <c r="M711" s="306">
        <f t="shared" ca="1" si="335"/>
        <v>-1.4754190534657123</v>
      </c>
      <c r="N711" s="304">
        <f t="shared" ca="1" si="336"/>
        <v>-84.535284776772073</v>
      </c>
      <c r="P711" s="310">
        <f t="shared" ca="1" si="337"/>
        <v>23</v>
      </c>
      <c r="Q711" s="304">
        <f t="shared" ca="1" si="338"/>
        <v>0</v>
      </c>
      <c r="R711" s="306">
        <f t="shared" ca="1" si="339"/>
        <v>0</v>
      </c>
      <c r="S711" s="307">
        <f t="shared" ca="1" si="340"/>
        <v>7.150000000000003</v>
      </c>
      <c r="T711" s="304">
        <f t="shared" ca="1" si="320"/>
        <v>70.141500000000036</v>
      </c>
      <c r="U711" s="311">
        <f t="shared" ca="1" si="321"/>
        <v>0</v>
      </c>
      <c r="V711" s="306">
        <f t="shared" ca="1" si="322"/>
        <v>1.2261030878989574</v>
      </c>
      <c r="W711" s="304">
        <f t="shared" ca="1" si="323"/>
        <v>54.656888615815475</v>
      </c>
      <c r="Y711" s="314" t="str">
        <f t="shared" ca="1" si="341"/>
        <v/>
      </c>
      <c r="Z711" s="315" t="str">
        <f t="shared" ca="1" si="342"/>
        <v/>
      </c>
      <c r="AA711" s="316" t="str">
        <f t="shared" ca="1" si="343"/>
        <v/>
      </c>
      <c r="AC711" s="310" t="e">
        <f t="shared" ca="1" si="344"/>
        <v>#N/A</v>
      </c>
      <c r="AD711" s="323" t="e">
        <f t="shared" ca="1" si="345"/>
        <v>#N/A</v>
      </c>
      <c r="AE711" s="324" t="e">
        <f t="shared" ca="1" si="324"/>
        <v>#N/A</v>
      </c>
      <c r="AG711" s="306">
        <f t="shared" ca="1" si="346"/>
        <v>2.1211278963470974</v>
      </c>
      <c r="AH711" s="304">
        <f t="shared" ca="1" si="347"/>
        <v>-7.6442853274933213</v>
      </c>
    </row>
    <row r="712" spans="1:34" x14ac:dyDescent="0.2">
      <c r="A712" s="347">
        <f t="shared" ca="1" si="325"/>
        <v>1E-4</v>
      </c>
      <c r="B712" s="304">
        <f t="shared" ca="1" si="326"/>
        <v>36.716100000000786</v>
      </c>
      <c r="D712" s="306">
        <f t="shared" ca="1" si="327"/>
        <v>-0.72798950166490939</v>
      </c>
      <c r="E712" s="307">
        <f t="shared" ca="1" si="328"/>
        <v>-2.200423082414753</v>
      </c>
      <c r="F712" s="304">
        <f t="shared" ca="1" si="329"/>
        <v>2.3177209616685883</v>
      </c>
      <c r="G712" s="306">
        <f t="shared" ca="1" si="330"/>
        <v>12.445947227483472</v>
      </c>
      <c r="H712" s="307">
        <f t="shared" ca="1" si="331"/>
        <v>-130.0968031556007</v>
      </c>
      <c r="I712" s="304">
        <f t="shared" ca="1" si="332"/>
        <v>130.6907792986805</v>
      </c>
      <c r="J712" s="306">
        <f t="shared" ca="1" si="333"/>
        <v>889.84792314375909</v>
      </c>
      <c r="K712" s="307">
        <f t="shared" ca="1" si="334"/>
        <v>-9.0137563486609693</v>
      </c>
      <c r="L712" s="304">
        <f t="shared" ca="1" si="319"/>
        <v>889.89357460697204</v>
      </c>
      <c r="M712" s="306">
        <f t="shared" ca="1" si="335"/>
        <v>-1.4754197683081258</v>
      </c>
      <c r="N712" s="304">
        <f t="shared" ca="1" si="336"/>
        <v>-84.535325734225381</v>
      </c>
      <c r="P712" s="310">
        <f t="shared" ca="1" si="337"/>
        <v>23</v>
      </c>
      <c r="Q712" s="304">
        <f t="shared" ca="1" si="338"/>
        <v>0</v>
      </c>
      <c r="R712" s="306">
        <f t="shared" ca="1" si="339"/>
        <v>0</v>
      </c>
      <c r="S712" s="307">
        <f t="shared" ca="1" si="340"/>
        <v>7.150000000000003</v>
      </c>
      <c r="T712" s="304">
        <f t="shared" ca="1" si="320"/>
        <v>70.141500000000036</v>
      </c>
      <c r="U712" s="311">
        <f t="shared" ca="1" si="321"/>
        <v>0</v>
      </c>
      <c r="V712" s="306">
        <f t="shared" ca="1" si="322"/>
        <v>1.2261046830198903</v>
      </c>
      <c r="W712" s="304">
        <f t="shared" ca="1" si="323"/>
        <v>54.657137138164586</v>
      </c>
      <c r="Y712" s="314" t="str">
        <f t="shared" ca="1" si="341"/>
        <v/>
      </c>
      <c r="Z712" s="315" t="str">
        <f t="shared" ca="1" si="342"/>
        <v/>
      </c>
      <c r="AA712" s="316" t="str">
        <f t="shared" ca="1" si="343"/>
        <v/>
      </c>
      <c r="AC712" s="310" t="e">
        <f t="shared" ca="1" si="344"/>
        <v>#N/A</v>
      </c>
      <c r="AD712" s="323" t="e">
        <f t="shared" ca="1" si="345"/>
        <v>#N/A</v>
      </c>
      <c r="AE712" s="324" t="e">
        <f t="shared" ca="1" si="324"/>
        <v>#N/A</v>
      </c>
      <c r="AG712" s="306">
        <f t="shared" ca="1" si="346"/>
        <v>2.1210938055504123</v>
      </c>
      <c r="AH712" s="304">
        <f t="shared" ca="1" si="347"/>
        <v>-7.6443200861280349</v>
      </c>
    </row>
    <row r="713" spans="1:34" x14ac:dyDescent="0.2">
      <c r="A713" s="347">
        <f t="shared" ca="1" si="325"/>
        <v>1E-4</v>
      </c>
      <c r="B713" s="304">
        <f t="shared" ca="1" si="326"/>
        <v>36.716200000000789</v>
      </c>
      <c r="D713" s="306">
        <f t="shared" ca="1" si="327"/>
        <v>-0.72798737212631404</v>
      </c>
      <c r="E713" s="307">
        <f t="shared" ca="1" si="328"/>
        <v>-2.2003879616216357</v>
      </c>
      <c r="F713" s="304">
        <f t="shared" ca="1" si="329"/>
        <v>2.3176869494443793</v>
      </c>
      <c r="G713" s="306">
        <f t="shared" ca="1" si="330"/>
        <v>12.44587442874626</v>
      </c>
      <c r="H713" s="307">
        <f t="shared" ca="1" si="331"/>
        <v>-130.09702319439685</v>
      </c>
      <c r="I713" s="304">
        <f t="shared" ca="1" si="332"/>
        <v>130.69099140468541</v>
      </c>
      <c r="J713" s="306">
        <f t="shared" ca="1" si="333"/>
        <v>889.84792314375909</v>
      </c>
      <c r="K713" s="307">
        <f t="shared" ca="1" si="334"/>
        <v>-9.0267660399784688</v>
      </c>
      <c r="L713" s="304">
        <f t="shared" ca="1" si="319"/>
        <v>889.89370647757801</v>
      </c>
      <c r="M713" s="306">
        <f t="shared" ca="1" si="335"/>
        <v>-1.4754204831440378</v>
      </c>
      <c r="N713" s="304">
        <f t="shared" ca="1" si="336"/>
        <v>-84.53536669130618</v>
      </c>
      <c r="P713" s="310">
        <f t="shared" ca="1" si="337"/>
        <v>23</v>
      </c>
      <c r="Q713" s="304">
        <f t="shared" ca="1" si="338"/>
        <v>0</v>
      </c>
      <c r="R713" s="306">
        <f t="shared" ca="1" si="339"/>
        <v>0</v>
      </c>
      <c r="S713" s="307">
        <f t="shared" ca="1" si="340"/>
        <v>7.150000000000003</v>
      </c>
      <c r="T713" s="304">
        <f t="shared" ca="1" si="320"/>
        <v>70.141500000000036</v>
      </c>
      <c r="U713" s="311">
        <f t="shared" ca="1" si="321"/>
        <v>0</v>
      </c>
      <c r="V713" s="306">
        <f t="shared" ca="1" si="322"/>
        <v>1.2261062781455969</v>
      </c>
      <c r="W713" s="304">
        <f t="shared" ca="1" si="323"/>
        <v>54.657385658624641</v>
      </c>
      <c r="Y713" s="314" t="str">
        <f t="shared" ca="1" si="341"/>
        <v/>
      </c>
      <c r="Z713" s="315" t="str">
        <f t="shared" ca="1" si="342"/>
        <v/>
      </c>
      <c r="AA713" s="316" t="str">
        <f t="shared" ca="1" si="343"/>
        <v/>
      </c>
      <c r="AC713" s="310" t="e">
        <f t="shared" ca="1" si="344"/>
        <v>#N/A</v>
      </c>
      <c r="AD713" s="323" t="e">
        <f t="shared" ca="1" si="345"/>
        <v>#N/A</v>
      </c>
      <c r="AE713" s="324" t="e">
        <f t="shared" ca="1" si="324"/>
        <v>#N/A</v>
      </c>
      <c r="AG713" s="306">
        <f t="shared" ca="1" si="346"/>
        <v>2.1210597150068704</v>
      </c>
      <c r="AH713" s="304">
        <f t="shared" ca="1" si="347"/>
        <v>-7.6443548444985403</v>
      </c>
    </row>
    <row r="714" spans="1:34" x14ac:dyDescent="0.2">
      <c r="A714" s="347">
        <f t="shared" ca="1" si="325"/>
        <v>1E-4</v>
      </c>
      <c r="B714" s="304">
        <f t="shared" ca="1" si="326"/>
        <v>36.716300000000793</v>
      </c>
      <c r="D714" s="306">
        <f t="shared" ca="1" si="327"/>
        <v>-0.72798524256219244</v>
      </c>
      <c r="E714" s="307">
        <f t="shared" ca="1" si="328"/>
        <v>-2.2003528410954125</v>
      </c>
      <c r="F714" s="304">
        <f t="shared" ca="1" si="329"/>
        <v>2.3176529375005628</v>
      </c>
      <c r="G714" s="306">
        <f t="shared" ca="1" si="330"/>
        <v>12.445801630222004</v>
      </c>
      <c r="H714" s="307">
        <f t="shared" ca="1" si="331"/>
        <v>-130.09724322968097</v>
      </c>
      <c r="I714" s="304">
        <f t="shared" ca="1" si="332"/>
        <v>130.69120350728127</v>
      </c>
      <c r="J714" s="306">
        <f t="shared" ca="1" si="333"/>
        <v>889.84792314375909</v>
      </c>
      <c r="K714" s="307">
        <f t="shared" ca="1" si="334"/>
        <v>-9.0397757532996721</v>
      </c>
      <c r="L714" s="304">
        <f t="shared" ca="1" si="319"/>
        <v>889.89383853858169</v>
      </c>
      <c r="M714" s="306">
        <f t="shared" ca="1" si="335"/>
        <v>-1.4754211979734482</v>
      </c>
      <c r="N714" s="304">
        <f t="shared" ca="1" si="336"/>
        <v>-84.53540764801447</v>
      </c>
      <c r="P714" s="310">
        <f t="shared" ca="1" si="337"/>
        <v>23</v>
      </c>
      <c r="Q714" s="304">
        <f t="shared" ca="1" si="338"/>
        <v>0</v>
      </c>
      <c r="R714" s="306">
        <f t="shared" ca="1" si="339"/>
        <v>0</v>
      </c>
      <c r="S714" s="307">
        <f t="shared" ca="1" si="340"/>
        <v>7.150000000000003</v>
      </c>
      <c r="T714" s="304">
        <f t="shared" ca="1" si="320"/>
        <v>70.141500000000036</v>
      </c>
      <c r="U714" s="311">
        <f t="shared" ca="1" si="321"/>
        <v>0</v>
      </c>
      <c r="V714" s="306">
        <f t="shared" ca="1" si="322"/>
        <v>1.2261078732760782</v>
      </c>
      <c r="W714" s="304">
        <f t="shared" ca="1" si="323"/>
        <v>54.657634177195646</v>
      </c>
      <c r="Y714" s="314" t="str">
        <f t="shared" ca="1" si="341"/>
        <v/>
      </c>
      <c r="Z714" s="315" t="str">
        <f t="shared" ca="1" si="342"/>
        <v/>
      </c>
      <c r="AA714" s="316" t="str">
        <f t="shared" ca="1" si="343"/>
        <v/>
      </c>
      <c r="AC714" s="310" t="e">
        <f t="shared" ca="1" si="344"/>
        <v>#N/A</v>
      </c>
      <c r="AD714" s="323" t="e">
        <f t="shared" ca="1" si="345"/>
        <v>#N/A</v>
      </c>
      <c r="AE714" s="324" t="e">
        <f t="shared" ca="1" si="324"/>
        <v>#N/A</v>
      </c>
      <c r="AG714" s="306">
        <f t="shared" ca="1" si="346"/>
        <v>2.1210256247164674</v>
      </c>
      <c r="AH714" s="304">
        <f t="shared" ca="1" si="347"/>
        <v>-7.6443896026048419</v>
      </c>
    </row>
    <row r="715" spans="1:34" x14ac:dyDescent="0.2">
      <c r="A715" s="347">
        <f t="shared" ca="1" si="325"/>
        <v>1E-4</v>
      </c>
      <c r="B715" s="304">
        <f t="shared" ca="1" si="326"/>
        <v>36.716400000000796</v>
      </c>
      <c r="D715" s="306">
        <f t="shared" ca="1" si="327"/>
        <v>-0.72798311297254781</v>
      </c>
      <c r="E715" s="307">
        <f t="shared" ca="1" si="328"/>
        <v>-2.2003177208360789</v>
      </c>
      <c r="F715" s="304">
        <f t="shared" ca="1" si="329"/>
        <v>2.3176189258371358</v>
      </c>
      <c r="G715" s="306">
        <f t="shared" ca="1" si="330"/>
        <v>12.445728831910706</v>
      </c>
      <c r="H715" s="307">
        <f t="shared" ca="1" si="331"/>
        <v>-130.09746326145304</v>
      </c>
      <c r="I715" s="304">
        <f t="shared" ca="1" si="332"/>
        <v>130.69141560646813</v>
      </c>
      <c r="J715" s="306">
        <f t="shared" ca="1" si="333"/>
        <v>889.84792314375909</v>
      </c>
      <c r="K715" s="307">
        <f t="shared" ca="1" si="334"/>
        <v>-9.0527854886242292</v>
      </c>
      <c r="L715" s="304">
        <f t="shared" ca="1" si="319"/>
        <v>889.89397078998377</v>
      </c>
      <c r="M715" s="306">
        <f t="shared" ca="1" si="335"/>
        <v>-1.4754219127963573</v>
      </c>
      <c r="N715" s="304">
        <f t="shared" ca="1" si="336"/>
        <v>-84.535448604350265</v>
      </c>
      <c r="P715" s="310">
        <f t="shared" ca="1" si="337"/>
        <v>23</v>
      </c>
      <c r="Q715" s="304">
        <f t="shared" ca="1" si="338"/>
        <v>0</v>
      </c>
      <c r="R715" s="306">
        <f t="shared" ca="1" si="339"/>
        <v>0</v>
      </c>
      <c r="S715" s="307">
        <f t="shared" ca="1" si="340"/>
        <v>7.150000000000003</v>
      </c>
      <c r="T715" s="304">
        <f t="shared" ca="1" si="320"/>
        <v>70.141500000000036</v>
      </c>
      <c r="U715" s="311">
        <f t="shared" ca="1" si="321"/>
        <v>0</v>
      </c>
      <c r="V715" s="306">
        <f t="shared" ca="1" si="322"/>
        <v>1.2261094684113332</v>
      </c>
      <c r="W715" s="304">
        <f t="shared" ca="1" si="323"/>
        <v>54.657882693877539</v>
      </c>
      <c r="Y715" s="314" t="str">
        <f t="shared" ca="1" si="341"/>
        <v/>
      </c>
      <c r="Z715" s="315" t="str">
        <f t="shared" ca="1" si="342"/>
        <v/>
      </c>
      <c r="AA715" s="316" t="str">
        <f t="shared" ca="1" si="343"/>
        <v/>
      </c>
      <c r="AC715" s="310" t="e">
        <f t="shared" ca="1" si="344"/>
        <v>#N/A</v>
      </c>
      <c r="AD715" s="323" t="e">
        <f t="shared" ca="1" si="345"/>
        <v>#N/A</v>
      </c>
      <c r="AE715" s="324" t="e">
        <f t="shared" ca="1" si="324"/>
        <v>#N/A</v>
      </c>
      <c r="AG715" s="306">
        <f t="shared" ca="1" si="346"/>
        <v>2.1209915346792059</v>
      </c>
      <c r="AH715" s="304">
        <f t="shared" ca="1" si="347"/>
        <v>-7.6444243604469406</v>
      </c>
    </row>
    <row r="716" spans="1:34" x14ac:dyDescent="0.2">
      <c r="A716" s="347">
        <f t="shared" ca="1" si="325"/>
        <v>1E-4</v>
      </c>
      <c r="B716" s="304">
        <f t="shared" ca="1" si="326"/>
        <v>36.716500000000799</v>
      </c>
      <c r="D716" s="306">
        <f t="shared" ca="1" si="327"/>
        <v>-0.72798098335737671</v>
      </c>
      <c r="E716" s="307">
        <f t="shared" ca="1" si="328"/>
        <v>-2.2002826008436465</v>
      </c>
      <c r="F716" s="304">
        <f t="shared" ca="1" si="329"/>
        <v>2.3175849144541076</v>
      </c>
      <c r="G716" s="306">
        <f t="shared" ca="1" si="330"/>
        <v>12.445656033812371</v>
      </c>
      <c r="H716" s="307">
        <f t="shared" ca="1" si="331"/>
        <v>-130.09768328971313</v>
      </c>
      <c r="I716" s="304">
        <f t="shared" ca="1" si="332"/>
        <v>130.691627702246</v>
      </c>
      <c r="J716" s="306">
        <f t="shared" ca="1" si="333"/>
        <v>889.84792314375909</v>
      </c>
      <c r="K716" s="307">
        <f t="shared" ca="1" si="334"/>
        <v>-9.0657952459517883</v>
      </c>
      <c r="L716" s="304">
        <f t="shared" ca="1" si="319"/>
        <v>889.89410323178504</v>
      </c>
      <c r="M716" s="306">
        <f t="shared" ca="1" si="335"/>
        <v>-1.4754226276127649</v>
      </c>
      <c r="N716" s="304">
        <f t="shared" ca="1" si="336"/>
        <v>-84.535489560313536</v>
      </c>
      <c r="P716" s="310">
        <f t="shared" ca="1" si="337"/>
        <v>23</v>
      </c>
      <c r="Q716" s="304">
        <f t="shared" ca="1" si="338"/>
        <v>0</v>
      </c>
      <c r="R716" s="306">
        <f t="shared" ca="1" si="339"/>
        <v>0</v>
      </c>
      <c r="S716" s="307">
        <f t="shared" ca="1" si="340"/>
        <v>7.150000000000003</v>
      </c>
      <c r="T716" s="304">
        <f t="shared" ca="1" si="320"/>
        <v>70.141500000000036</v>
      </c>
      <c r="U716" s="311">
        <f t="shared" ca="1" si="321"/>
        <v>0</v>
      </c>
      <c r="V716" s="306">
        <f t="shared" ca="1" si="322"/>
        <v>1.2261110635513621</v>
      </c>
      <c r="W716" s="304">
        <f t="shared" ca="1" si="323"/>
        <v>54.658131208670341</v>
      </c>
      <c r="Y716" s="314" t="str">
        <f t="shared" ca="1" si="341"/>
        <v/>
      </c>
      <c r="Z716" s="315" t="str">
        <f t="shared" ca="1" si="342"/>
        <v/>
      </c>
      <c r="AA716" s="316" t="str">
        <f t="shared" ca="1" si="343"/>
        <v/>
      </c>
      <c r="AC716" s="310" t="e">
        <f t="shared" ca="1" si="344"/>
        <v>#N/A</v>
      </c>
      <c r="AD716" s="323" t="e">
        <f t="shared" ca="1" si="345"/>
        <v>#N/A</v>
      </c>
      <c r="AE716" s="324" t="e">
        <f t="shared" ca="1" si="324"/>
        <v>#N/A</v>
      </c>
      <c r="AG716" s="306">
        <f t="shared" ca="1" si="346"/>
        <v>2.1209574448950894</v>
      </c>
      <c r="AH716" s="304">
        <f t="shared" ca="1" si="347"/>
        <v>-7.6444591180248276</v>
      </c>
    </row>
    <row r="717" spans="1:34" x14ac:dyDescent="0.2">
      <c r="A717" s="347">
        <f t="shared" ca="1" si="325"/>
        <v>1E-4</v>
      </c>
      <c r="B717" s="304">
        <f t="shared" ca="1" si="326"/>
        <v>36.716600000000803</v>
      </c>
      <c r="D717" s="306">
        <f t="shared" ca="1" si="327"/>
        <v>-0.72797885371668281</v>
      </c>
      <c r="E717" s="307">
        <f t="shared" ca="1" si="328"/>
        <v>-2.2002474811181099</v>
      </c>
      <c r="F717" s="304">
        <f t="shared" ca="1" si="329"/>
        <v>2.3175509033514761</v>
      </c>
      <c r="G717" s="306">
        <f t="shared" ca="1" si="330"/>
        <v>12.445583235927</v>
      </c>
      <c r="H717" s="307">
        <f t="shared" ca="1" si="331"/>
        <v>-130.09790331446123</v>
      </c>
      <c r="I717" s="304">
        <f t="shared" ca="1" si="332"/>
        <v>130.69183979461491</v>
      </c>
      <c r="J717" s="306">
        <f t="shared" ca="1" si="333"/>
        <v>889.84792314375909</v>
      </c>
      <c r="K717" s="307">
        <f t="shared" ca="1" si="334"/>
        <v>-9.0788050252819978</v>
      </c>
      <c r="L717" s="304">
        <f t="shared" ca="1" si="319"/>
        <v>889.89423586398652</v>
      </c>
      <c r="M717" s="306">
        <f t="shared" ca="1" si="335"/>
        <v>-1.4754233424226715</v>
      </c>
      <c r="N717" s="304">
        <f t="shared" ca="1" si="336"/>
        <v>-84.535530515904341</v>
      </c>
      <c r="P717" s="310">
        <f t="shared" ca="1" si="337"/>
        <v>23</v>
      </c>
      <c r="Q717" s="304">
        <f t="shared" ca="1" si="338"/>
        <v>0</v>
      </c>
      <c r="R717" s="306">
        <f t="shared" ca="1" si="339"/>
        <v>0</v>
      </c>
      <c r="S717" s="307">
        <f t="shared" ca="1" si="340"/>
        <v>7.150000000000003</v>
      </c>
      <c r="T717" s="304">
        <f t="shared" ca="1" si="320"/>
        <v>70.141500000000036</v>
      </c>
      <c r="U717" s="311">
        <f t="shared" ca="1" si="321"/>
        <v>0</v>
      </c>
      <c r="V717" s="306">
        <f t="shared" ca="1" si="322"/>
        <v>1.226112658696165</v>
      </c>
      <c r="W717" s="304">
        <f t="shared" ca="1" si="323"/>
        <v>54.658379721574072</v>
      </c>
      <c r="Y717" s="314" t="str">
        <f t="shared" ca="1" si="341"/>
        <v/>
      </c>
      <c r="Z717" s="315" t="str">
        <f t="shared" ca="1" si="342"/>
        <v/>
      </c>
      <c r="AA717" s="316" t="str">
        <f t="shared" ca="1" si="343"/>
        <v/>
      </c>
      <c r="AC717" s="310" t="e">
        <f t="shared" ca="1" si="344"/>
        <v>#N/A</v>
      </c>
      <c r="AD717" s="323" t="e">
        <f t="shared" ca="1" si="345"/>
        <v>#N/A</v>
      </c>
      <c r="AE717" s="324" t="e">
        <f t="shared" ca="1" si="324"/>
        <v>#N/A</v>
      </c>
      <c r="AG717" s="306">
        <f t="shared" ca="1" si="346"/>
        <v>2.1209233553641198</v>
      </c>
      <c r="AH717" s="304">
        <f t="shared" ca="1" si="347"/>
        <v>-7.6444938753385063</v>
      </c>
    </row>
    <row r="718" spans="1:34" x14ac:dyDescent="0.2">
      <c r="A718" s="347">
        <f t="shared" ca="1" si="325"/>
        <v>1E-4</v>
      </c>
      <c r="B718" s="304">
        <f t="shared" ca="1" si="326"/>
        <v>36.716700000000806</v>
      </c>
      <c r="D718" s="306">
        <f t="shared" ca="1" si="327"/>
        <v>-0.72797672405046387</v>
      </c>
      <c r="E718" s="307">
        <f t="shared" ca="1" si="328"/>
        <v>-2.2002123616594682</v>
      </c>
      <c r="F718" s="304">
        <f t="shared" ca="1" si="329"/>
        <v>2.3175168925292389</v>
      </c>
      <c r="G718" s="306">
        <f t="shared" ca="1" si="330"/>
        <v>12.445510438254594</v>
      </c>
      <c r="H718" s="307">
        <f t="shared" ca="1" si="331"/>
        <v>-130.09812333569741</v>
      </c>
      <c r="I718" s="304">
        <f t="shared" ca="1" si="332"/>
        <v>130.69205188357492</v>
      </c>
      <c r="J718" s="306">
        <f t="shared" ca="1" si="333"/>
        <v>889.84792314375909</v>
      </c>
      <c r="K718" s="307">
        <f t="shared" ca="1" si="334"/>
        <v>-9.091814826614506</v>
      </c>
      <c r="L718" s="304">
        <f t="shared" ca="1" si="319"/>
        <v>889.89436868658902</v>
      </c>
      <c r="M718" s="306">
        <f t="shared" ca="1" si="335"/>
        <v>-1.4754240572260768</v>
      </c>
      <c r="N718" s="304">
        <f t="shared" ca="1" si="336"/>
        <v>-84.535571471122651</v>
      </c>
      <c r="P718" s="310">
        <f t="shared" ca="1" si="337"/>
        <v>23</v>
      </c>
      <c r="Q718" s="304">
        <f t="shared" ca="1" si="338"/>
        <v>0</v>
      </c>
      <c r="R718" s="306">
        <f t="shared" ca="1" si="339"/>
        <v>0</v>
      </c>
      <c r="S718" s="307">
        <f t="shared" ca="1" si="340"/>
        <v>7.150000000000003</v>
      </c>
      <c r="T718" s="304">
        <f t="shared" ca="1" si="320"/>
        <v>70.141500000000036</v>
      </c>
      <c r="U718" s="311">
        <f t="shared" ca="1" si="321"/>
        <v>0</v>
      </c>
      <c r="V718" s="306">
        <f t="shared" ca="1" si="322"/>
        <v>1.2261142538457419</v>
      </c>
      <c r="W718" s="304">
        <f t="shared" ca="1" si="323"/>
        <v>54.65862823258874</v>
      </c>
      <c r="Y718" s="314" t="str">
        <f t="shared" ca="1" si="341"/>
        <v/>
      </c>
      <c r="Z718" s="315" t="str">
        <f t="shared" ca="1" si="342"/>
        <v/>
      </c>
      <c r="AA718" s="316" t="str">
        <f t="shared" ca="1" si="343"/>
        <v/>
      </c>
      <c r="AC718" s="310" t="e">
        <f t="shared" ca="1" si="344"/>
        <v>#N/A</v>
      </c>
      <c r="AD718" s="323" t="e">
        <f t="shared" ca="1" si="345"/>
        <v>#N/A</v>
      </c>
      <c r="AE718" s="324" t="e">
        <f t="shared" ca="1" si="324"/>
        <v>#N/A</v>
      </c>
      <c r="AG718" s="306">
        <f t="shared" ca="1" si="346"/>
        <v>2.1208892660862952</v>
      </c>
      <c r="AH718" s="304">
        <f t="shared" ca="1" si="347"/>
        <v>-7.6445286323879786</v>
      </c>
    </row>
    <row r="719" spans="1:34" x14ac:dyDescent="0.2">
      <c r="A719" s="347">
        <f t="shared" ca="1" si="325"/>
        <v>1E-4</v>
      </c>
      <c r="B719" s="304">
        <f t="shared" ca="1" si="326"/>
        <v>36.716800000000809</v>
      </c>
      <c r="D719" s="306">
        <f t="shared" ca="1" si="327"/>
        <v>-0.72797459435872314</v>
      </c>
      <c r="E719" s="307">
        <f t="shared" ca="1" si="328"/>
        <v>-2.2001772424677188</v>
      </c>
      <c r="F719" s="304">
        <f t="shared" ca="1" si="329"/>
        <v>2.3174828819873952</v>
      </c>
      <c r="G719" s="306">
        <f t="shared" ca="1" si="330"/>
        <v>12.445437640795157</v>
      </c>
      <c r="H719" s="307">
        <f t="shared" ca="1" si="331"/>
        <v>-130.09834335342165</v>
      </c>
      <c r="I719" s="304">
        <f t="shared" ca="1" si="332"/>
        <v>130.692263969126</v>
      </c>
      <c r="J719" s="306">
        <f t="shared" ca="1" si="333"/>
        <v>889.84792314375909</v>
      </c>
      <c r="K719" s="307">
        <f t="shared" ca="1" si="334"/>
        <v>-9.1048246499489611</v>
      </c>
      <c r="L719" s="304">
        <f t="shared" ca="1" si="319"/>
        <v>889.89450169959343</v>
      </c>
      <c r="M719" s="306">
        <f t="shared" ca="1" si="335"/>
        <v>-1.4754247720229814</v>
      </c>
      <c r="N719" s="304">
        <f t="shared" ca="1" si="336"/>
        <v>-84.535612425968495</v>
      </c>
      <c r="P719" s="310">
        <f t="shared" ca="1" si="337"/>
        <v>23</v>
      </c>
      <c r="Q719" s="304">
        <f t="shared" ca="1" si="338"/>
        <v>0</v>
      </c>
      <c r="R719" s="306">
        <f t="shared" ca="1" si="339"/>
        <v>0</v>
      </c>
      <c r="S719" s="307">
        <f t="shared" ca="1" si="340"/>
        <v>7.150000000000003</v>
      </c>
      <c r="T719" s="304">
        <f t="shared" ca="1" si="320"/>
        <v>70.141500000000036</v>
      </c>
      <c r="U719" s="311">
        <f t="shared" ca="1" si="321"/>
        <v>0</v>
      </c>
      <c r="V719" s="306">
        <f t="shared" ca="1" si="322"/>
        <v>1.2261158490000927</v>
      </c>
      <c r="W719" s="304">
        <f t="shared" ca="1" si="323"/>
        <v>54.658876741714316</v>
      </c>
      <c r="Y719" s="314" t="str">
        <f t="shared" ca="1" si="341"/>
        <v/>
      </c>
      <c r="Z719" s="315" t="str">
        <f t="shared" ca="1" si="342"/>
        <v/>
      </c>
      <c r="AA719" s="316" t="str">
        <f t="shared" ca="1" si="343"/>
        <v/>
      </c>
      <c r="AC719" s="310" t="e">
        <f t="shared" ca="1" si="344"/>
        <v>#N/A</v>
      </c>
      <c r="AD719" s="323" t="e">
        <f t="shared" ca="1" si="345"/>
        <v>#N/A</v>
      </c>
      <c r="AE719" s="324" t="e">
        <f t="shared" ca="1" si="324"/>
        <v>#N/A</v>
      </c>
      <c r="AG719" s="306">
        <f t="shared" ca="1" si="346"/>
        <v>2.1208551770616095</v>
      </c>
      <c r="AH719" s="304">
        <f t="shared" ca="1" si="347"/>
        <v>-7.6445633891732472</v>
      </c>
    </row>
    <row r="720" spans="1:34" x14ac:dyDescent="0.2">
      <c r="A720" s="347">
        <f t="shared" ca="1" si="325"/>
        <v>1E-4</v>
      </c>
      <c r="B720" s="304">
        <f t="shared" ca="1" si="326"/>
        <v>36.716900000000813</v>
      </c>
      <c r="D720" s="306">
        <f t="shared" ca="1" si="327"/>
        <v>-0.72797246464145826</v>
      </c>
      <c r="E720" s="307">
        <f t="shared" ca="1" si="328"/>
        <v>-2.2001421235428671</v>
      </c>
      <c r="F720" s="304">
        <f t="shared" ca="1" si="329"/>
        <v>2.3174488717259494</v>
      </c>
      <c r="G720" s="306">
        <f t="shared" ca="1" si="330"/>
        <v>12.445364843548694</v>
      </c>
      <c r="H720" s="307">
        <f t="shared" ca="1" si="331"/>
        <v>-130.098563367634</v>
      </c>
      <c r="I720" s="304">
        <f t="shared" ca="1" si="332"/>
        <v>130.69247605126822</v>
      </c>
      <c r="J720" s="306">
        <f t="shared" ca="1" si="333"/>
        <v>889.84792314375909</v>
      </c>
      <c r="K720" s="307">
        <f t="shared" ca="1" si="334"/>
        <v>-9.1178344952850132</v>
      </c>
      <c r="L720" s="304">
        <f t="shared" ca="1" si="319"/>
        <v>889.89463490300068</v>
      </c>
      <c r="M720" s="306">
        <f t="shared" ca="1" si="335"/>
        <v>-1.4754254868133847</v>
      </c>
      <c r="N720" s="304">
        <f t="shared" ca="1" si="336"/>
        <v>-84.535653380441843</v>
      </c>
      <c r="P720" s="310">
        <f t="shared" ca="1" si="337"/>
        <v>23</v>
      </c>
      <c r="Q720" s="304">
        <f t="shared" ca="1" si="338"/>
        <v>0</v>
      </c>
      <c r="R720" s="306">
        <f t="shared" ca="1" si="339"/>
        <v>0</v>
      </c>
      <c r="S720" s="307">
        <f t="shared" ca="1" si="340"/>
        <v>7.150000000000003</v>
      </c>
      <c r="T720" s="304">
        <f t="shared" ca="1" si="320"/>
        <v>70.141500000000036</v>
      </c>
      <c r="U720" s="311">
        <f t="shared" ca="1" si="321"/>
        <v>0</v>
      </c>
      <c r="V720" s="306">
        <f t="shared" ca="1" si="322"/>
        <v>1.2261174441592178</v>
      </c>
      <c r="W720" s="304">
        <f t="shared" ca="1" si="323"/>
        <v>54.659125248950815</v>
      </c>
      <c r="Y720" s="314" t="str">
        <f t="shared" ca="1" si="341"/>
        <v/>
      </c>
      <c r="Z720" s="315" t="str">
        <f t="shared" ca="1" si="342"/>
        <v/>
      </c>
      <c r="AA720" s="316" t="str">
        <f t="shared" ca="1" si="343"/>
        <v/>
      </c>
      <c r="AC720" s="310" t="e">
        <f t="shared" ca="1" si="344"/>
        <v>#N/A</v>
      </c>
      <c r="AD720" s="323" t="e">
        <f t="shared" ca="1" si="345"/>
        <v>#N/A</v>
      </c>
      <c r="AE720" s="324" t="e">
        <f t="shared" ca="1" si="324"/>
        <v>#N/A</v>
      </c>
      <c r="AG720" s="306">
        <f t="shared" ca="1" si="346"/>
        <v>2.1208210882900698</v>
      </c>
      <c r="AH720" s="304">
        <f t="shared" ca="1" si="347"/>
        <v>-7.6445981456943066</v>
      </c>
    </row>
    <row r="721" spans="1:34" x14ac:dyDescent="0.2">
      <c r="A721" s="347">
        <f t="shared" ca="1" si="325"/>
        <v>1E-4</v>
      </c>
      <c r="B721" s="304">
        <f t="shared" ca="1" si="326"/>
        <v>36.717000000000816</v>
      </c>
      <c r="D721" s="306">
        <f t="shared" ca="1" si="327"/>
        <v>-0.7279703348986738</v>
      </c>
      <c r="E721" s="307">
        <f t="shared" ca="1" si="328"/>
        <v>-2.2001070048849094</v>
      </c>
      <c r="F721" s="304">
        <f t="shared" ca="1" si="329"/>
        <v>2.3174148617448997</v>
      </c>
      <c r="G721" s="306">
        <f t="shared" ca="1" si="330"/>
        <v>12.445292046515204</v>
      </c>
      <c r="H721" s="307">
        <f t="shared" ca="1" si="331"/>
        <v>-130.0987833783345</v>
      </c>
      <c r="I721" s="304">
        <f t="shared" ca="1" si="332"/>
        <v>130.69268813000159</v>
      </c>
      <c r="J721" s="306">
        <f t="shared" ca="1" si="333"/>
        <v>889.84792314375909</v>
      </c>
      <c r="K721" s="307">
        <f t="shared" ca="1" si="334"/>
        <v>-9.1308443626223124</v>
      </c>
      <c r="L721" s="304">
        <f t="shared" ca="1" si="319"/>
        <v>889.89476829681155</v>
      </c>
      <c r="M721" s="306">
        <f t="shared" ca="1" si="335"/>
        <v>-1.4754262015972872</v>
      </c>
      <c r="N721" s="304">
        <f t="shared" ca="1" si="336"/>
        <v>-84.535694334542711</v>
      </c>
      <c r="P721" s="310">
        <f t="shared" ca="1" si="337"/>
        <v>23</v>
      </c>
      <c r="Q721" s="304">
        <f t="shared" ca="1" si="338"/>
        <v>0</v>
      </c>
      <c r="R721" s="306">
        <f t="shared" ca="1" si="339"/>
        <v>0</v>
      </c>
      <c r="S721" s="307">
        <f t="shared" ca="1" si="340"/>
        <v>7.150000000000003</v>
      </c>
      <c r="T721" s="304">
        <f t="shared" ca="1" si="320"/>
        <v>70.141500000000036</v>
      </c>
      <c r="U721" s="311">
        <f t="shared" ca="1" si="321"/>
        <v>0</v>
      </c>
      <c r="V721" s="306">
        <f t="shared" ca="1" si="322"/>
        <v>1.2261190393231161</v>
      </c>
      <c r="W721" s="304">
        <f t="shared" ca="1" si="323"/>
        <v>54.659373754298208</v>
      </c>
      <c r="Y721" s="314" t="str">
        <f t="shared" ca="1" si="341"/>
        <v/>
      </c>
      <c r="Z721" s="315" t="str">
        <f t="shared" ca="1" si="342"/>
        <v/>
      </c>
      <c r="AA721" s="316" t="str">
        <f t="shared" ca="1" si="343"/>
        <v/>
      </c>
      <c r="AC721" s="310" t="e">
        <f t="shared" ca="1" si="344"/>
        <v>#N/A</v>
      </c>
      <c r="AD721" s="323" t="e">
        <f t="shared" ca="1" si="345"/>
        <v>#N/A</v>
      </c>
      <c r="AE721" s="324" t="e">
        <f t="shared" ca="1" si="324"/>
        <v>#N/A</v>
      </c>
      <c r="AG721" s="306">
        <f t="shared" ca="1" si="346"/>
        <v>2.1207869997716751</v>
      </c>
      <c r="AH721" s="304">
        <f t="shared" ca="1" si="347"/>
        <v>-7.6446329019511596</v>
      </c>
    </row>
    <row r="722" spans="1:34" x14ac:dyDescent="0.2">
      <c r="A722" s="347">
        <f t="shared" ca="1" si="325"/>
        <v>1E-4</v>
      </c>
      <c r="B722" s="304">
        <f t="shared" ca="1" si="326"/>
        <v>36.717100000000819</v>
      </c>
      <c r="D722" s="306">
        <f t="shared" ca="1" si="327"/>
        <v>-0.72796820513036731</v>
      </c>
      <c r="E722" s="307">
        <f t="shared" ca="1" si="328"/>
        <v>-2.200071886493852</v>
      </c>
      <c r="F722" s="304">
        <f t="shared" ca="1" si="329"/>
        <v>2.3173808520442525</v>
      </c>
      <c r="G722" s="306">
        <f t="shared" ca="1" si="330"/>
        <v>12.445219249694691</v>
      </c>
      <c r="H722" s="307">
        <f t="shared" ca="1" si="331"/>
        <v>-130.09900338552316</v>
      </c>
      <c r="I722" s="304">
        <f t="shared" ca="1" si="332"/>
        <v>130.69290020532614</v>
      </c>
      <c r="J722" s="306">
        <f t="shared" ca="1" si="333"/>
        <v>889.84792314375909</v>
      </c>
      <c r="K722" s="307">
        <f t="shared" ca="1" si="334"/>
        <v>-9.1438542519605051</v>
      </c>
      <c r="L722" s="304">
        <f t="shared" ca="1" si="319"/>
        <v>889.89490188102684</v>
      </c>
      <c r="M722" s="306">
        <f t="shared" ca="1" si="335"/>
        <v>-1.4754269163746891</v>
      </c>
      <c r="N722" s="304">
        <f t="shared" ca="1" si="336"/>
        <v>-84.535735288271141</v>
      </c>
      <c r="P722" s="310">
        <f t="shared" ca="1" si="337"/>
        <v>23</v>
      </c>
      <c r="Q722" s="304">
        <f t="shared" ca="1" si="338"/>
        <v>0</v>
      </c>
      <c r="R722" s="306">
        <f t="shared" ca="1" si="339"/>
        <v>0</v>
      </c>
      <c r="S722" s="307">
        <f t="shared" ca="1" si="340"/>
        <v>7.150000000000003</v>
      </c>
      <c r="T722" s="304">
        <f t="shared" ca="1" si="320"/>
        <v>70.141500000000036</v>
      </c>
      <c r="U722" s="311">
        <f t="shared" ca="1" si="321"/>
        <v>0</v>
      </c>
      <c r="V722" s="306">
        <f t="shared" ca="1" si="322"/>
        <v>1.2261206344917883</v>
      </c>
      <c r="W722" s="304">
        <f t="shared" ca="1" si="323"/>
        <v>54.659622257756517</v>
      </c>
      <c r="Y722" s="314" t="str">
        <f t="shared" ca="1" si="341"/>
        <v/>
      </c>
      <c r="Z722" s="315" t="str">
        <f t="shared" ca="1" si="342"/>
        <v/>
      </c>
      <c r="AA722" s="316" t="str">
        <f t="shared" ca="1" si="343"/>
        <v/>
      </c>
      <c r="AC722" s="310" t="e">
        <f t="shared" ca="1" si="344"/>
        <v>#N/A</v>
      </c>
      <c r="AD722" s="323" t="e">
        <f t="shared" ca="1" si="345"/>
        <v>#N/A</v>
      </c>
      <c r="AE722" s="324" t="e">
        <f t="shared" ca="1" si="324"/>
        <v>#N/A</v>
      </c>
      <c r="AG722" s="306">
        <f t="shared" ca="1" si="346"/>
        <v>2.1207529115064281</v>
      </c>
      <c r="AH722" s="304">
        <f t="shared" ca="1" si="347"/>
        <v>-7.6446676579438018</v>
      </c>
    </row>
    <row r="723" spans="1:34" x14ac:dyDescent="0.2">
      <c r="A723" s="347">
        <f t="shared" ca="1" si="325"/>
        <v>1E-4</v>
      </c>
      <c r="B723" s="304">
        <f t="shared" ca="1" si="326"/>
        <v>36.717200000000823</v>
      </c>
      <c r="D723" s="306">
        <f t="shared" ca="1" si="327"/>
        <v>-0.72796607533653857</v>
      </c>
      <c r="E723" s="307">
        <f t="shared" ca="1" si="328"/>
        <v>-2.2000367683696895</v>
      </c>
      <c r="F723" s="304">
        <f t="shared" ca="1" si="329"/>
        <v>2.3173468426240018</v>
      </c>
      <c r="G723" s="306">
        <f t="shared" ca="1" si="330"/>
        <v>12.445146453087158</v>
      </c>
      <c r="H723" s="307">
        <f t="shared" ca="1" si="331"/>
        <v>-130.09922338920001</v>
      </c>
      <c r="I723" s="304">
        <f t="shared" ca="1" si="332"/>
        <v>130.69311227724191</v>
      </c>
      <c r="J723" s="306">
        <f t="shared" ca="1" si="333"/>
        <v>889.84792314375909</v>
      </c>
      <c r="K723" s="307">
        <f t="shared" ca="1" si="334"/>
        <v>-9.1568641632992414</v>
      </c>
      <c r="L723" s="304">
        <f t="shared" ca="1" si="319"/>
        <v>889.89503565564769</v>
      </c>
      <c r="M723" s="306">
        <f t="shared" ca="1" si="335"/>
        <v>-1.4754276311455903</v>
      </c>
      <c r="N723" s="304">
        <f t="shared" ca="1" si="336"/>
        <v>-84.53577624162709</v>
      </c>
      <c r="P723" s="310">
        <f t="shared" ca="1" si="337"/>
        <v>23</v>
      </c>
      <c r="Q723" s="304">
        <f t="shared" ca="1" si="338"/>
        <v>0</v>
      </c>
      <c r="R723" s="306">
        <f t="shared" ca="1" si="339"/>
        <v>0</v>
      </c>
      <c r="S723" s="307">
        <f t="shared" ca="1" si="340"/>
        <v>7.150000000000003</v>
      </c>
      <c r="T723" s="304">
        <f t="shared" ca="1" si="320"/>
        <v>70.141500000000036</v>
      </c>
      <c r="U723" s="311">
        <f t="shared" ca="1" si="321"/>
        <v>0</v>
      </c>
      <c r="V723" s="306">
        <f t="shared" ca="1" si="322"/>
        <v>1.2261222296652345</v>
      </c>
      <c r="W723" s="304">
        <f t="shared" ca="1" si="323"/>
        <v>54.65987075932577</v>
      </c>
      <c r="Y723" s="314" t="str">
        <f t="shared" ca="1" si="341"/>
        <v/>
      </c>
      <c r="Z723" s="315" t="str">
        <f t="shared" ca="1" si="342"/>
        <v/>
      </c>
      <c r="AA723" s="316" t="str">
        <f t="shared" ca="1" si="343"/>
        <v/>
      </c>
      <c r="AC723" s="310" t="e">
        <f t="shared" ca="1" si="344"/>
        <v>#N/A</v>
      </c>
      <c r="AD723" s="323" t="e">
        <f t="shared" ca="1" si="345"/>
        <v>#N/A</v>
      </c>
      <c r="AE723" s="324" t="e">
        <f t="shared" ca="1" si="324"/>
        <v>#N/A</v>
      </c>
      <c r="AG723" s="306">
        <f t="shared" ca="1" si="346"/>
        <v>2.1207188234943288</v>
      </c>
      <c r="AH723" s="304">
        <f t="shared" ca="1" si="347"/>
        <v>-7.6447024136722366</v>
      </c>
    </row>
    <row r="724" spans="1:34" x14ac:dyDescent="0.2">
      <c r="A724" s="347">
        <f t="shared" ca="1" si="325"/>
        <v>1E-4</v>
      </c>
      <c r="B724" s="304">
        <f t="shared" ca="1" si="326"/>
        <v>36.717300000000826</v>
      </c>
      <c r="D724" s="306">
        <f t="shared" ca="1" si="327"/>
        <v>-0.72796394551719112</v>
      </c>
      <c r="E724" s="307">
        <f t="shared" ca="1" si="328"/>
        <v>-2.2000016505124194</v>
      </c>
      <c r="F724" s="304">
        <f t="shared" ca="1" si="329"/>
        <v>2.3173128334841469</v>
      </c>
      <c r="G724" s="306">
        <f t="shared" ca="1" si="330"/>
        <v>12.445073656692607</v>
      </c>
      <c r="H724" s="307">
        <f t="shared" ca="1" si="331"/>
        <v>-130.09944338936506</v>
      </c>
      <c r="I724" s="304">
        <f t="shared" ca="1" si="332"/>
        <v>130.69332434574883</v>
      </c>
      <c r="J724" s="306">
        <f t="shared" ca="1" si="333"/>
        <v>889.84792314375909</v>
      </c>
      <c r="K724" s="307">
        <f t="shared" ca="1" si="334"/>
        <v>-9.1698740966381695</v>
      </c>
      <c r="L724" s="304">
        <f t="shared" ca="1" si="319"/>
        <v>889.89516962067478</v>
      </c>
      <c r="M724" s="306">
        <f t="shared" ca="1" si="335"/>
        <v>-1.4754283459099908</v>
      </c>
      <c r="N724" s="304">
        <f t="shared" ca="1" si="336"/>
        <v>-84.535817194610587</v>
      </c>
      <c r="P724" s="310">
        <f t="shared" ca="1" si="337"/>
        <v>23</v>
      </c>
      <c r="Q724" s="304">
        <f t="shared" ca="1" si="338"/>
        <v>0</v>
      </c>
      <c r="R724" s="306">
        <f t="shared" ca="1" si="339"/>
        <v>0</v>
      </c>
      <c r="S724" s="307">
        <f t="shared" ca="1" si="340"/>
        <v>7.150000000000003</v>
      </c>
      <c r="T724" s="304">
        <f t="shared" ca="1" si="320"/>
        <v>70.141500000000036</v>
      </c>
      <c r="U724" s="311">
        <f t="shared" ca="1" si="321"/>
        <v>0</v>
      </c>
      <c r="V724" s="306">
        <f t="shared" ca="1" si="322"/>
        <v>1.2261238248434543</v>
      </c>
      <c r="W724" s="304">
        <f t="shared" ca="1" si="323"/>
        <v>54.660119259005846</v>
      </c>
      <c r="Y724" s="314" t="str">
        <f t="shared" ca="1" si="341"/>
        <v/>
      </c>
      <c r="Z724" s="315" t="str">
        <f t="shared" ca="1" si="342"/>
        <v/>
      </c>
      <c r="AA724" s="316" t="str">
        <f t="shared" ca="1" si="343"/>
        <v/>
      </c>
      <c r="AC724" s="310" t="e">
        <f t="shared" ca="1" si="344"/>
        <v>#N/A</v>
      </c>
      <c r="AD724" s="323" t="e">
        <f t="shared" ca="1" si="345"/>
        <v>#N/A</v>
      </c>
      <c r="AE724" s="324" t="e">
        <f t="shared" ca="1" si="324"/>
        <v>#N/A</v>
      </c>
      <c r="AG724" s="306">
        <f t="shared" ca="1" si="346"/>
        <v>2.1206847357353675</v>
      </c>
      <c r="AH724" s="304">
        <f t="shared" ca="1" si="347"/>
        <v>-7.6447371691364685</v>
      </c>
    </row>
    <row r="725" spans="1:34" x14ac:dyDescent="0.2">
      <c r="A725" s="347">
        <f t="shared" ca="1" si="325"/>
        <v>1E-4</v>
      </c>
      <c r="B725" s="304">
        <f t="shared" ca="1" si="326"/>
        <v>36.717400000000829</v>
      </c>
      <c r="D725" s="306">
        <f t="shared" ca="1" si="327"/>
        <v>-0.72796181567232254</v>
      </c>
      <c r="E725" s="307">
        <f t="shared" ca="1" si="328"/>
        <v>-2.1999665329220583</v>
      </c>
      <c r="F725" s="304">
        <f t="shared" ca="1" si="329"/>
        <v>2.3172788246247031</v>
      </c>
      <c r="G725" s="306">
        <f t="shared" ca="1" si="330"/>
        <v>12.445000860511039</v>
      </c>
      <c r="H725" s="307">
        <f t="shared" ca="1" si="331"/>
        <v>-130.09966338601836</v>
      </c>
      <c r="I725" s="304">
        <f t="shared" ca="1" si="332"/>
        <v>130.69353641084706</v>
      </c>
      <c r="J725" s="306">
        <f t="shared" ca="1" si="333"/>
        <v>889.84792314375909</v>
      </c>
      <c r="K725" s="307">
        <f t="shared" ca="1" si="334"/>
        <v>-9.1828840519769379</v>
      </c>
      <c r="L725" s="304">
        <f t="shared" ca="1" si="319"/>
        <v>889.89530377610902</v>
      </c>
      <c r="M725" s="306">
        <f t="shared" ca="1" si="335"/>
        <v>-1.4754290606678908</v>
      </c>
      <c r="N725" s="304">
        <f t="shared" ca="1" si="336"/>
        <v>-84.535858147221631</v>
      </c>
      <c r="P725" s="310">
        <f t="shared" ca="1" si="337"/>
        <v>23</v>
      </c>
      <c r="Q725" s="304">
        <f t="shared" ca="1" si="338"/>
        <v>0</v>
      </c>
      <c r="R725" s="306">
        <f t="shared" ca="1" si="339"/>
        <v>0</v>
      </c>
      <c r="S725" s="307">
        <f t="shared" ca="1" si="340"/>
        <v>7.150000000000003</v>
      </c>
      <c r="T725" s="304">
        <f t="shared" ca="1" si="320"/>
        <v>70.141500000000036</v>
      </c>
      <c r="U725" s="311">
        <f t="shared" ca="1" si="321"/>
        <v>0</v>
      </c>
      <c r="V725" s="306">
        <f t="shared" ca="1" si="322"/>
        <v>1.226125420026448</v>
      </c>
      <c r="W725" s="304">
        <f t="shared" ca="1" si="323"/>
        <v>54.660367756796887</v>
      </c>
      <c r="Y725" s="314" t="str">
        <f t="shared" ca="1" si="341"/>
        <v/>
      </c>
      <c r="Z725" s="315" t="str">
        <f t="shared" ca="1" si="342"/>
        <v/>
      </c>
      <c r="AA725" s="316" t="str">
        <f t="shared" ca="1" si="343"/>
        <v/>
      </c>
      <c r="AC725" s="310" t="e">
        <f t="shared" ca="1" si="344"/>
        <v>#N/A</v>
      </c>
      <c r="AD725" s="323" t="e">
        <f t="shared" ca="1" si="345"/>
        <v>#N/A</v>
      </c>
      <c r="AE725" s="324" t="e">
        <f t="shared" ca="1" si="324"/>
        <v>#N/A</v>
      </c>
      <c r="AG725" s="306">
        <f t="shared" ca="1" si="346"/>
        <v>2.1206506482295682</v>
      </c>
      <c r="AH725" s="304">
        <f t="shared" ca="1" si="347"/>
        <v>-7.6447719243364789</v>
      </c>
    </row>
    <row r="726" spans="1:34" x14ac:dyDescent="0.2">
      <c r="A726" s="347">
        <f t="shared" ca="1" si="325"/>
        <v>1E-4</v>
      </c>
      <c r="B726" s="304">
        <f t="shared" ca="1" si="326"/>
        <v>36.717500000000832</v>
      </c>
      <c r="D726" s="306">
        <f t="shared" ca="1" si="327"/>
        <v>-0.72795968580193637</v>
      </c>
      <c r="E726" s="307">
        <f t="shared" ca="1" si="328"/>
        <v>-2.1999314155985852</v>
      </c>
      <c r="F726" s="304">
        <f t="shared" ca="1" si="329"/>
        <v>2.317244816045652</v>
      </c>
      <c r="G726" s="306">
        <f t="shared" ca="1" si="330"/>
        <v>12.444928064542459</v>
      </c>
      <c r="H726" s="307">
        <f t="shared" ca="1" si="331"/>
        <v>-130.09988337915993</v>
      </c>
      <c r="I726" s="304">
        <f t="shared" ca="1" si="332"/>
        <v>130.69374847253656</v>
      </c>
      <c r="J726" s="306">
        <f t="shared" ca="1" si="333"/>
        <v>889.84792314375909</v>
      </c>
      <c r="K726" s="307">
        <f t="shared" ca="1" si="334"/>
        <v>-9.1958940293151965</v>
      </c>
      <c r="L726" s="304">
        <f t="shared" ca="1" si="319"/>
        <v>889.89543812195143</v>
      </c>
      <c r="M726" s="306">
        <f t="shared" ca="1" si="335"/>
        <v>-1.4754297754192904</v>
      </c>
      <c r="N726" s="304">
        <f t="shared" ca="1" si="336"/>
        <v>-84.535899099460238</v>
      </c>
      <c r="P726" s="310">
        <f t="shared" ca="1" si="337"/>
        <v>23</v>
      </c>
      <c r="Q726" s="304">
        <f t="shared" ca="1" si="338"/>
        <v>0</v>
      </c>
      <c r="R726" s="306">
        <f t="shared" ca="1" si="339"/>
        <v>0</v>
      </c>
      <c r="S726" s="307">
        <f t="shared" ca="1" si="340"/>
        <v>7.150000000000003</v>
      </c>
      <c r="T726" s="304">
        <f t="shared" ca="1" si="320"/>
        <v>70.141500000000036</v>
      </c>
      <c r="U726" s="311">
        <f t="shared" ca="1" si="321"/>
        <v>0</v>
      </c>
      <c r="V726" s="306">
        <f t="shared" ca="1" si="322"/>
        <v>1.2261270152142152</v>
      </c>
      <c r="W726" s="304">
        <f t="shared" ca="1" si="323"/>
        <v>54.660616252698816</v>
      </c>
      <c r="Y726" s="314" t="str">
        <f t="shared" ca="1" si="341"/>
        <v/>
      </c>
      <c r="Z726" s="315" t="str">
        <f t="shared" ca="1" si="342"/>
        <v/>
      </c>
      <c r="AA726" s="316" t="str">
        <f t="shared" ca="1" si="343"/>
        <v/>
      </c>
      <c r="AC726" s="310" t="e">
        <f t="shared" ca="1" si="344"/>
        <v>#N/A</v>
      </c>
      <c r="AD726" s="323" t="e">
        <f t="shared" ca="1" si="345"/>
        <v>#N/A</v>
      </c>
      <c r="AE726" s="324" t="e">
        <f t="shared" ca="1" si="324"/>
        <v>#N/A</v>
      </c>
      <c r="AG726" s="306">
        <f t="shared" ca="1" si="346"/>
        <v>2.1206165609769059</v>
      </c>
      <c r="AH726" s="304">
        <f t="shared" ca="1" si="347"/>
        <v>-7.6448066792722891</v>
      </c>
    </row>
    <row r="727" spans="1:34" x14ac:dyDescent="0.2">
      <c r="A727" s="347">
        <f t="shared" ca="1" si="325"/>
        <v>1E-4</v>
      </c>
      <c r="B727" s="304">
        <f t="shared" ca="1" si="326"/>
        <v>36.717600000000836</v>
      </c>
      <c r="D727" s="306">
        <f t="shared" ca="1" si="327"/>
        <v>-0.72795755590603095</v>
      </c>
      <c r="E727" s="307">
        <f t="shared" ca="1" si="328"/>
        <v>-2.1998962985420141</v>
      </c>
      <c r="F727" s="304">
        <f t="shared" ca="1" si="329"/>
        <v>2.3172108077470068</v>
      </c>
      <c r="G727" s="306">
        <f t="shared" ca="1" si="330"/>
        <v>12.444855268786869</v>
      </c>
      <c r="H727" s="307">
        <f t="shared" ca="1" si="331"/>
        <v>-130.10010336878977</v>
      </c>
      <c r="I727" s="304">
        <f t="shared" ca="1" si="332"/>
        <v>130.69396053081732</v>
      </c>
      <c r="J727" s="306">
        <f t="shared" ca="1" si="333"/>
        <v>889.84792314375909</v>
      </c>
      <c r="K727" s="307">
        <f t="shared" ca="1" si="334"/>
        <v>-9.2089040286525936</v>
      </c>
      <c r="L727" s="304">
        <f t="shared" ca="1" si="319"/>
        <v>889.89557265820258</v>
      </c>
      <c r="M727" s="306">
        <f t="shared" ca="1" si="335"/>
        <v>-1.4754304901641897</v>
      </c>
      <c r="N727" s="304">
        <f t="shared" ca="1" si="336"/>
        <v>-84.535940051326392</v>
      </c>
      <c r="P727" s="310">
        <f t="shared" ca="1" si="337"/>
        <v>23</v>
      </c>
      <c r="Q727" s="304">
        <f t="shared" ca="1" si="338"/>
        <v>0</v>
      </c>
      <c r="R727" s="306">
        <f t="shared" ca="1" si="339"/>
        <v>0</v>
      </c>
      <c r="S727" s="307">
        <f t="shared" ca="1" si="340"/>
        <v>7.150000000000003</v>
      </c>
      <c r="T727" s="304">
        <f t="shared" ca="1" si="320"/>
        <v>70.141500000000036</v>
      </c>
      <c r="U727" s="311">
        <f t="shared" ca="1" si="321"/>
        <v>0</v>
      </c>
      <c r="V727" s="306">
        <f t="shared" ca="1" si="322"/>
        <v>1.2261286104067559</v>
      </c>
      <c r="W727" s="304">
        <f t="shared" ca="1" si="323"/>
        <v>54.660864746711617</v>
      </c>
      <c r="Y727" s="314" t="str">
        <f t="shared" ca="1" si="341"/>
        <v/>
      </c>
      <c r="Z727" s="315" t="str">
        <f t="shared" ca="1" si="342"/>
        <v/>
      </c>
      <c r="AA727" s="316" t="str">
        <f t="shared" ca="1" si="343"/>
        <v/>
      </c>
      <c r="AC727" s="310" t="e">
        <f t="shared" ca="1" si="344"/>
        <v>#N/A</v>
      </c>
      <c r="AD727" s="323" t="e">
        <f t="shared" ca="1" si="345"/>
        <v>#N/A</v>
      </c>
      <c r="AE727" s="324" t="e">
        <f t="shared" ca="1" si="324"/>
        <v>#N/A</v>
      </c>
      <c r="AG727" s="306">
        <f t="shared" ca="1" si="346"/>
        <v>2.120582473977394</v>
      </c>
      <c r="AH727" s="304">
        <f t="shared" ca="1" si="347"/>
        <v>-7.6448414339438875</v>
      </c>
    </row>
    <row r="728" spans="1:34" x14ac:dyDescent="0.2">
      <c r="A728" s="347">
        <f t="shared" ca="1" si="325"/>
        <v>1E-4</v>
      </c>
      <c r="B728" s="304">
        <f t="shared" ca="1" si="326"/>
        <v>36.717700000000839</v>
      </c>
      <c r="D728" s="306">
        <f t="shared" ca="1" si="327"/>
        <v>-0.72795542598460705</v>
      </c>
      <c r="E728" s="307">
        <f t="shared" ca="1" si="328"/>
        <v>-2.1998611817523441</v>
      </c>
      <c r="F728" s="304">
        <f t="shared" ca="1" si="329"/>
        <v>2.3171767997287671</v>
      </c>
      <c r="G728" s="306">
        <f t="shared" ca="1" si="330"/>
        <v>12.44478247324427</v>
      </c>
      <c r="H728" s="307">
        <f t="shared" ca="1" si="331"/>
        <v>-130.10032335490794</v>
      </c>
      <c r="I728" s="304">
        <f t="shared" ca="1" si="332"/>
        <v>130.69417258568942</v>
      </c>
      <c r="J728" s="306">
        <f t="shared" ca="1" si="333"/>
        <v>889.84792314375909</v>
      </c>
      <c r="K728" s="307">
        <f t="shared" ca="1" si="334"/>
        <v>-9.2219140499887793</v>
      </c>
      <c r="L728" s="304">
        <f t="shared" ca="1" si="319"/>
        <v>889.89570738486361</v>
      </c>
      <c r="M728" s="306">
        <f t="shared" ca="1" si="335"/>
        <v>-1.4754312049025886</v>
      </c>
      <c r="N728" s="304">
        <f t="shared" ca="1" si="336"/>
        <v>-84.535981002820108</v>
      </c>
      <c r="P728" s="310">
        <f t="shared" ca="1" si="337"/>
        <v>23</v>
      </c>
      <c r="Q728" s="304">
        <f t="shared" ca="1" si="338"/>
        <v>0</v>
      </c>
      <c r="R728" s="306">
        <f t="shared" ca="1" si="339"/>
        <v>0</v>
      </c>
      <c r="S728" s="307">
        <f t="shared" ca="1" si="340"/>
        <v>7.150000000000003</v>
      </c>
      <c r="T728" s="304">
        <f t="shared" ca="1" si="320"/>
        <v>70.141500000000036</v>
      </c>
      <c r="U728" s="311">
        <f t="shared" ca="1" si="321"/>
        <v>0</v>
      </c>
      <c r="V728" s="306">
        <f t="shared" ca="1" si="322"/>
        <v>1.2261302056040706</v>
      </c>
      <c r="W728" s="304">
        <f t="shared" ca="1" si="323"/>
        <v>54.661113238835334</v>
      </c>
      <c r="Y728" s="314" t="str">
        <f t="shared" ca="1" si="341"/>
        <v/>
      </c>
      <c r="Z728" s="315" t="str">
        <f t="shared" ca="1" si="342"/>
        <v/>
      </c>
      <c r="AA728" s="316" t="str">
        <f t="shared" ca="1" si="343"/>
        <v/>
      </c>
      <c r="AC728" s="310" t="e">
        <f t="shared" ca="1" si="344"/>
        <v>#N/A</v>
      </c>
      <c r="AD728" s="323" t="e">
        <f t="shared" ca="1" si="345"/>
        <v>#N/A</v>
      </c>
      <c r="AE728" s="324" t="e">
        <f t="shared" ca="1" si="324"/>
        <v>#N/A</v>
      </c>
      <c r="AG728" s="306">
        <f t="shared" ca="1" si="346"/>
        <v>2.1205483872310387</v>
      </c>
      <c r="AH728" s="304">
        <f t="shared" ca="1" si="347"/>
        <v>-7.6448761883512715</v>
      </c>
    </row>
    <row r="729" spans="1:34" x14ac:dyDescent="0.2">
      <c r="A729" s="347">
        <f t="shared" ca="1" si="325"/>
        <v>1E-4</v>
      </c>
      <c r="B729" s="304">
        <f t="shared" ca="1" si="326"/>
        <v>36.717800000000842</v>
      </c>
      <c r="D729" s="306">
        <f t="shared" ca="1" si="327"/>
        <v>-0.72795329603766712</v>
      </c>
      <c r="E729" s="307">
        <f t="shared" ca="1" si="328"/>
        <v>-2.1998260652295691</v>
      </c>
      <c r="F729" s="304">
        <f t="shared" ca="1" si="329"/>
        <v>2.317142791990928</v>
      </c>
      <c r="G729" s="306">
        <f t="shared" ca="1" si="330"/>
        <v>12.444709677914666</v>
      </c>
      <c r="H729" s="307">
        <f t="shared" ca="1" si="331"/>
        <v>-130.10054333751447</v>
      </c>
      <c r="I729" s="304">
        <f t="shared" ca="1" si="332"/>
        <v>130.69438463715287</v>
      </c>
      <c r="J729" s="306">
        <f t="shared" ca="1" si="333"/>
        <v>889.84792314375909</v>
      </c>
      <c r="K729" s="307">
        <f t="shared" ca="1" si="334"/>
        <v>-9.2349240933234</v>
      </c>
      <c r="L729" s="304">
        <f t="shared" ca="1" si="319"/>
        <v>889.89584230193532</v>
      </c>
      <c r="M729" s="306">
        <f t="shared" ca="1" si="335"/>
        <v>-1.4754319196344876</v>
      </c>
      <c r="N729" s="304">
        <f t="shared" ca="1" si="336"/>
        <v>-84.5360219539414</v>
      </c>
      <c r="P729" s="310">
        <f t="shared" ca="1" si="337"/>
        <v>23</v>
      </c>
      <c r="Q729" s="304">
        <f t="shared" ca="1" si="338"/>
        <v>0</v>
      </c>
      <c r="R729" s="306">
        <f t="shared" ca="1" si="339"/>
        <v>0</v>
      </c>
      <c r="S729" s="307">
        <f t="shared" ca="1" si="340"/>
        <v>7.150000000000003</v>
      </c>
      <c r="T729" s="304">
        <f t="shared" ca="1" si="320"/>
        <v>70.141500000000036</v>
      </c>
      <c r="U729" s="311">
        <f t="shared" ca="1" si="321"/>
        <v>0</v>
      </c>
      <c r="V729" s="306">
        <f t="shared" ca="1" si="322"/>
        <v>1.2261318008061586</v>
      </c>
      <c r="W729" s="304">
        <f t="shared" ca="1" si="323"/>
        <v>54.661361729069917</v>
      </c>
      <c r="Y729" s="314" t="str">
        <f t="shared" ca="1" si="341"/>
        <v/>
      </c>
      <c r="Z729" s="315" t="str">
        <f t="shared" ca="1" si="342"/>
        <v/>
      </c>
      <c r="AA729" s="316" t="str">
        <f t="shared" ca="1" si="343"/>
        <v/>
      </c>
      <c r="AC729" s="310" t="e">
        <f t="shared" ca="1" si="344"/>
        <v>#N/A</v>
      </c>
      <c r="AD729" s="323" t="e">
        <f t="shared" ca="1" si="345"/>
        <v>#N/A</v>
      </c>
      <c r="AE729" s="324" t="e">
        <f t="shared" ca="1" si="324"/>
        <v>#N/A</v>
      </c>
      <c r="AG729" s="306">
        <f t="shared" ca="1" si="346"/>
        <v>2.1205143007378267</v>
      </c>
      <c r="AH729" s="304">
        <f t="shared" ca="1" si="347"/>
        <v>-7.644910942494449</v>
      </c>
    </row>
    <row r="730" spans="1:34" x14ac:dyDescent="0.2">
      <c r="A730" s="347">
        <f t="shared" ca="1" si="325"/>
        <v>1E-4</v>
      </c>
      <c r="B730" s="304">
        <f t="shared" ca="1" si="326"/>
        <v>36.717900000000846</v>
      </c>
      <c r="D730" s="306">
        <f t="shared" ca="1" si="327"/>
        <v>-0.72795116606520782</v>
      </c>
      <c r="E730" s="307">
        <f t="shared" ca="1" si="328"/>
        <v>-2.1997909489736989</v>
      </c>
      <c r="F730" s="304">
        <f t="shared" ca="1" si="329"/>
        <v>2.3171087845334974</v>
      </c>
      <c r="G730" s="306">
        <f t="shared" ca="1" si="330"/>
        <v>12.44463688279806</v>
      </c>
      <c r="H730" s="307">
        <f t="shared" ca="1" si="331"/>
        <v>-130.10076331660937</v>
      </c>
      <c r="I730" s="304">
        <f t="shared" ca="1" si="332"/>
        <v>130.69459668520773</v>
      </c>
      <c r="J730" s="306">
        <f t="shared" ca="1" si="333"/>
        <v>889.84792314375909</v>
      </c>
      <c r="K730" s="307">
        <f t="shared" ca="1" si="334"/>
        <v>-9.2479341586561059</v>
      </c>
      <c r="L730" s="304">
        <f t="shared" ca="1" si="319"/>
        <v>889.89597740941849</v>
      </c>
      <c r="M730" s="306">
        <f t="shared" ca="1" si="335"/>
        <v>-1.4754326343598865</v>
      </c>
      <c r="N730" s="304">
        <f t="shared" ca="1" si="336"/>
        <v>-84.536062904690269</v>
      </c>
      <c r="P730" s="310">
        <f t="shared" ca="1" si="337"/>
        <v>23</v>
      </c>
      <c r="Q730" s="304">
        <f t="shared" ca="1" si="338"/>
        <v>0</v>
      </c>
      <c r="R730" s="306">
        <f t="shared" ca="1" si="339"/>
        <v>0</v>
      </c>
      <c r="S730" s="307">
        <f t="shared" ca="1" si="340"/>
        <v>7.150000000000003</v>
      </c>
      <c r="T730" s="304">
        <f t="shared" ca="1" si="320"/>
        <v>70.141500000000036</v>
      </c>
      <c r="U730" s="311">
        <f t="shared" ca="1" si="321"/>
        <v>0</v>
      </c>
      <c r="V730" s="306">
        <f t="shared" ca="1" si="322"/>
        <v>1.2261333960130205</v>
      </c>
      <c r="W730" s="304">
        <f t="shared" ca="1" si="323"/>
        <v>54.661610217415465</v>
      </c>
      <c r="Y730" s="314" t="str">
        <f t="shared" ca="1" si="341"/>
        <v/>
      </c>
      <c r="Z730" s="315" t="str">
        <f t="shared" ca="1" si="342"/>
        <v/>
      </c>
      <c r="AA730" s="316" t="str">
        <f t="shared" ca="1" si="343"/>
        <v/>
      </c>
      <c r="AC730" s="310" t="e">
        <f t="shared" ca="1" si="344"/>
        <v>#N/A</v>
      </c>
      <c r="AD730" s="323" t="e">
        <f t="shared" ca="1" si="345"/>
        <v>#N/A</v>
      </c>
      <c r="AE730" s="324" t="e">
        <f t="shared" ca="1" si="324"/>
        <v>#N/A</v>
      </c>
      <c r="AG730" s="306">
        <f t="shared" ca="1" si="346"/>
        <v>2.1204802144977686</v>
      </c>
      <c r="AH730" s="304">
        <f t="shared" ca="1" si="347"/>
        <v>-7.6449456963734113</v>
      </c>
    </row>
    <row r="731" spans="1:34" x14ac:dyDescent="0.2">
      <c r="A731" s="347">
        <f t="shared" ca="1" si="325"/>
        <v>1E-4</v>
      </c>
      <c r="B731" s="304">
        <f t="shared" ca="1" si="326"/>
        <v>36.718000000000849</v>
      </c>
      <c r="D731" s="306">
        <f t="shared" ca="1" si="327"/>
        <v>-0.7279490360672336</v>
      </c>
      <c r="E731" s="307">
        <f t="shared" ca="1" si="328"/>
        <v>-2.1997558329847164</v>
      </c>
      <c r="F731" s="304">
        <f t="shared" ca="1" si="329"/>
        <v>2.3170747773564622</v>
      </c>
      <c r="G731" s="306">
        <f t="shared" ca="1" si="330"/>
        <v>12.444564087894452</v>
      </c>
      <c r="H731" s="307">
        <f t="shared" ca="1" si="331"/>
        <v>-130.10098329219267</v>
      </c>
      <c r="I731" s="304">
        <f t="shared" ca="1" si="332"/>
        <v>130.69480872985395</v>
      </c>
      <c r="J731" s="306">
        <f t="shared" ca="1" si="333"/>
        <v>889.84792314375909</v>
      </c>
      <c r="K731" s="307">
        <f t="shared" ca="1" si="334"/>
        <v>-9.2609442459865452</v>
      </c>
      <c r="L731" s="304">
        <f t="shared" ca="1" si="319"/>
        <v>889.89611270731405</v>
      </c>
      <c r="M731" s="306">
        <f t="shared" ca="1" si="335"/>
        <v>-1.4754333490787852</v>
      </c>
      <c r="N731" s="304">
        <f t="shared" ca="1" si="336"/>
        <v>-84.536103855066699</v>
      </c>
      <c r="P731" s="310">
        <f t="shared" ca="1" si="337"/>
        <v>23</v>
      </c>
      <c r="Q731" s="304">
        <f t="shared" ca="1" si="338"/>
        <v>0</v>
      </c>
      <c r="R731" s="306">
        <f t="shared" ca="1" si="339"/>
        <v>0</v>
      </c>
      <c r="S731" s="307">
        <f t="shared" ca="1" si="340"/>
        <v>7.150000000000003</v>
      </c>
      <c r="T731" s="304">
        <f t="shared" ca="1" si="320"/>
        <v>70.141500000000036</v>
      </c>
      <c r="U731" s="311">
        <f t="shared" ca="1" si="321"/>
        <v>0</v>
      </c>
      <c r="V731" s="306">
        <f t="shared" ca="1" si="322"/>
        <v>1.226134991224656</v>
      </c>
      <c r="W731" s="304">
        <f t="shared" ca="1" si="323"/>
        <v>54.66185870387185</v>
      </c>
      <c r="Y731" s="314" t="str">
        <f t="shared" ca="1" si="341"/>
        <v/>
      </c>
      <c r="Z731" s="315" t="str">
        <f t="shared" ca="1" si="342"/>
        <v/>
      </c>
      <c r="AA731" s="316" t="str">
        <f t="shared" ca="1" si="343"/>
        <v/>
      </c>
      <c r="AC731" s="310" t="e">
        <f t="shared" ca="1" si="344"/>
        <v>#N/A</v>
      </c>
      <c r="AD731" s="323" t="e">
        <f t="shared" ca="1" si="345"/>
        <v>#N/A</v>
      </c>
      <c r="AE731" s="324" t="e">
        <f t="shared" ca="1" si="324"/>
        <v>#N/A</v>
      </c>
      <c r="AG731" s="306">
        <f t="shared" ca="1" si="346"/>
        <v>2.1204461285108529</v>
      </c>
      <c r="AH731" s="304">
        <f t="shared" ca="1" si="347"/>
        <v>-7.6449804499881733</v>
      </c>
    </row>
    <row r="732" spans="1:34" x14ac:dyDescent="0.2">
      <c r="A732" s="347">
        <f t="shared" ca="1" si="325"/>
        <v>1E-4</v>
      </c>
      <c r="B732" s="304">
        <f t="shared" ca="1" si="326"/>
        <v>36.718100000000852</v>
      </c>
      <c r="D732" s="306">
        <f t="shared" ca="1" si="327"/>
        <v>-0.72794690604374412</v>
      </c>
      <c r="E732" s="307">
        <f t="shared" ca="1" si="328"/>
        <v>-2.1997207172626405</v>
      </c>
      <c r="F732" s="304">
        <f t="shared" ca="1" si="329"/>
        <v>2.317040770459839</v>
      </c>
      <c r="G732" s="306">
        <f t="shared" ca="1" si="330"/>
        <v>12.444491293203848</v>
      </c>
      <c r="H732" s="307">
        <f t="shared" ca="1" si="331"/>
        <v>-130.1012032642644</v>
      </c>
      <c r="I732" s="304">
        <f t="shared" ca="1" si="332"/>
        <v>130.69502077109161</v>
      </c>
      <c r="J732" s="306">
        <f t="shared" ca="1" si="333"/>
        <v>889.84792314375909</v>
      </c>
      <c r="K732" s="307">
        <f t="shared" ca="1" si="334"/>
        <v>-9.273954355314368</v>
      </c>
      <c r="L732" s="304">
        <f t="shared" ca="1" si="319"/>
        <v>889.896248195623</v>
      </c>
      <c r="M732" s="306">
        <f t="shared" ca="1" si="335"/>
        <v>-1.475434063791184</v>
      </c>
      <c r="N732" s="304">
        <f t="shared" ca="1" si="336"/>
        <v>-84.53614480507072</v>
      </c>
      <c r="P732" s="310">
        <f t="shared" ca="1" si="337"/>
        <v>23</v>
      </c>
      <c r="Q732" s="304">
        <f t="shared" ca="1" si="338"/>
        <v>0</v>
      </c>
      <c r="R732" s="306">
        <f t="shared" ca="1" si="339"/>
        <v>0</v>
      </c>
      <c r="S732" s="307">
        <f t="shared" ca="1" si="340"/>
        <v>7.150000000000003</v>
      </c>
      <c r="T732" s="304">
        <f t="shared" ca="1" si="320"/>
        <v>70.141500000000036</v>
      </c>
      <c r="U732" s="311">
        <f t="shared" ca="1" si="321"/>
        <v>0</v>
      </c>
      <c r="V732" s="306">
        <f t="shared" ca="1" si="322"/>
        <v>1.2261365864410649</v>
      </c>
      <c r="W732" s="304">
        <f t="shared" ca="1" si="323"/>
        <v>54.662107188439144</v>
      </c>
      <c r="Y732" s="314" t="str">
        <f t="shared" ca="1" si="341"/>
        <v/>
      </c>
      <c r="Z732" s="315" t="str">
        <f t="shared" ca="1" si="342"/>
        <v/>
      </c>
      <c r="AA732" s="316" t="str">
        <f t="shared" ca="1" si="343"/>
        <v/>
      </c>
      <c r="AC732" s="310" t="e">
        <f t="shared" ca="1" si="344"/>
        <v>#N/A</v>
      </c>
      <c r="AD732" s="323" t="e">
        <f t="shared" ca="1" si="345"/>
        <v>#N/A</v>
      </c>
      <c r="AE732" s="324" t="e">
        <f t="shared" ca="1" si="324"/>
        <v>#N/A</v>
      </c>
      <c r="AG732" s="306">
        <f t="shared" ca="1" si="346"/>
        <v>2.1204120427770921</v>
      </c>
      <c r="AH732" s="304">
        <f t="shared" ca="1" si="347"/>
        <v>-7.6450152033387173</v>
      </c>
    </row>
    <row r="733" spans="1:34" x14ac:dyDescent="0.2">
      <c r="A733" s="347">
        <f t="shared" ca="1" si="325"/>
        <v>1E-4</v>
      </c>
      <c r="B733" s="304">
        <f t="shared" ca="1" si="326"/>
        <v>36.718200000000856</v>
      </c>
      <c r="D733" s="306">
        <f t="shared" ca="1" si="327"/>
        <v>-0.72794477599473961</v>
      </c>
      <c r="E733" s="307">
        <f t="shared" ca="1" si="328"/>
        <v>-2.1996856018074622</v>
      </c>
      <c r="F733" s="304">
        <f t="shared" ca="1" si="329"/>
        <v>2.3170067638436209</v>
      </c>
      <c r="G733" s="306">
        <f t="shared" ca="1" si="330"/>
        <v>12.444418498726249</v>
      </c>
      <c r="H733" s="307">
        <f t="shared" ca="1" si="331"/>
        <v>-130.10142323282457</v>
      </c>
      <c r="I733" s="304">
        <f t="shared" ca="1" si="332"/>
        <v>130.69523280892071</v>
      </c>
      <c r="J733" s="306">
        <f t="shared" ca="1" si="333"/>
        <v>889.84792314375909</v>
      </c>
      <c r="K733" s="307">
        <f t="shared" ca="1" si="334"/>
        <v>-9.2869644866392225</v>
      </c>
      <c r="L733" s="304">
        <f t="shared" ca="1" si="319"/>
        <v>889.89638387434604</v>
      </c>
      <c r="M733" s="306">
        <f t="shared" ca="1" si="335"/>
        <v>-1.4754347784970832</v>
      </c>
      <c r="N733" s="304">
        <f t="shared" ca="1" si="336"/>
        <v>-84.536185754702331</v>
      </c>
      <c r="P733" s="310">
        <f t="shared" ca="1" si="337"/>
        <v>23</v>
      </c>
      <c r="Q733" s="304">
        <f t="shared" ca="1" si="338"/>
        <v>0</v>
      </c>
      <c r="R733" s="306">
        <f t="shared" ca="1" si="339"/>
        <v>0</v>
      </c>
      <c r="S733" s="307">
        <f t="shared" ca="1" si="340"/>
        <v>7.150000000000003</v>
      </c>
      <c r="T733" s="304">
        <f t="shared" ca="1" si="320"/>
        <v>70.141500000000036</v>
      </c>
      <c r="U733" s="311">
        <f t="shared" ca="1" si="321"/>
        <v>0</v>
      </c>
      <c r="V733" s="306">
        <f t="shared" ca="1" si="322"/>
        <v>1.2261381816622472</v>
      </c>
      <c r="W733" s="304">
        <f t="shared" ca="1" si="323"/>
        <v>54.662355671117311</v>
      </c>
      <c r="Y733" s="314" t="str">
        <f t="shared" ca="1" si="341"/>
        <v/>
      </c>
      <c r="Z733" s="315" t="str">
        <f t="shared" ca="1" si="342"/>
        <v/>
      </c>
      <c r="AA733" s="316" t="str">
        <f t="shared" ca="1" si="343"/>
        <v/>
      </c>
      <c r="AC733" s="310" t="e">
        <f t="shared" ca="1" si="344"/>
        <v>#N/A</v>
      </c>
      <c r="AD733" s="323" t="e">
        <f t="shared" ca="1" si="345"/>
        <v>#N/A</v>
      </c>
      <c r="AE733" s="324" t="e">
        <f t="shared" ca="1" si="324"/>
        <v>#N/A</v>
      </c>
      <c r="AG733" s="306">
        <f t="shared" ca="1" si="346"/>
        <v>2.1203779572964825</v>
      </c>
      <c r="AH733" s="304">
        <f t="shared" ca="1" si="347"/>
        <v>-7.6450499564250523</v>
      </c>
    </row>
    <row r="734" spans="1:34" x14ac:dyDescent="0.2">
      <c r="A734" s="347">
        <f t="shared" ca="1" si="325"/>
        <v>1E-4</v>
      </c>
      <c r="B734" s="304">
        <f t="shared" ca="1" si="326"/>
        <v>36.718300000000859</v>
      </c>
      <c r="D734" s="306">
        <f t="shared" ca="1" si="327"/>
        <v>-0.7279426459202194</v>
      </c>
      <c r="E734" s="307">
        <f t="shared" ca="1" si="328"/>
        <v>-2.1996504866191859</v>
      </c>
      <c r="F734" s="304">
        <f t="shared" ca="1" si="329"/>
        <v>2.3169727575078114</v>
      </c>
      <c r="G734" s="306">
        <f t="shared" ca="1" si="330"/>
        <v>12.444345704461657</v>
      </c>
      <c r="H734" s="307">
        <f t="shared" ca="1" si="331"/>
        <v>-130.10164319787324</v>
      </c>
      <c r="I734" s="304">
        <f t="shared" ca="1" si="332"/>
        <v>130.69544484334131</v>
      </c>
      <c r="J734" s="306">
        <f t="shared" ca="1" si="333"/>
        <v>889.84792314375909</v>
      </c>
      <c r="K734" s="307">
        <f t="shared" ca="1" si="334"/>
        <v>-9.299974639960757</v>
      </c>
      <c r="L734" s="304">
        <f t="shared" ca="1" si="319"/>
        <v>889.89651974348419</v>
      </c>
      <c r="M734" s="306">
        <f t="shared" ca="1" si="335"/>
        <v>-1.4754354931964826</v>
      </c>
      <c r="N734" s="304">
        <f t="shared" ca="1" si="336"/>
        <v>-84.536226703961546</v>
      </c>
      <c r="P734" s="310">
        <f t="shared" ca="1" si="337"/>
        <v>23</v>
      </c>
      <c r="Q734" s="304">
        <f t="shared" ca="1" si="338"/>
        <v>0</v>
      </c>
      <c r="R734" s="306">
        <f t="shared" ca="1" si="339"/>
        <v>0</v>
      </c>
      <c r="S734" s="307">
        <f t="shared" ca="1" si="340"/>
        <v>7.150000000000003</v>
      </c>
      <c r="T734" s="304">
        <f t="shared" ca="1" si="320"/>
        <v>70.141500000000036</v>
      </c>
      <c r="U734" s="311">
        <f t="shared" ca="1" si="321"/>
        <v>0</v>
      </c>
      <c r="V734" s="306">
        <f t="shared" ca="1" si="322"/>
        <v>1.2261397768882032</v>
      </c>
      <c r="W734" s="304">
        <f t="shared" ca="1" si="323"/>
        <v>54.662604151906386</v>
      </c>
      <c r="Y734" s="314" t="str">
        <f t="shared" ca="1" si="341"/>
        <v/>
      </c>
      <c r="Z734" s="315" t="str">
        <f t="shared" ca="1" si="342"/>
        <v/>
      </c>
      <c r="AA734" s="316" t="str">
        <f t="shared" ca="1" si="343"/>
        <v/>
      </c>
      <c r="AC734" s="310" t="e">
        <f t="shared" ca="1" si="344"/>
        <v>#N/A</v>
      </c>
      <c r="AD734" s="323" t="e">
        <f t="shared" ca="1" si="345"/>
        <v>#N/A</v>
      </c>
      <c r="AE734" s="324" t="e">
        <f t="shared" ca="1" si="324"/>
        <v>#N/A</v>
      </c>
      <c r="AG734" s="306">
        <f t="shared" ca="1" si="346"/>
        <v>2.1203438720690277</v>
      </c>
      <c r="AH734" s="304">
        <f t="shared" ca="1" si="347"/>
        <v>-7.6450847092471728</v>
      </c>
    </row>
    <row r="735" spans="1:34" x14ac:dyDescent="0.2">
      <c r="A735" s="347">
        <f t="shared" ca="1" si="325"/>
        <v>1E-4</v>
      </c>
      <c r="B735" s="304">
        <f t="shared" ca="1" si="326"/>
        <v>36.718400000000862</v>
      </c>
      <c r="D735" s="306">
        <f t="shared" ca="1" si="327"/>
        <v>-0.72794051582018504</v>
      </c>
      <c r="E735" s="307">
        <f t="shared" ca="1" si="328"/>
        <v>-2.1996153716978064</v>
      </c>
      <c r="F735" s="304">
        <f t="shared" ca="1" si="329"/>
        <v>2.3169387514524065</v>
      </c>
      <c r="G735" s="306">
        <f t="shared" ca="1" si="330"/>
        <v>12.444272910410076</v>
      </c>
      <c r="H735" s="307">
        <f t="shared" ca="1" si="331"/>
        <v>-130.10186315941041</v>
      </c>
      <c r="I735" s="304">
        <f t="shared" ca="1" si="332"/>
        <v>130.6956568743534</v>
      </c>
      <c r="J735" s="306">
        <f t="shared" ca="1" si="333"/>
        <v>889.84792314375909</v>
      </c>
      <c r="K735" s="307">
        <f t="shared" ca="1" si="334"/>
        <v>-9.3129848152786217</v>
      </c>
      <c r="L735" s="304">
        <f t="shared" ca="1" si="319"/>
        <v>889.89665580303813</v>
      </c>
      <c r="M735" s="306">
        <f t="shared" ca="1" si="335"/>
        <v>-1.4754362078893826</v>
      </c>
      <c r="N735" s="304">
        <f t="shared" ca="1" si="336"/>
        <v>-84.536267652848352</v>
      </c>
      <c r="P735" s="310">
        <f t="shared" ca="1" si="337"/>
        <v>23</v>
      </c>
      <c r="Q735" s="304">
        <f t="shared" ca="1" si="338"/>
        <v>0</v>
      </c>
      <c r="R735" s="306">
        <f t="shared" ca="1" si="339"/>
        <v>0</v>
      </c>
      <c r="S735" s="307">
        <f t="shared" ca="1" si="340"/>
        <v>7.150000000000003</v>
      </c>
      <c r="T735" s="304">
        <f t="shared" ca="1" si="320"/>
        <v>70.141500000000036</v>
      </c>
      <c r="U735" s="311">
        <f t="shared" ca="1" si="321"/>
        <v>0</v>
      </c>
      <c r="V735" s="306">
        <f t="shared" ca="1" si="322"/>
        <v>1.2261413721189323</v>
      </c>
      <c r="W735" s="304">
        <f t="shared" ca="1" si="323"/>
        <v>54.66285263080632</v>
      </c>
      <c r="Y735" s="314" t="str">
        <f t="shared" ca="1" si="341"/>
        <v/>
      </c>
      <c r="Z735" s="315" t="str">
        <f t="shared" ca="1" si="342"/>
        <v/>
      </c>
      <c r="AA735" s="316" t="str">
        <f t="shared" ca="1" si="343"/>
        <v/>
      </c>
      <c r="AC735" s="310" t="e">
        <f t="shared" ca="1" si="344"/>
        <v>#N/A</v>
      </c>
      <c r="AD735" s="323" t="e">
        <f t="shared" ca="1" si="345"/>
        <v>#N/A</v>
      </c>
      <c r="AE735" s="324" t="e">
        <f t="shared" ca="1" si="324"/>
        <v>#N/A</v>
      </c>
      <c r="AG735" s="306">
        <f t="shared" ca="1" si="346"/>
        <v>2.1203097870947207</v>
      </c>
      <c r="AH735" s="304">
        <f t="shared" ca="1" si="347"/>
        <v>-7.6451194618050859</v>
      </c>
    </row>
    <row r="736" spans="1:34" x14ac:dyDescent="0.2">
      <c r="A736" s="347">
        <f t="shared" ca="1" si="325"/>
        <v>1E-4</v>
      </c>
      <c r="B736" s="304">
        <f t="shared" ca="1" si="326"/>
        <v>36.718500000000866</v>
      </c>
      <c r="D736" s="306">
        <f t="shared" ca="1" si="327"/>
        <v>-0.72793838569463554</v>
      </c>
      <c r="E736" s="307">
        <f t="shared" ca="1" si="328"/>
        <v>-2.1995802570433307</v>
      </c>
      <c r="F736" s="304">
        <f t="shared" ca="1" si="329"/>
        <v>2.3169047456774128</v>
      </c>
      <c r="G736" s="306">
        <f t="shared" ca="1" si="330"/>
        <v>12.444200116571507</v>
      </c>
      <c r="H736" s="307">
        <f t="shared" ca="1" si="331"/>
        <v>-130.10208311743611</v>
      </c>
      <c r="I736" s="304">
        <f t="shared" ca="1" si="332"/>
        <v>130.695868901957</v>
      </c>
      <c r="J736" s="306">
        <f t="shared" ca="1" si="333"/>
        <v>889.84792314375909</v>
      </c>
      <c r="K736" s="307">
        <f t="shared" ca="1" si="334"/>
        <v>-9.3259950125924647</v>
      </c>
      <c r="L736" s="304">
        <f t="shared" ca="1" si="319"/>
        <v>889.89679205300899</v>
      </c>
      <c r="M736" s="306">
        <f t="shared" ca="1" si="335"/>
        <v>-1.4754369225757826</v>
      </c>
      <c r="N736" s="304">
        <f t="shared" ca="1" si="336"/>
        <v>-84.536308601362762</v>
      </c>
      <c r="P736" s="310">
        <f t="shared" ca="1" si="337"/>
        <v>23</v>
      </c>
      <c r="Q736" s="304">
        <f t="shared" ca="1" si="338"/>
        <v>0</v>
      </c>
      <c r="R736" s="306">
        <f t="shared" ca="1" si="339"/>
        <v>0</v>
      </c>
      <c r="S736" s="307">
        <f t="shared" ca="1" si="340"/>
        <v>7.150000000000003</v>
      </c>
      <c r="T736" s="304">
        <f t="shared" ca="1" si="320"/>
        <v>70.141500000000036</v>
      </c>
      <c r="U736" s="311">
        <f t="shared" ca="1" si="321"/>
        <v>0</v>
      </c>
      <c r="V736" s="306">
        <f t="shared" ca="1" si="322"/>
        <v>1.2261429673544353</v>
      </c>
      <c r="W736" s="304">
        <f t="shared" ca="1" si="323"/>
        <v>54.663101107817148</v>
      </c>
      <c r="Y736" s="314" t="str">
        <f t="shared" ca="1" si="341"/>
        <v/>
      </c>
      <c r="Z736" s="315" t="str">
        <f t="shared" ca="1" si="342"/>
        <v/>
      </c>
      <c r="AA736" s="316" t="str">
        <f t="shared" ca="1" si="343"/>
        <v/>
      </c>
      <c r="AC736" s="310" t="e">
        <f t="shared" ca="1" si="344"/>
        <v>#N/A</v>
      </c>
      <c r="AD736" s="323" t="e">
        <f t="shared" ca="1" si="345"/>
        <v>#N/A</v>
      </c>
      <c r="AE736" s="324" t="e">
        <f t="shared" ca="1" si="324"/>
        <v>#N/A</v>
      </c>
      <c r="AG736" s="306">
        <f t="shared" ca="1" si="346"/>
        <v>2.1202757023735703</v>
      </c>
      <c r="AH736" s="304">
        <f t="shared" ca="1" si="347"/>
        <v>-7.6451542140987829</v>
      </c>
    </row>
    <row r="737" spans="1:34" x14ac:dyDescent="0.2">
      <c r="A737" s="347">
        <f t="shared" ca="1" si="325"/>
        <v>1E-4</v>
      </c>
      <c r="B737" s="304">
        <f t="shared" ca="1" si="326"/>
        <v>36.718600000000869</v>
      </c>
      <c r="D737" s="306">
        <f t="shared" ca="1" si="327"/>
        <v>-0.72793625554357599</v>
      </c>
      <c r="E737" s="307">
        <f t="shared" ca="1" si="328"/>
        <v>-2.1995451426557544</v>
      </c>
      <c r="F737" s="304">
        <f t="shared" ca="1" si="329"/>
        <v>2.3168707401828281</v>
      </c>
      <c r="G737" s="306">
        <f t="shared" ca="1" si="330"/>
        <v>12.444127322945953</v>
      </c>
      <c r="H737" s="307">
        <f t="shared" ca="1" si="331"/>
        <v>-130.10230307195039</v>
      </c>
      <c r="I737" s="304">
        <f t="shared" ca="1" si="332"/>
        <v>130.69608092615218</v>
      </c>
      <c r="J737" s="306">
        <f t="shared" ca="1" si="333"/>
        <v>889.84792314375909</v>
      </c>
      <c r="K737" s="307">
        <f t="shared" ca="1" si="334"/>
        <v>-9.3390052319019343</v>
      </c>
      <c r="L737" s="304">
        <f t="shared" ca="1" si="319"/>
        <v>889.89692849339747</v>
      </c>
      <c r="M737" s="306">
        <f t="shared" ca="1" si="335"/>
        <v>-1.4754376372556834</v>
      </c>
      <c r="N737" s="304">
        <f t="shared" ca="1" si="336"/>
        <v>-84.536349549504777</v>
      </c>
      <c r="P737" s="310">
        <f t="shared" ca="1" si="337"/>
        <v>23</v>
      </c>
      <c r="Q737" s="304">
        <f t="shared" ca="1" si="338"/>
        <v>0</v>
      </c>
      <c r="R737" s="306">
        <f t="shared" ca="1" si="339"/>
        <v>0</v>
      </c>
      <c r="S737" s="307">
        <f t="shared" ca="1" si="340"/>
        <v>7.150000000000003</v>
      </c>
      <c r="T737" s="304">
        <f t="shared" ca="1" si="320"/>
        <v>70.141500000000036</v>
      </c>
      <c r="U737" s="311">
        <f t="shared" ca="1" si="321"/>
        <v>0</v>
      </c>
      <c r="V737" s="306">
        <f t="shared" ca="1" si="322"/>
        <v>1.2261445625947109</v>
      </c>
      <c r="W737" s="304">
        <f t="shared" ca="1" si="323"/>
        <v>54.663349582938835</v>
      </c>
      <c r="Y737" s="314" t="str">
        <f t="shared" ca="1" si="341"/>
        <v/>
      </c>
      <c r="Z737" s="315" t="str">
        <f t="shared" ca="1" si="342"/>
        <v/>
      </c>
      <c r="AA737" s="316" t="str">
        <f t="shared" ca="1" si="343"/>
        <v/>
      </c>
      <c r="AC737" s="310" t="e">
        <f t="shared" ca="1" si="344"/>
        <v>#N/A</v>
      </c>
      <c r="AD737" s="323" t="e">
        <f t="shared" ca="1" si="345"/>
        <v>#N/A</v>
      </c>
      <c r="AE737" s="324" t="e">
        <f t="shared" ca="1" si="324"/>
        <v>#N/A</v>
      </c>
      <c r="AG737" s="306">
        <f t="shared" ca="1" si="346"/>
        <v>2.1202416179055712</v>
      </c>
      <c r="AH737" s="304">
        <f t="shared" ca="1" si="347"/>
        <v>-7.645188966128269</v>
      </c>
    </row>
    <row r="738" spans="1:34" x14ac:dyDescent="0.2">
      <c r="A738" s="347">
        <f t="shared" ca="1" si="325"/>
        <v>1E-4</v>
      </c>
      <c r="B738" s="304">
        <f t="shared" ca="1" si="326"/>
        <v>36.718700000000872</v>
      </c>
      <c r="D738" s="306">
        <f t="shared" ca="1" si="327"/>
        <v>-0.72793412536700197</v>
      </c>
      <c r="E738" s="307">
        <f t="shared" ca="1" si="328"/>
        <v>-2.1995100285350819</v>
      </c>
      <c r="F738" s="304">
        <f t="shared" ca="1" si="329"/>
        <v>2.3168367349686552</v>
      </c>
      <c r="G738" s="306">
        <f t="shared" ca="1" si="330"/>
        <v>12.444054529533416</v>
      </c>
      <c r="H738" s="307">
        <f t="shared" ca="1" si="331"/>
        <v>-130.10252302295325</v>
      </c>
      <c r="I738" s="304">
        <f t="shared" ca="1" si="332"/>
        <v>130.69629294693894</v>
      </c>
      <c r="J738" s="306">
        <f t="shared" ca="1" si="333"/>
        <v>889.84792314375909</v>
      </c>
      <c r="K738" s="307">
        <f t="shared" ca="1" si="334"/>
        <v>-9.3520154732066789</v>
      </c>
      <c r="L738" s="304">
        <f t="shared" ca="1" si="319"/>
        <v>889.89706512420435</v>
      </c>
      <c r="M738" s="306">
        <f t="shared" ca="1" si="335"/>
        <v>-1.475438351929085</v>
      </c>
      <c r="N738" s="304">
        <f t="shared" ca="1" si="336"/>
        <v>-84.536390497274411</v>
      </c>
      <c r="P738" s="310">
        <f t="shared" ca="1" si="337"/>
        <v>23</v>
      </c>
      <c r="Q738" s="304">
        <f t="shared" ca="1" si="338"/>
        <v>0</v>
      </c>
      <c r="R738" s="306">
        <f t="shared" ca="1" si="339"/>
        <v>0</v>
      </c>
      <c r="S738" s="307">
        <f t="shared" ca="1" si="340"/>
        <v>7.150000000000003</v>
      </c>
      <c r="T738" s="304">
        <f t="shared" ca="1" si="320"/>
        <v>70.141500000000036</v>
      </c>
      <c r="U738" s="311">
        <f t="shared" ca="1" si="321"/>
        <v>0</v>
      </c>
      <c r="V738" s="306">
        <f t="shared" ca="1" si="322"/>
        <v>1.2261461578397606</v>
      </c>
      <c r="W738" s="304">
        <f t="shared" ca="1" si="323"/>
        <v>54.663598056171445</v>
      </c>
      <c r="Y738" s="314" t="str">
        <f t="shared" ca="1" si="341"/>
        <v/>
      </c>
      <c r="Z738" s="315" t="str">
        <f t="shared" ca="1" si="342"/>
        <v/>
      </c>
      <c r="AA738" s="316" t="str">
        <f t="shared" ca="1" si="343"/>
        <v/>
      </c>
      <c r="AC738" s="310" t="e">
        <f t="shared" ca="1" si="344"/>
        <v>#N/A</v>
      </c>
      <c r="AD738" s="323" t="e">
        <f t="shared" ca="1" si="345"/>
        <v>#N/A</v>
      </c>
      <c r="AE738" s="324" t="e">
        <f t="shared" ca="1" si="324"/>
        <v>#N/A</v>
      </c>
      <c r="AG738" s="306">
        <f t="shared" ca="1" si="346"/>
        <v>2.1202075336907313</v>
      </c>
      <c r="AH738" s="304">
        <f t="shared" ca="1" si="347"/>
        <v>-7.6452237178935398</v>
      </c>
    </row>
    <row r="739" spans="1:34" x14ac:dyDescent="0.2">
      <c r="A739" s="347">
        <f t="shared" ca="1" si="325"/>
        <v>1E-4</v>
      </c>
      <c r="B739" s="304">
        <f t="shared" ca="1" si="326"/>
        <v>36.718800000000876</v>
      </c>
      <c r="D739" s="306">
        <f t="shared" ca="1" si="327"/>
        <v>-0.72793199516491569</v>
      </c>
      <c r="E739" s="307">
        <f t="shared" ca="1" si="328"/>
        <v>-2.1994749146813044</v>
      </c>
      <c r="F739" s="304">
        <f t="shared" ca="1" si="329"/>
        <v>2.3168027300348872</v>
      </c>
      <c r="G739" s="306">
        <f t="shared" ca="1" si="330"/>
        <v>12.4439817363339</v>
      </c>
      <c r="H739" s="307">
        <f t="shared" ca="1" si="331"/>
        <v>-130.10274297044472</v>
      </c>
      <c r="I739" s="304">
        <f t="shared" ca="1" si="332"/>
        <v>130.69650496431731</v>
      </c>
      <c r="J739" s="306">
        <f t="shared" ca="1" si="333"/>
        <v>889.84792314375909</v>
      </c>
      <c r="K739" s="307">
        <f t="shared" ca="1" si="334"/>
        <v>-9.3650257365063485</v>
      </c>
      <c r="L739" s="304">
        <f t="shared" ca="1" si="319"/>
        <v>889.89720194543077</v>
      </c>
      <c r="M739" s="306">
        <f t="shared" ca="1" si="335"/>
        <v>-1.4754390665959871</v>
      </c>
      <c r="N739" s="304">
        <f t="shared" ca="1" si="336"/>
        <v>-84.536431444671663</v>
      </c>
      <c r="P739" s="310">
        <f t="shared" ca="1" si="337"/>
        <v>23</v>
      </c>
      <c r="Q739" s="304">
        <f t="shared" ca="1" si="338"/>
        <v>0</v>
      </c>
      <c r="R739" s="306">
        <f t="shared" ca="1" si="339"/>
        <v>0</v>
      </c>
      <c r="S739" s="307">
        <f t="shared" ca="1" si="340"/>
        <v>7.150000000000003</v>
      </c>
      <c r="T739" s="304">
        <f t="shared" ca="1" si="320"/>
        <v>70.141500000000036</v>
      </c>
      <c r="U739" s="311">
        <f t="shared" ca="1" si="321"/>
        <v>0</v>
      </c>
      <c r="V739" s="306">
        <f t="shared" ca="1" si="322"/>
        <v>1.2261477530895835</v>
      </c>
      <c r="W739" s="304">
        <f t="shared" ca="1" si="323"/>
        <v>54.663846527514927</v>
      </c>
      <c r="Y739" s="314" t="str">
        <f t="shared" ca="1" si="341"/>
        <v/>
      </c>
      <c r="Z739" s="315" t="str">
        <f t="shared" ca="1" si="342"/>
        <v/>
      </c>
      <c r="AA739" s="316" t="str">
        <f t="shared" ca="1" si="343"/>
        <v/>
      </c>
      <c r="AC739" s="310" t="e">
        <f t="shared" ca="1" si="344"/>
        <v>#N/A</v>
      </c>
      <c r="AD739" s="323" t="e">
        <f t="shared" ca="1" si="345"/>
        <v>#N/A</v>
      </c>
      <c r="AE739" s="324" t="e">
        <f t="shared" ca="1" si="324"/>
        <v>#N/A</v>
      </c>
      <c r="AG739" s="306">
        <f t="shared" ca="1" si="346"/>
        <v>2.1201734497290365</v>
      </c>
      <c r="AH739" s="304">
        <f t="shared" ca="1" si="347"/>
        <v>-7.6452584693946042</v>
      </c>
    </row>
    <row r="740" spans="1:34" x14ac:dyDescent="0.2">
      <c r="A740" s="347">
        <f t="shared" ca="1" si="325"/>
        <v>1E-4</v>
      </c>
      <c r="B740" s="304">
        <f t="shared" ca="1" si="326"/>
        <v>36.718900000000879</v>
      </c>
      <c r="D740" s="306">
        <f t="shared" ca="1" si="327"/>
        <v>-0.72792986493731948</v>
      </c>
      <c r="E740" s="307">
        <f t="shared" ca="1" si="328"/>
        <v>-2.1994398010944289</v>
      </c>
      <c r="F740" s="304">
        <f t="shared" ca="1" si="329"/>
        <v>2.3167687253815314</v>
      </c>
      <c r="G740" s="306">
        <f t="shared" ca="1" si="330"/>
        <v>12.443908943347406</v>
      </c>
      <c r="H740" s="307">
        <f t="shared" ca="1" si="331"/>
        <v>-130.10296291442484</v>
      </c>
      <c r="I740" s="304">
        <f t="shared" ca="1" si="332"/>
        <v>130.69671697828727</v>
      </c>
      <c r="J740" s="306">
        <f t="shared" ca="1" si="333"/>
        <v>889.84792314375909</v>
      </c>
      <c r="K740" s="307">
        <f t="shared" ca="1" si="334"/>
        <v>-9.3780360218005914</v>
      </c>
      <c r="L740" s="304">
        <f t="shared" ca="1" si="319"/>
        <v>889.89733895707741</v>
      </c>
      <c r="M740" s="306">
        <f t="shared" ca="1" si="335"/>
        <v>-1.47543978125639</v>
      </c>
      <c r="N740" s="304">
        <f t="shared" ca="1" si="336"/>
        <v>-84.536472391696535</v>
      </c>
      <c r="P740" s="310">
        <f t="shared" ca="1" si="337"/>
        <v>23</v>
      </c>
      <c r="Q740" s="304">
        <f t="shared" ca="1" si="338"/>
        <v>0</v>
      </c>
      <c r="R740" s="306">
        <f t="shared" ca="1" si="339"/>
        <v>0</v>
      </c>
      <c r="S740" s="307">
        <f t="shared" ca="1" si="340"/>
        <v>7.150000000000003</v>
      </c>
      <c r="T740" s="304">
        <f t="shared" ca="1" si="320"/>
        <v>70.141500000000036</v>
      </c>
      <c r="U740" s="311">
        <f t="shared" ca="1" si="321"/>
        <v>0</v>
      </c>
      <c r="V740" s="306">
        <f t="shared" ca="1" si="322"/>
        <v>1.2261493483441794</v>
      </c>
      <c r="W740" s="304">
        <f t="shared" ca="1" si="323"/>
        <v>54.664094996969247</v>
      </c>
      <c r="Y740" s="314" t="str">
        <f t="shared" ca="1" si="341"/>
        <v/>
      </c>
      <c r="Z740" s="315" t="str">
        <f t="shared" ca="1" si="342"/>
        <v/>
      </c>
      <c r="AA740" s="316" t="str">
        <f t="shared" ca="1" si="343"/>
        <v/>
      </c>
      <c r="AC740" s="310" t="e">
        <f t="shared" ca="1" si="344"/>
        <v>#N/A</v>
      </c>
      <c r="AD740" s="323" t="e">
        <f t="shared" ca="1" si="345"/>
        <v>#N/A</v>
      </c>
      <c r="AE740" s="324" t="e">
        <f t="shared" ca="1" si="324"/>
        <v>#N/A</v>
      </c>
      <c r="AG740" s="306">
        <f t="shared" ca="1" si="346"/>
        <v>2.1201393660204992</v>
      </c>
      <c r="AH740" s="304">
        <f t="shared" ca="1" si="347"/>
        <v>-7.645293220631455</v>
      </c>
    </row>
    <row r="741" spans="1:34" x14ac:dyDescent="0.2">
      <c r="A741" s="347">
        <f t="shared" ca="1" si="325"/>
        <v>1E-4</v>
      </c>
      <c r="B741" s="304">
        <f t="shared" ca="1" si="326"/>
        <v>36.719000000000882</v>
      </c>
      <c r="D741" s="306">
        <f t="shared" ca="1" si="327"/>
        <v>-0.72792773468421235</v>
      </c>
      <c r="E741" s="307">
        <f t="shared" ca="1" si="328"/>
        <v>-2.19940468777446</v>
      </c>
      <c r="F741" s="304">
        <f t="shared" ca="1" si="329"/>
        <v>2.3167347210085918</v>
      </c>
      <c r="G741" s="306">
        <f t="shared" ca="1" si="330"/>
        <v>12.443836150573938</v>
      </c>
      <c r="H741" s="307">
        <f t="shared" ca="1" si="331"/>
        <v>-130.10318285489362</v>
      </c>
      <c r="I741" s="304">
        <f t="shared" ca="1" si="332"/>
        <v>130.69692898884892</v>
      </c>
      <c r="J741" s="306">
        <f t="shared" ca="1" si="333"/>
        <v>889.84792314375909</v>
      </c>
      <c r="K741" s="307">
        <f t="shared" ca="1" si="334"/>
        <v>-9.3910463290890576</v>
      </c>
      <c r="L741" s="304">
        <f t="shared" ca="1" si="319"/>
        <v>889.89747615914519</v>
      </c>
      <c r="M741" s="306">
        <f t="shared" ca="1" si="335"/>
        <v>-1.475440495910294</v>
      </c>
      <c r="N741" s="304">
        <f t="shared" ca="1" si="336"/>
        <v>-84.536513338349053</v>
      </c>
      <c r="P741" s="310">
        <f t="shared" ca="1" si="337"/>
        <v>23</v>
      </c>
      <c r="Q741" s="304">
        <f t="shared" ca="1" si="338"/>
        <v>0</v>
      </c>
      <c r="R741" s="306">
        <f t="shared" ca="1" si="339"/>
        <v>0</v>
      </c>
      <c r="S741" s="307">
        <f t="shared" ca="1" si="340"/>
        <v>7.150000000000003</v>
      </c>
      <c r="T741" s="304">
        <f t="shared" ca="1" si="320"/>
        <v>70.141500000000036</v>
      </c>
      <c r="U741" s="311">
        <f t="shared" ca="1" si="321"/>
        <v>0</v>
      </c>
      <c r="V741" s="306">
        <f t="shared" ca="1" si="322"/>
        <v>1.2261509436035485</v>
      </c>
      <c r="W741" s="304">
        <f t="shared" ca="1" si="323"/>
        <v>54.664343464534447</v>
      </c>
      <c r="Y741" s="314" t="str">
        <f t="shared" ca="1" si="341"/>
        <v/>
      </c>
      <c r="Z741" s="315" t="str">
        <f t="shared" ca="1" si="342"/>
        <v/>
      </c>
      <c r="AA741" s="316" t="str">
        <f t="shared" ca="1" si="343"/>
        <v/>
      </c>
      <c r="AC741" s="310" t="e">
        <f t="shared" ca="1" si="344"/>
        <v>#N/A</v>
      </c>
      <c r="AD741" s="323" t="e">
        <f t="shared" ca="1" si="345"/>
        <v>#N/A</v>
      </c>
      <c r="AE741" s="324" t="e">
        <f t="shared" ca="1" si="324"/>
        <v>#N/A</v>
      </c>
      <c r="AG741" s="306">
        <f t="shared" ca="1" si="346"/>
        <v>2.1201052825651212</v>
      </c>
      <c r="AH741" s="304">
        <f t="shared" ca="1" si="347"/>
        <v>-7.6453279716040869</v>
      </c>
    </row>
    <row r="742" spans="1:34" x14ac:dyDescent="0.2">
      <c r="A742" s="347">
        <f t="shared" ca="1" si="325"/>
        <v>1E-4</v>
      </c>
      <c r="B742" s="304">
        <f t="shared" ca="1" si="326"/>
        <v>36.719100000000886</v>
      </c>
      <c r="D742" s="306">
        <f t="shared" ca="1" si="327"/>
        <v>-0.72792560440559273</v>
      </c>
      <c r="E742" s="307">
        <f t="shared" ca="1" si="328"/>
        <v>-2.1993695747213913</v>
      </c>
      <c r="F742" s="304">
        <f t="shared" ca="1" si="329"/>
        <v>2.3167007169160634</v>
      </c>
      <c r="G742" s="306">
        <f t="shared" ca="1" si="330"/>
        <v>12.443763358013499</v>
      </c>
      <c r="H742" s="307">
        <f t="shared" ca="1" si="331"/>
        <v>-130.1034027918511</v>
      </c>
      <c r="I742" s="304">
        <f t="shared" ca="1" si="332"/>
        <v>130.69714099600222</v>
      </c>
      <c r="J742" s="306">
        <f t="shared" ca="1" si="333"/>
        <v>889.84792314375909</v>
      </c>
      <c r="K742" s="307">
        <f t="shared" ca="1" si="334"/>
        <v>-9.4040566583713954</v>
      </c>
      <c r="L742" s="304">
        <f t="shared" ca="1" si="319"/>
        <v>889.89761355163512</v>
      </c>
      <c r="M742" s="306">
        <f t="shared" ca="1" si="335"/>
        <v>-1.4754412105576988</v>
      </c>
      <c r="N742" s="304">
        <f t="shared" ca="1" si="336"/>
        <v>-84.536554284629176</v>
      </c>
      <c r="P742" s="310">
        <f t="shared" ca="1" si="337"/>
        <v>23</v>
      </c>
      <c r="Q742" s="304">
        <f t="shared" ca="1" si="338"/>
        <v>0</v>
      </c>
      <c r="R742" s="306">
        <f t="shared" ca="1" si="339"/>
        <v>0</v>
      </c>
      <c r="S742" s="307">
        <f t="shared" ca="1" si="340"/>
        <v>7.150000000000003</v>
      </c>
      <c r="T742" s="304">
        <f t="shared" ca="1" si="320"/>
        <v>70.141500000000036</v>
      </c>
      <c r="U742" s="311">
        <f t="shared" ca="1" si="321"/>
        <v>0</v>
      </c>
      <c r="V742" s="306">
        <f t="shared" ca="1" si="322"/>
        <v>1.2261525388676913</v>
      </c>
      <c r="W742" s="304">
        <f t="shared" ca="1" si="323"/>
        <v>54.664591930210527</v>
      </c>
      <c r="Y742" s="314" t="str">
        <f t="shared" ca="1" si="341"/>
        <v/>
      </c>
      <c r="Z742" s="315" t="str">
        <f t="shared" ca="1" si="342"/>
        <v/>
      </c>
      <c r="AA742" s="316" t="str">
        <f t="shared" ca="1" si="343"/>
        <v/>
      </c>
      <c r="AC742" s="310" t="e">
        <f t="shared" ca="1" si="344"/>
        <v>#N/A</v>
      </c>
      <c r="AD742" s="323" t="e">
        <f t="shared" ca="1" si="345"/>
        <v>#N/A</v>
      </c>
      <c r="AE742" s="324" t="e">
        <f t="shared" ca="1" si="324"/>
        <v>#N/A</v>
      </c>
      <c r="AG742" s="306">
        <f t="shared" ca="1" si="346"/>
        <v>2.1200711993628971</v>
      </c>
      <c r="AH742" s="304">
        <f t="shared" ca="1" si="347"/>
        <v>-7.6453627223125071</v>
      </c>
    </row>
    <row r="743" spans="1:34" x14ac:dyDescent="0.2">
      <c r="A743" s="347">
        <f t="shared" ca="1" si="325"/>
        <v>1E-4</v>
      </c>
      <c r="B743" s="304">
        <f t="shared" ca="1" si="326"/>
        <v>36.719200000000889</v>
      </c>
      <c r="D743" s="306">
        <f t="shared" ca="1" si="327"/>
        <v>-0.72792347410146518</v>
      </c>
      <c r="E743" s="307">
        <f t="shared" ca="1" si="328"/>
        <v>-2.1993344619352246</v>
      </c>
      <c r="F743" s="304">
        <f t="shared" ca="1" si="329"/>
        <v>2.316666713103948</v>
      </c>
      <c r="G743" s="306">
        <f t="shared" ca="1" si="330"/>
        <v>12.443690565666088</v>
      </c>
      <c r="H743" s="307">
        <f t="shared" ca="1" si="331"/>
        <v>-130.1036227252973</v>
      </c>
      <c r="I743" s="304">
        <f t="shared" ca="1" si="332"/>
        <v>130.69735299974727</v>
      </c>
      <c r="J743" s="306">
        <f t="shared" ca="1" si="333"/>
        <v>889.84792314375909</v>
      </c>
      <c r="K743" s="307">
        <f t="shared" ca="1" si="334"/>
        <v>-9.4170670096472531</v>
      </c>
      <c r="L743" s="304">
        <f t="shared" ca="1" si="319"/>
        <v>889.89775113454778</v>
      </c>
      <c r="M743" s="306">
        <f t="shared" ca="1" si="335"/>
        <v>-1.4754419251986048</v>
      </c>
      <c r="N743" s="304">
        <f t="shared" ca="1" si="336"/>
        <v>-84.53659523053696</v>
      </c>
      <c r="P743" s="310">
        <f t="shared" ca="1" si="337"/>
        <v>23</v>
      </c>
      <c r="Q743" s="304">
        <f t="shared" ca="1" si="338"/>
        <v>0</v>
      </c>
      <c r="R743" s="306">
        <f t="shared" ca="1" si="339"/>
        <v>0</v>
      </c>
      <c r="S743" s="307">
        <f t="shared" ca="1" si="340"/>
        <v>7.150000000000003</v>
      </c>
      <c r="T743" s="304">
        <f t="shared" ca="1" si="320"/>
        <v>70.141500000000036</v>
      </c>
      <c r="U743" s="311">
        <f t="shared" ca="1" si="321"/>
        <v>0</v>
      </c>
      <c r="V743" s="306">
        <f t="shared" ca="1" si="322"/>
        <v>1.2261541341366069</v>
      </c>
      <c r="W743" s="304">
        <f t="shared" ca="1" si="323"/>
        <v>54.664840393997494</v>
      </c>
      <c r="Y743" s="314" t="str">
        <f t="shared" ca="1" si="341"/>
        <v/>
      </c>
      <c r="Z743" s="315" t="str">
        <f t="shared" ca="1" si="342"/>
        <v/>
      </c>
      <c r="AA743" s="316" t="str">
        <f t="shared" ca="1" si="343"/>
        <v/>
      </c>
      <c r="AC743" s="310" t="e">
        <f t="shared" ca="1" si="344"/>
        <v>#N/A</v>
      </c>
      <c r="AD743" s="323" t="e">
        <f t="shared" ca="1" si="345"/>
        <v>#N/A</v>
      </c>
      <c r="AE743" s="324" t="e">
        <f t="shared" ca="1" si="324"/>
        <v>#N/A</v>
      </c>
      <c r="AG743" s="306">
        <f t="shared" ca="1" si="346"/>
        <v>2.1200371164138287</v>
      </c>
      <c r="AH743" s="304">
        <f t="shared" ca="1" si="347"/>
        <v>-7.6453974727567138</v>
      </c>
    </row>
    <row r="744" spans="1:34" x14ac:dyDescent="0.2">
      <c r="A744" s="347">
        <f t="shared" ca="1" si="325"/>
        <v>1E-4</v>
      </c>
      <c r="B744" s="304">
        <f t="shared" ca="1" si="326"/>
        <v>36.719300000000892</v>
      </c>
      <c r="D744" s="306">
        <f t="shared" ca="1" si="327"/>
        <v>-0.72792134377182782</v>
      </c>
      <c r="E744" s="307">
        <f t="shared" ca="1" si="328"/>
        <v>-2.1992993494159574</v>
      </c>
      <c r="F744" s="304">
        <f t="shared" ca="1" si="329"/>
        <v>2.3166327095722439</v>
      </c>
      <c r="G744" s="306">
        <f t="shared" ca="1" si="330"/>
        <v>12.443617773531711</v>
      </c>
      <c r="H744" s="307">
        <f t="shared" ca="1" si="331"/>
        <v>-130.10384265523223</v>
      </c>
      <c r="I744" s="304">
        <f t="shared" ca="1" si="332"/>
        <v>130.69756500008398</v>
      </c>
      <c r="J744" s="306">
        <f t="shared" ca="1" si="333"/>
        <v>889.84792314375909</v>
      </c>
      <c r="K744" s="307">
        <f t="shared" ca="1" si="334"/>
        <v>-9.4300773829162789</v>
      </c>
      <c r="L744" s="304">
        <f t="shared" ca="1" si="319"/>
        <v>889.89788890788429</v>
      </c>
      <c r="M744" s="306">
        <f t="shared" ca="1" si="335"/>
        <v>-1.4754426398330118</v>
      </c>
      <c r="N744" s="304">
        <f t="shared" ca="1" si="336"/>
        <v>-84.536636176072378</v>
      </c>
      <c r="P744" s="310">
        <f t="shared" ca="1" si="337"/>
        <v>23</v>
      </c>
      <c r="Q744" s="304">
        <f t="shared" ca="1" si="338"/>
        <v>0</v>
      </c>
      <c r="R744" s="306">
        <f t="shared" ca="1" si="339"/>
        <v>0</v>
      </c>
      <c r="S744" s="307">
        <f t="shared" ca="1" si="340"/>
        <v>7.150000000000003</v>
      </c>
      <c r="T744" s="304">
        <f t="shared" ca="1" si="320"/>
        <v>70.141500000000036</v>
      </c>
      <c r="U744" s="311">
        <f t="shared" ca="1" si="321"/>
        <v>0</v>
      </c>
      <c r="V744" s="306">
        <f t="shared" ca="1" si="322"/>
        <v>1.226155729410296</v>
      </c>
      <c r="W744" s="304">
        <f t="shared" ca="1" si="323"/>
        <v>54.665088855895284</v>
      </c>
      <c r="Y744" s="314" t="str">
        <f t="shared" ca="1" si="341"/>
        <v/>
      </c>
      <c r="Z744" s="315" t="str">
        <f t="shared" ca="1" si="342"/>
        <v/>
      </c>
      <c r="AA744" s="316" t="str">
        <f t="shared" ca="1" si="343"/>
        <v/>
      </c>
      <c r="AC744" s="310" t="e">
        <f t="shared" ca="1" si="344"/>
        <v>#N/A</v>
      </c>
      <c r="AD744" s="323" t="e">
        <f t="shared" ca="1" si="345"/>
        <v>#N/A</v>
      </c>
      <c r="AE744" s="324" t="e">
        <f t="shared" ca="1" si="324"/>
        <v>#N/A</v>
      </c>
      <c r="AG744" s="306">
        <f t="shared" ca="1" si="346"/>
        <v>2.1200030337179134</v>
      </c>
      <c r="AH744" s="304">
        <f t="shared" ca="1" si="347"/>
        <v>-7.6454322229367095</v>
      </c>
    </row>
    <row r="745" spans="1:34" x14ac:dyDescent="0.2">
      <c r="A745" s="347">
        <f t="shared" ca="1" si="325"/>
        <v>1E-4</v>
      </c>
      <c r="B745" s="304">
        <f t="shared" ca="1" si="326"/>
        <v>36.719400000000896</v>
      </c>
      <c r="D745" s="306">
        <f t="shared" ca="1" si="327"/>
        <v>-0.72791921341668253</v>
      </c>
      <c r="E745" s="307">
        <f t="shared" ca="1" si="328"/>
        <v>-2.1992642371636002</v>
      </c>
      <c r="F745" s="304">
        <f t="shared" ca="1" si="329"/>
        <v>2.3165987063209617</v>
      </c>
      <c r="G745" s="306">
        <f t="shared" ca="1" si="330"/>
        <v>12.443544981610369</v>
      </c>
      <c r="H745" s="307">
        <f t="shared" ca="1" si="331"/>
        <v>-130.10406258165594</v>
      </c>
      <c r="I745" s="304">
        <f t="shared" ca="1" si="332"/>
        <v>130.69777699701248</v>
      </c>
      <c r="J745" s="306">
        <f t="shared" ca="1" si="333"/>
        <v>889.84792314375909</v>
      </c>
      <c r="K745" s="307">
        <f t="shared" ca="1" si="334"/>
        <v>-9.4430877781781231</v>
      </c>
      <c r="L745" s="304">
        <f t="shared" ca="1" si="319"/>
        <v>889.89802687164547</v>
      </c>
      <c r="M745" s="306">
        <f t="shared" ca="1" si="335"/>
        <v>-1.4754433544609202</v>
      </c>
      <c r="N745" s="304">
        <f t="shared" ca="1" si="336"/>
        <v>-84.536677121235456</v>
      </c>
      <c r="P745" s="310">
        <f t="shared" ca="1" si="337"/>
        <v>23</v>
      </c>
      <c r="Q745" s="304">
        <f t="shared" ca="1" si="338"/>
        <v>0</v>
      </c>
      <c r="R745" s="306">
        <f t="shared" ca="1" si="339"/>
        <v>0</v>
      </c>
      <c r="S745" s="307">
        <f t="shared" ca="1" si="340"/>
        <v>7.150000000000003</v>
      </c>
      <c r="T745" s="304">
        <f t="shared" ca="1" si="320"/>
        <v>70.141500000000036</v>
      </c>
      <c r="U745" s="311">
        <f t="shared" ca="1" si="321"/>
        <v>0</v>
      </c>
      <c r="V745" s="306">
        <f t="shared" ca="1" si="322"/>
        <v>1.226157324688758</v>
      </c>
      <c r="W745" s="304">
        <f t="shared" ca="1" si="323"/>
        <v>54.665337315903969</v>
      </c>
      <c r="Y745" s="314" t="str">
        <f t="shared" ca="1" si="341"/>
        <v/>
      </c>
      <c r="Z745" s="315" t="str">
        <f t="shared" ca="1" si="342"/>
        <v/>
      </c>
      <c r="AA745" s="316" t="str">
        <f t="shared" ca="1" si="343"/>
        <v/>
      </c>
      <c r="AC745" s="310" t="e">
        <f t="shared" ca="1" si="344"/>
        <v>#N/A</v>
      </c>
      <c r="AD745" s="323" t="e">
        <f t="shared" ca="1" si="345"/>
        <v>#N/A</v>
      </c>
      <c r="AE745" s="324" t="e">
        <f t="shared" ca="1" si="324"/>
        <v>#N/A</v>
      </c>
      <c r="AG745" s="306">
        <f t="shared" ca="1" si="346"/>
        <v>2.1199689512751636</v>
      </c>
      <c r="AH745" s="304">
        <f t="shared" ca="1" si="347"/>
        <v>-7.6454669728524838</v>
      </c>
    </row>
    <row r="746" spans="1:34" x14ac:dyDescent="0.2">
      <c r="A746" s="347">
        <f t="shared" ca="1" si="325"/>
        <v>1E-4</v>
      </c>
      <c r="B746" s="304">
        <f t="shared" ca="1" si="326"/>
        <v>36.719500000000899</v>
      </c>
      <c r="D746" s="306">
        <f t="shared" ca="1" si="327"/>
        <v>-0.7279170830360282</v>
      </c>
      <c r="E746" s="307">
        <f t="shared" ca="1" si="328"/>
        <v>-2.1992291251781415</v>
      </c>
      <c r="F746" s="304">
        <f t="shared" ca="1" si="329"/>
        <v>2.3165647033500907</v>
      </c>
      <c r="G746" s="306">
        <f t="shared" ca="1" si="330"/>
        <v>12.443472189902065</v>
      </c>
      <c r="H746" s="307">
        <f t="shared" ca="1" si="331"/>
        <v>-130.10428250456846</v>
      </c>
      <c r="I746" s="304">
        <f t="shared" ca="1" si="332"/>
        <v>130.69798899053276</v>
      </c>
      <c r="J746" s="306">
        <f t="shared" ca="1" si="333"/>
        <v>889.84792314375909</v>
      </c>
      <c r="K746" s="307">
        <f t="shared" ca="1" si="334"/>
        <v>-9.4560981954324337</v>
      </c>
      <c r="L746" s="304">
        <f t="shared" ca="1" si="319"/>
        <v>889.89816502583199</v>
      </c>
      <c r="M746" s="306">
        <f t="shared" ca="1" si="335"/>
        <v>-1.4754440690823298</v>
      </c>
      <c r="N746" s="304">
        <f t="shared" ca="1" si="336"/>
        <v>-84.536718066026168</v>
      </c>
      <c r="P746" s="310">
        <f t="shared" ca="1" si="337"/>
        <v>23</v>
      </c>
      <c r="Q746" s="304">
        <f t="shared" ca="1" si="338"/>
        <v>0</v>
      </c>
      <c r="R746" s="306">
        <f t="shared" ca="1" si="339"/>
        <v>0</v>
      </c>
      <c r="S746" s="307">
        <f t="shared" ca="1" si="340"/>
        <v>7.150000000000003</v>
      </c>
      <c r="T746" s="304">
        <f t="shared" ca="1" si="320"/>
        <v>70.141500000000036</v>
      </c>
      <c r="U746" s="311">
        <f t="shared" ca="1" si="321"/>
        <v>0</v>
      </c>
      <c r="V746" s="306">
        <f t="shared" ca="1" si="322"/>
        <v>1.2261589199719931</v>
      </c>
      <c r="W746" s="304">
        <f t="shared" ca="1" si="323"/>
        <v>54.665585774023484</v>
      </c>
      <c r="Y746" s="314" t="str">
        <f t="shared" ca="1" si="341"/>
        <v/>
      </c>
      <c r="Z746" s="315" t="str">
        <f t="shared" ca="1" si="342"/>
        <v/>
      </c>
      <c r="AA746" s="316" t="str">
        <f t="shared" ca="1" si="343"/>
        <v/>
      </c>
      <c r="AC746" s="310" t="e">
        <f t="shared" ca="1" si="344"/>
        <v>#N/A</v>
      </c>
      <c r="AD746" s="323" t="e">
        <f t="shared" ca="1" si="345"/>
        <v>#N/A</v>
      </c>
      <c r="AE746" s="324" t="e">
        <f t="shared" ca="1" si="324"/>
        <v>#N/A</v>
      </c>
      <c r="AG746" s="306">
        <f t="shared" ca="1" si="346"/>
        <v>2.1199348690855642</v>
      </c>
      <c r="AH746" s="304">
        <f t="shared" ca="1" si="347"/>
        <v>-7.645501722504048</v>
      </c>
    </row>
    <row r="747" spans="1:34" x14ac:dyDescent="0.2">
      <c r="A747" s="347">
        <f t="shared" ca="1" si="325"/>
        <v>1E-4</v>
      </c>
      <c r="B747" s="304">
        <f t="shared" ca="1" si="326"/>
        <v>36.719600000000902</v>
      </c>
      <c r="D747" s="306">
        <f t="shared" ca="1" si="327"/>
        <v>-0.72791495262986716</v>
      </c>
      <c r="E747" s="307">
        <f t="shared" ca="1" si="328"/>
        <v>-2.1991940134595902</v>
      </c>
      <c r="F747" s="304">
        <f t="shared" ca="1" si="329"/>
        <v>2.3165307006596398</v>
      </c>
      <c r="G747" s="306">
        <f t="shared" ca="1" si="330"/>
        <v>12.443399398406802</v>
      </c>
      <c r="H747" s="307">
        <f t="shared" ca="1" si="331"/>
        <v>-130.10450242396982</v>
      </c>
      <c r="I747" s="304">
        <f t="shared" ca="1" si="332"/>
        <v>130.69820098064486</v>
      </c>
      <c r="J747" s="306">
        <f t="shared" ca="1" si="333"/>
        <v>889.84792314375909</v>
      </c>
      <c r="K747" s="307">
        <f t="shared" ca="1" si="334"/>
        <v>-9.4691086346788609</v>
      </c>
      <c r="L747" s="304">
        <f t="shared" ca="1" si="319"/>
        <v>889.89830337044509</v>
      </c>
      <c r="M747" s="306">
        <f t="shared" ca="1" si="335"/>
        <v>-1.4754447836972411</v>
      </c>
      <c r="N747" s="304">
        <f t="shared" ca="1" si="336"/>
        <v>-84.53675901044457</v>
      </c>
      <c r="P747" s="310">
        <f t="shared" ca="1" si="337"/>
        <v>23</v>
      </c>
      <c r="Q747" s="304">
        <f t="shared" ca="1" si="338"/>
        <v>0</v>
      </c>
      <c r="R747" s="306">
        <f t="shared" ca="1" si="339"/>
        <v>0</v>
      </c>
      <c r="S747" s="307">
        <f t="shared" ca="1" si="340"/>
        <v>7.150000000000003</v>
      </c>
      <c r="T747" s="304">
        <f t="shared" ca="1" si="320"/>
        <v>70.141500000000036</v>
      </c>
      <c r="U747" s="311">
        <f t="shared" ca="1" si="321"/>
        <v>0</v>
      </c>
      <c r="V747" s="306">
        <f t="shared" ca="1" si="322"/>
        <v>1.2261605152600017</v>
      </c>
      <c r="W747" s="304">
        <f t="shared" ca="1" si="323"/>
        <v>54.665834230253907</v>
      </c>
      <c r="Y747" s="314" t="str">
        <f t="shared" ca="1" si="341"/>
        <v/>
      </c>
      <c r="Z747" s="315" t="str">
        <f t="shared" ca="1" si="342"/>
        <v/>
      </c>
      <c r="AA747" s="316" t="str">
        <f t="shared" ca="1" si="343"/>
        <v/>
      </c>
      <c r="AC747" s="310" t="e">
        <f t="shared" ca="1" si="344"/>
        <v>#N/A</v>
      </c>
      <c r="AD747" s="323" t="e">
        <f t="shared" ca="1" si="345"/>
        <v>#N/A</v>
      </c>
      <c r="AE747" s="324" t="e">
        <f t="shared" ca="1" si="324"/>
        <v>#N/A</v>
      </c>
      <c r="AG747" s="306">
        <f t="shared" ca="1" si="346"/>
        <v>2.1199007871491293</v>
      </c>
      <c r="AH747" s="304">
        <f t="shared" ca="1" si="347"/>
        <v>-7.6455364718913934</v>
      </c>
    </row>
    <row r="748" spans="1:34" x14ac:dyDescent="0.2">
      <c r="A748" s="347">
        <f t="shared" ca="1" si="325"/>
        <v>1E-4</v>
      </c>
      <c r="B748" s="304">
        <f t="shared" ca="1" si="326"/>
        <v>36.719700000000906</v>
      </c>
      <c r="D748" s="306">
        <f t="shared" ca="1" si="327"/>
        <v>-0.72791282219819786</v>
      </c>
      <c r="E748" s="307">
        <f t="shared" ca="1" si="328"/>
        <v>-2.1991589020079365</v>
      </c>
      <c r="F748" s="304">
        <f t="shared" ca="1" si="329"/>
        <v>2.3164966982495998</v>
      </c>
      <c r="G748" s="306">
        <f t="shared" ca="1" si="330"/>
        <v>12.443326607124582</v>
      </c>
      <c r="H748" s="307">
        <f t="shared" ca="1" si="331"/>
        <v>-130.10472233986002</v>
      </c>
      <c r="I748" s="304">
        <f t="shared" ca="1" si="332"/>
        <v>130.69841296734879</v>
      </c>
      <c r="J748" s="306">
        <f t="shared" ca="1" si="333"/>
        <v>889.84792314375909</v>
      </c>
      <c r="K748" s="307">
        <f t="shared" ca="1" si="334"/>
        <v>-9.4821190959170529</v>
      </c>
      <c r="L748" s="304">
        <f t="shared" ca="1" si="319"/>
        <v>889.89844190548536</v>
      </c>
      <c r="M748" s="306">
        <f t="shared" ca="1" si="335"/>
        <v>-1.4754454983056537</v>
      </c>
      <c r="N748" s="304">
        <f t="shared" ca="1" si="336"/>
        <v>-84.536799954490618</v>
      </c>
      <c r="P748" s="310">
        <f t="shared" ca="1" si="337"/>
        <v>23</v>
      </c>
      <c r="Q748" s="304">
        <f t="shared" ca="1" si="338"/>
        <v>0</v>
      </c>
      <c r="R748" s="306">
        <f t="shared" ca="1" si="339"/>
        <v>0</v>
      </c>
      <c r="S748" s="307">
        <f t="shared" ca="1" si="340"/>
        <v>7.150000000000003</v>
      </c>
      <c r="T748" s="304">
        <f t="shared" ca="1" si="320"/>
        <v>70.141500000000036</v>
      </c>
      <c r="U748" s="311">
        <f t="shared" ca="1" si="321"/>
        <v>0</v>
      </c>
      <c r="V748" s="306">
        <f t="shared" ca="1" si="322"/>
        <v>1.2261621105527829</v>
      </c>
      <c r="W748" s="304">
        <f t="shared" ca="1" si="323"/>
        <v>54.666082684595168</v>
      </c>
      <c r="Y748" s="314" t="str">
        <f t="shared" ca="1" si="341"/>
        <v/>
      </c>
      <c r="Z748" s="315" t="str">
        <f t="shared" ca="1" si="342"/>
        <v/>
      </c>
      <c r="AA748" s="316" t="str">
        <f t="shared" ca="1" si="343"/>
        <v/>
      </c>
      <c r="AC748" s="310" t="e">
        <f t="shared" ca="1" si="344"/>
        <v>#N/A</v>
      </c>
      <c r="AD748" s="323" t="e">
        <f t="shared" ca="1" si="345"/>
        <v>#N/A</v>
      </c>
      <c r="AE748" s="324" t="e">
        <f t="shared" ca="1" si="324"/>
        <v>#N/A</v>
      </c>
      <c r="AG748" s="306">
        <f t="shared" ca="1" si="346"/>
        <v>2.1198667054658467</v>
      </c>
      <c r="AH748" s="304">
        <f t="shared" ca="1" si="347"/>
        <v>-7.6455712210145288</v>
      </c>
    </row>
    <row r="749" spans="1:34" x14ac:dyDescent="0.2">
      <c r="A749" s="347">
        <f t="shared" ca="1" si="325"/>
        <v>1E-4</v>
      </c>
      <c r="B749" s="304">
        <f t="shared" ca="1" si="326"/>
        <v>36.719800000000909</v>
      </c>
      <c r="D749" s="306">
        <f t="shared" ca="1" si="327"/>
        <v>-0.72791069174102274</v>
      </c>
      <c r="E749" s="307">
        <f t="shared" ca="1" si="328"/>
        <v>-2.1991237908231884</v>
      </c>
      <c r="F749" s="304">
        <f t="shared" ca="1" si="329"/>
        <v>2.3164626961199795</v>
      </c>
      <c r="G749" s="306">
        <f t="shared" ca="1" si="330"/>
        <v>12.443253816055408</v>
      </c>
      <c r="H749" s="307">
        <f t="shared" ca="1" si="331"/>
        <v>-130.10494225223911</v>
      </c>
      <c r="I749" s="304">
        <f t="shared" ca="1" si="332"/>
        <v>130.69862495064459</v>
      </c>
      <c r="J749" s="306">
        <f t="shared" ca="1" si="333"/>
        <v>889.84792314375909</v>
      </c>
      <c r="K749" s="307">
        <f t="shared" ca="1" si="334"/>
        <v>-9.4951295791466581</v>
      </c>
      <c r="L749" s="304">
        <f t="shared" ca="1" si="319"/>
        <v>889.8985806309538</v>
      </c>
      <c r="M749" s="306">
        <f t="shared" ca="1" si="335"/>
        <v>-1.4754462129075678</v>
      </c>
      <c r="N749" s="304">
        <f t="shared" ca="1" si="336"/>
        <v>-84.536840898164328</v>
      </c>
      <c r="P749" s="310">
        <f t="shared" ca="1" si="337"/>
        <v>23</v>
      </c>
      <c r="Q749" s="304">
        <f t="shared" ca="1" si="338"/>
        <v>0</v>
      </c>
      <c r="R749" s="306">
        <f t="shared" ca="1" si="339"/>
        <v>0</v>
      </c>
      <c r="S749" s="307">
        <f t="shared" ca="1" si="340"/>
        <v>7.150000000000003</v>
      </c>
      <c r="T749" s="304">
        <f t="shared" ca="1" si="320"/>
        <v>70.141500000000036</v>
      </c>
      <c r="U749" s="311">
        <f t="shared" ca="1" si="321"/>
        <v>0</v>
      </c>
      <c r="V749" s="306">
        <f t="shared" ca="1" si="322"/>
        <v>1.2261637058503376</v>
      </c>
      <c r="W749" s="304">
        <f t="shared" ca="1" si="323"/>
        <v>54.666331137047308</v>
      </c>
      <c r="Y749" s="314" t="str">
        <f t="shared" ca="1" si="341"/>
        <v/>
      </c>
      <c r="Z749" s="315" t="str">
        <f t="shared" ca="1" si="342"/>
        <v/>
      </c>
      <c r="AA749" s="316" t="str">
        <f t="shared" ca="1" si="343"/>
        <v/>
      </c>
      <c r="AC749" s="310" t="e">
        <f t="shared" ca="1" si="344"/>
        <v>#N/A</v>
      </c>
      <c r="AD749" s="323" t="e">
        <f t="shared" ca="1" si="345"/>
        <v>#N/A</v>
      </c>
      <c r="AE749" s="324" t="e">
        <f t="shared" ca="1" si="324"/>
        <v>#N/A</v>
      </c>
      <c r="AG749" s="306">
        <f t="shared" ca="1" si="346"/>
        <v>2.119832624035725</v>
      </c>
      <c r="AH749" s="304">
        <f t="shared" ca="1" si="347"/>
        <v>-7.6456059698734471</v>
      </c>
    </row>
    <row r="750" spans="1:34" x14ac:dyDescent="0.2">
      <c r="A750" s="347">
        <f t="shared" ca="1" si="325"/>
        <v>1E-4</v>
      </c>
      <c r="B750" s="304">
        <f t="shared" ca="1" si="326"/>
        <v>36.719900000000912</v>
      </c>
      <c r="D750" s="306">
        <f t="shared" ca="1" si="327"/>
        <v>-0.72790856125834336</v>
      </c>
      <c r="E750" s="307">
        <f t="shared" ca="1" si="328"/>
        <v>-2.1990886799053424</v>
      </c>
      <c r="F750" s="304">
        <f t="shared" ca="1" si="329"/>
        <v>2.3164286942707761</v>
      </c>
      <c r="G750" s="306">
        <f t="shared" ca="1" si="330"/>
        <v>12.443181025199282</v>
      </c>
      <c r="H750" s="307">
        <f t="shared" ca="1" si="331"/>
        <v>-130.1051621611071</v>
      </c>
      <c r="I750" s="304">
        <f t="shared" ca="1" si="332"/>
        <v>130.69883693053222</v>
      </c>
      <c r="J750" s="306">
        <f t="shared" ca="1" si="333"/>
        <v>889.84792314375909</v>
      </c>
      <c r="K750" s="307">
        <f t="shared" ca="1" si="334"/>
        <v>-9.5081400843673247</v>
      </c>
      <c r="L750" s="304">
        <f t="shared" ca="1" si="319"/>
        <v>889.89871954685123</v>
      </c>
      <c r="M750" s="306">
        <f t="shared" ca="1" si="335"/>
        <v>-1.4754469275029838</v>
      </c>
      <c r="N750" s="304">
        <f t="shared" ca="1" si="336"/>
        <v>-84.536881841465714</v>
      </c>
      <c r="P750" s="310">
        <f t="shared" ca="1" si="337"/>
        <v>23</v>
      </c>
      <c r="Q750" s="304">
        <f t="shared" ca="1" si="338"/>
        <v>0</v>
      </c>
      <c r="R750" s="306">
        <f t="shared" ca="1" si="339"/>
        <v>0</v>
      </c>
      <c r="S750" s="307">
        <f t="shared" ca="1" si="340"/>
        <v>7.150000000000003</v>
      </c>
      <c r="T750" s="304">
        <f t="shared" ca="1" si="320"/>
        <v>70.141500000000036</v>
      </c>
      <c r="U750" s="311">
        <f t="shared" ca="1" si="321"/>
        <v>0</v>
      </c>
      <c r="V750" s="306">
        <f t="shared" ca="1" si="322"/>
        <v>1.226165301152665</v>
      </c>
      <c r="W750" s="304">
        <f t="shared" ca="1" si="323"/>
        <v>54.666579587610251</v>
      </c>
      <c r="Y750" s="314" t="str">
        <f t="shared" ca="1" si="341"/>
        <v/>
      </c>
      <c r="Z750" s="315" t="str">
        <f t="shared" ca="1" si="342"/>
        <v/>
      </c>
      <c r="AA750" s="316" t="str">
        <f t="shared" ca="1" si="343"/>
        <v/>
      </c>
      <c r="AC750" s="310" t="e">
        <f t="shared" ca="1" si="344"/>
        <v>#N/A</v>
      </c>
      <c r="AD750" s="323" t="e">
        <f t="shared" ca="1" si="345"/>
        <v>#N/A</v>
      </c>
      <c r="AE750" s="324" t="e">
        <f t="shared" ca="1" si="324"/>
        <v>#N/A</v>
      </c>
      <c r="AG750" s="306">
        <f t="shared" ca="1" si="346"/>
        <v>2.1197985428587609</v>
      </c>
      <c r="AH750" s="304">
        <f t="shared" ca="1" si="347"/>
        <v>-7.6456407184681519</v>
      </c>
    </row>
    <row r="751" spans="1:34" x14ac:dyDescent="0.2">
      <c r="A751" s="347">
        <f t="shared" ca="1" si="325"/>
        <v>1E-4</v>
      </c>
      <c r="B751" s="304">
        <f t="shared" ca="1" si="326"/>
        <v>36.720000000000915</v>
      </c>
      <c r="D751" s="306">
        <f t="shared" ca="1" si="327"/>
        <v>-0.7279064307501566</v>
      </c>
      <c r="E751" s="307">
        <f t="shared" ca="1" si="328"/>
        <v>-2.1990535692544082</v>
      </c>
      <c r="F751" s="304">
        <f t="shared" ca="1" si="329"/>
        <v>2.3163946927019983</v>
      </c>
      <c r="G751" s="306">
        <f t="shared" ca="1" si="330"/>
        <v>12.443108234556206</v>
      </c>
      <c r="H751" s="307">
        <f t="shared" ca="1" si="331"/>
        <v>-130.10538206646402</v>
      </c>
      <c r="I751" s="304">
        <f t="shared" ca="1" si="332"/>
        <v>130.69904890701179</v>
      </c>
      <c r="J751" s="306">
        <f t="shared" ca="1" si="333"/>
        <v>889.84792314375909</v>
      </c>
      <c r="K751" s="307">
        <f t="shared" ca="1" si="334"/>
        <v>-9.5211506115787028</v>
      </c>
      <c r="L751" s="304">
        <f t="shared" ca="1" si="319"/>
        <v>889.89885865317842</v>
      </c>
      <c r="M751" s="306">
        <f t="shared" ca="1" si="335"/>
        <v>-1.4754476420919016</v>
      </c>
      <c r="N751" s="304">
        <f t="shared" ca="1" si="336"/>
        <v>-84.53692278439479</v>
      </c>
      <c r="P751" s="310">
        <f t="shared" ca="1" si="337"/>
        <v>23</v>
      </c>
      <c r="Q751" s="304">
        <f t="shared" ca="1" si="338"/>
        <v>0</v>
      </c>
      <c r="R751" s="306">
        <f t="shared" ca="1" si="339"/>
        <v>0</v>
      </c>
      <c r="S751" s="307">
        <f t="shared" ca="1" si="340"/>
        <v>7.150000000000003</v>
      </c>
      <c r="T751" s="304">
        <f t="shared" ca="1" si="320"/>
        <v>70.141500000000036</v>
      </c>
      <c r="U751" s="311">
        <f t="shared" ca="1" si="321"/>
        <v>0</v>
      </c>
      <c r="V751" s="306">
        <f t="shared" ca="1" si="322"/>
        <v>1.2261668964597654</v>
      </c>
      <c r="W751" s="304">
        <f t="shared" ca="1" si="323"/>
        <v>54.666828036284095</v>
      </c>
      <c r="Y751" s="314" t="str">
        <f t="shared" ca="1" si="341"/>
        <v/>
      </c>
      <c r="Z751" s="315" t="str">
        <f t="shared" ca="1" si="342"/>
        <v/>
      </c>
      <c r="AA751" s="316" t="str">
        <f t="shared" ca="1" si="343"/>
        <v/>
      </c>
      <c r="AC751" s="310" t="e">
        <f t="shared" ca="1" si="344"/>
        <v>#N/A</v>
      </c>
      <c r="AD751" s="323" t="e">
        <f t="shared" ca="1" si="345"/>
        <v>#N/A</v>
      </c>
      <c r="AE751" s="324" t="e">
        <f t="shared" ca="1" si="324"/>
        <v>#N/A</v>
      </c>
      <c r="AG751" s="306">
        <f t="shared" ca="1" si="346"/>
        <v>2.1197644619349658</v>
      </c>
      <c r="AH751" s="304">
        <f t="shared" ca="1" si="347"/>
        <v>-7.6456754667986333</v>
      </c>
    </row>
    <row r="752" spans="1:34" x14ac:dyDescent="0.2">
      <c r="A752" s="347">
        <f t="shared" ca="1" si="325"/>
        <v>1E-4</v>
      </c>
      <c r="B752" s="304">
        <f t="shared" ca="1" si="326"/>
        <v>36.720100000000919</v>
      </c>
      <c r="D752" s="306">
        <f t="shared" ca="1" si="327"/>
        <v>-0.72790430021646491</v>
      </c>
      <c r="E752" s="307">
        <f t="shared" ca="1" si="328"/>
        <v>-2.1990184588703734</v>
      </c>
      <c r="F752" s="304">
        <f t="shared" ca="1" si="329"/>
        <v>2.3163606914136352</v>
      </c>
      <c r="G752" s="306">
        <f t="shared" ca="1" si="330"/>
        <v>12.443035444126185</v>
      </c>
      <c r="H752" s="307">
        <f t="shared" ca="1" si="331"/>
        <v>-130.10560196830991</v>
      </c>
      <c r="I752" s="304">
        <f t="shared" ca="1" si="332"/>
        <v>130.69926088008327</v>
      </c>
      <c r="J752" s="306">
        <f t="shared" ca="1" si="333"/>
        <v>889.84792314375909</v>
      </c>
      <c r="K752" s="307">
        <f t="shared" ca="1" si="334"/>
        <v>-9.5341611607804406</v>
      </c>
      <c r="L752" s="304">
        <f t="shared" ca="1" si="319"/>
        <v>889.89899794993653</v>
      </c>
      <c r="M752" s="306">
        <f t="shared" ca="1" si="335"/>
        <v>-1.4754483566743211</v>
      </c>
      <c r="N752" s="304">
        <f t="shared" ca="1" si="336"/>
        <v>-84.536963726951541</v>
      </c>
      <c r="P752" s="310">
        <f t="shared" ca="1" si="337"/>
        <v>23</v>
      </c>
      <c r="Q752" s="304">
        <f t="shared" ca="1" si="338"/>
        <v>0</v>
      </c>
      <c r="R752" s="306">
        <f t="shared" ca="1" si="339"/>
        <v>0</v>
      </c>
      <c r="S752" s="307">
        <f t="shared" ca="1" si="340"/>
        <v>7.150000000000003</v>
      </c>
      <c r="T752" s="304">
        <f t="shared" ca="1" si="320"/>
        <v>70.141500000000036</v>
      </c>
      <c r="U752" s="311">
        <f t="shared" ca="1" si="321"/>
        <v>0</v>
      </c>
      <c r="V752" s="306">
        <f t="shared" ca="1" si="322"/>
        <v>1.2261684917716389</v>
      </c>
      <c r="W752" s="304">
        <f t="shared" ca="1" si="323"/>
        <v>54.667076483068747</v>
      </c>
      <c r="Y752" s="314" t="str">
        <f t="shared" ca="1" si="341"/>
        <v/>
      </c>
      <c r="Z752" s="315" t="str">
        <f t="shared" ca="1" si="342"/>
        <v/>
      </c>
      <c r="AA752" s="316" t="str">
        <f t="shared" ca="1" si="343"/>
        <v/>
      </c>
      <c r="AC752" s="310" t="e">
        <f t="shared" ca="1" si="344"/>
        <v>#N/A</v>
      </c>
      <c r="AD752" s="323" t="e">
        <f t="shared" ca="1" si="345"/>
        <v>#N/A</v>
      </c>
      <c r="AE752" s="324" t="e">
        <f t="shared" ca="1" si="324"/>
        <v>#N/A</v>
      </c>
      <c r="AG752" s="306">
        <f t="shared" ca="1" si="346"/>
        <v>2.1197303812643211</v>
      </c>
      <c r="AH752" s="304">
        <f t="shared" ca="1" si="347"/>
        <v>-7.6457102148649048</v>
      </c>
    </row>
    <row r="753" spans="1:34" x14ac:dyDescent="0.2">
      <c r="A753" s="347">
        <f t="shared" ca="1" si="325"/>
        <v>1E-4</v>
      </c>
      <c r="B753" s="304">
        <f t="shared" ca="1" si="326"/>
        <v>36.720200000000922</v>
      </c>
      <c r="D753" s="306">
        <f t="shared" ca="1" si="327"/>
        <v>-0.72790216965727028</v>
      </c>
      <c r="E753" s="307">
        <f t="shared" ca="1" si="328"/>
        <v>-2.1989833487532469</v>
      </c>
      <c r="F753" s="304">
        <f t="shared" ca="1" si="329"/>
        <v>2.3163266904056958</v>
      </c>
      <c r="G753" s="306">
        <f t="shared" ca="1" si="330"/>
        <v>12.44296265390922</v>
      </c>
      <c r="H753" s="307">
        <f t="shared" ca="1" si="331"/>
        <v>-130.10582186664479</v>
      </c>
      <c r="I753" s="304">
        <f t="shared" ca="1" si="332"/>
        <v>130.69947284974674</v>
      </c>
      <c r="J753" s="306">
        <f t="shared" ca="1" si="333"/>
        <v>889.84792314375909</v>
      </c>
      <c r="K753" s="307">
        <f t="shared" ca="1" si="334"/>
        <v>-9.5471717319721883</v>
      </c>
      <c r="L753" s="304">
        <f t="shared" ca="1" si="319"/>
        <v>889.89913743712611</v>
      </c>
      <c r="M753" s="306">
        <f t="shared" ca="1" si="335"/>
        <v>-1.4754490712502426</v>
      </c>
      <c r="N753" s="304">
        <f t="shared" ca="1" si="336"/>
        <v>-84.537004669135996</v>
      </c>
      <c r="P753" s="310">
        <f t="shared" ca="1" si="337"/>
        <v>23</v>
      </c>
      <c r="Q753" s="304">
        <f t="shared" ca="1" si="338"/>
        <v>0</v>
      </c>
      <c r="R753" s="306">
        <f t="shared" ca="1" si="339"/>
        <v>0</v>
      </c>
      <c r="S753" s="307">
        <f t="shared" ca="1" si="340"/>
        <v>7.150000000000003</v>
      </c>
      <c r="T753" s="304">
        <f t="shared" ca="1" si="320"/>
        <v>70.141500000000036</v>
      </c>
      <c r="U753" s="311">
        <f t="shared" ca="1" si="321"/>
        <v>0</v>
      </c>
      <c r="V753" s="306">
        <f t="shared" ca="1" si="322"/>
        <v>1.226170087088285</v>
      </c>
      <c r="W753" s="304">
        <f t="shared" ca="1" si="323"/>
        <v>54.66732492796428</v>
      </c>
      <c r="Y753" s="314" t="str">
        <f t="shared" ca="1" si="341"/>
        <v/>
      </c>
      <c r="Z753" s="315" t="str">
        <f t="shared" ca="1" si="342"/>
        <v/>
      </c>
      <c r="AA753" s="316" t="str">
        <f t="shared" ca="1" si="343"/>
        <v/>
      </c>
      <c r="AC753" s="310" t="e">
        <f t="shared" ca="1" si="344"/>
        <v>#N/A</v>
      </c>
      <c r="AD753" s="323" t="e">
        <f t="shared" ca="1" si="345"/>
        <v>#N/A</v>
      </c>
      <c r="AE753" s="324" t="e">
        <f t="shared" ca="1" si="324"/>
        <v>#N/A</v>
      </c>
      <c r="AG753" s="306">
        <f t="shared" ca="1" si="346"/>
        <v>2.1196963008468472</v>
      </c>
      <c r="AH753" s="304">
        <f t="shared" ca="1" si="347"/>
        <v>-7.6457449626669547</v>
      </c>
    </row>
    <row r="754" spans="1:34" x14ac:dyDescent="0.2">
      <c r="A754" s="347">
        <f t="shared" ca="1" si="325"/>
        <v>1E-4</v>
      </c>
      <c r="B754" s="304">
        <f t="shared" ca="1" si="326"/>
        <v>36.720300000000925</v>
      </c>
      <c r="D754" s="306">
        <f t="shared" ca="1" si="327"/>
        <v>-0.72790003907257117</v>
      </c>
      <c r="E754" s="307">
        <f t="shared" ca="1" si="328"/>
        <v>-2.1989482389030224</v>
      </c>
      <c r="F754" s="304">
        <f t="shared" ca="1" si="329"/>
        <v>2.3162926896781748</v>
      </c>
      <c r="G754" s="306">
        <f t="shared" ca="1" si="330"/>
        <v>12.442889863905313</v>
      </c>
      <c r="H754" s="307">
        <f t="shared" ca="1" si="331"/>
        <v>-130.10604176146867</v>
      </c>
      <c r="I754" s="304">
        <f t="shared" ca="1" si="332"/>
        <v>130.69968481600216</v>
      </c>
      <c r="J754" s="306">
        <f t="shared" ca="1" si="333"/>
        <v>889.84792314375909</v>
      </c>
      <c r="K754" s="307">
        <f t="shared" ca="1" si="334"/>
        <v>-9.560182325153594</v>
      </c>
      <c r="L754" s="304">
        <f t="shared" ca="1" si="319"/>
        <v>889.89927711474832</v>
      </c>
      <c r="M754" s="306">
        <f t="shared" ca="1" si="335"/>
        <v>-1.4754497858196662</v>
      </c>
      <c r="N754" s="304">
        <f t="shared" ca="1" si="336"/>
        <v>-84.537045610948141</v>
      </c>
      <c r="P754" s="310">
        <f t="shared" ca="1" si="337"/>
        <v>23</v>
      </c>
      <c r="Q754" s="304">
        <f t="shared" ca="1" si="338"/>
        <v>0</v>
      </c>
      <c r="R754" s="306">
        <f t="shared" ca="1" si="339"/>
        <v>0</v>
      </c>
      <c r="S754" s="307">
        <f t="shared" ca="1" si="340"/>
        <v>7.150000000000003</v>
      </c>
      <c r="T754" s="304">
        <f t="shared" ca="1" si="320"/>
        <v>70.141500000000036</v>
      </c>
      <c r="U754" s="311">
        <f t="shared" ca="1" si="321"/>
        <v>0</v>
      </c>
      <c r="V754" s="306">
        <f t="shared" ca="1" si="322"/>
        <v>1.2261716824097044</v>
      </c>
      <c r="W754" s="304">
        <f t="shared" ca="1" si="323"/>
        <v>54.667573370970658</v>
      </c>
      <c r="Y754" s="314" t="str">
        <f t="shared" ca="1" si="341"/>
        <v/>
      </c>
      <c r="Z754" s="315" t="str">
        <f t="shared" ca="1" si="342"/>
        <v/>
      </c>
      <c r="AA754" s="316" t="str">
        <f t="shared" ca="1" si="343"/>
        <v/>
      </c>
      <c r="AC754" s="310" t="e">
        <f t="shared" ca="1" si="344"/>
        <v>#N/A</v>
      </c>
      <c r="AD754" s="323" t="e">
        <f t="shared" ca="1" si="345"/>
        <v>#N/A</v>
      </c>
      <c r="AE754" s="324" t="e">
        <f t="shared" ca="1" si="324"/>
        <v>#N/A</v>
      </c>
      <c r="AG754" s="306">
        <f t="shared" ca="1" si="346"/>
        <v>2.1196622206825273</v>
      </c>
      <c r="AH754" s="304">
        <f t="shared" ca="1" si="347"/>
        <v>-7.6457797102047911</v>
      </c>
    </row>
    <row r="755" spans="1:34" x14ac:dyDescent="0.2">
      <c r="A755" s="347">
        <f t="shared" ca="1" si="325"/>
        <v>1E-4</v>
      </c>
      <c r="B755" s="304">
        <f t="shared" ca="1" si="326"/>
        <v>36.720400000000929</v>
      </c>
      <c r="D755" s="306">
        <f t="shared" ca="1" si="327"/>
        <v>-0.72789790846236868</v>
      </c>
      <c r="E755" s="307">
        <f t="shared" ca="1" si="328"/>
        <v>-2.1989131293197044</v>
      </c>
      <c r="F755" s="304">
        <f t="shared" ca="1" si="329"/>
        <v>2.3162586892310766</v>
      </c>
      <c r="G755" s="306">
        <f t="shared" ca="1" si="330"/>
        <v>12.442817074114467</v>
      </c>
      <c r="H755" s="307">
        <f t="shared" ca="1" si="331"/>
        <v>-130.1062616527816</v>
      </c>
      <c r="I755" s="304">
        <f t="shared" ca="1" si="332"/>
        <v>130.69989677884959</v>
      </c>
      <c r="J755" s="306">
        <f t="shared" ca="1" si="333"/>
        <v>889.84792314375909</v>
      </c>
      <c r="K755" s="307">
        <f t="shared" ca="1" si="334"/>
        <v>-9.5731929403243061</v>
      </c>
      <c r="L755" s="304">
        <f t="shared" ca="1" si="319"/>
        <v>889.8994169828037</v>
      </c>
      <c r="M755" s="306">
        <f t="shared" ca="1" si="335"/>
        <v>-1.475450500382592</v>
      </c>
      <c r="N755" s="304">
        <f t="shared" ca="1" si="336"/>
        <v>-84.537086552387976</v>
      </c>
      <c r="P755" s="310">
        <f t="shared" ca="1" si="337"/>
        <v>23</v>
      </c>
      <c r="Q755" s="304">
        <f t="shared" ca="1" si="338"/>
        <v>0</v>
      </c>
      <c r="R755" s="306">
        <f t="shared" ca="1" si="339"/>
        <v>0</v>
      </c>
      <c r="S755" s="307">
        <f t="shared" ca="1" si="340"/>
        <v>7.150000000000003</v>
      </c>
      <c r="T755" s="304">
        <f t="shared" ca="1" si="320"/>
        <v>70.141500000000036</v>
      </c>
      <c r="U755" s="311">
        <f t="shared" ca="1" si="321"/>
        <v>0</v>
      </c>
      <c r="V755" s="306">
        <f t="shared" ca="1" si="322"/>
        <v>1.2261732777358965</v>
      </c>
      <c r="W755" s="304">
        <f t="shared" ca="1" si="323"/>
        <v>54.667821812087858</v>
      </c>
      <c r="Y755" s="314" t="str">
        <f t="shared" ca="1" si="341"/>
        <v/>
      </c>
      <c r="Z755" s="315" t="str">
        <f t="shared" ca="1" si="342"/>
        <v/>
      </c>
      <c r="AA755" s="316" t="str">
        <f t="shared" ca="1" si="343"/>
        <v/>
      </c>
      <c r="AC755" s="310" t="e">
        <f t="shared" ca="1" si="344"/>
        <v>#N/A</v>
      </c>
      <c r="AD755" s="323" t="e">
        <f t="shared" ca="1" si="345"/>
        <v>#N/A</v>
      </c>
      <c r="AE755" s="324" t="e">
        <f t="shared" ca="1" si="324"/>
        <v>#N/A</v>
      </c>
      <c r="AG755" s="306">
        <f t="shared" ca="1" si="346"/>
        <v>2.119628140771372</v>
      </c>
      <c r="AH755" s="304">
        <f t="shared" ca="1" si="347"/>
        <v>-7.6458144574784104</v>
      </c>
    </row>
    <row r="756" spans="1:34" x14ac:dyDescent="0.2">
      <c r="A756" s="347">
        <f t="shared" ca="1" si="325"/>
        <v>1E-4</v>
      </c>
      <c r="B756" s="304">
        <f t="shared" ca="1" si="326"/>
        <v>36.720500000000932</v>
      </c>
      <c r="D756" s="306">
        <f t="shared" ca="1" si="327"/>
        <v>-0.72789577782666359</v>
      </c>
      <c r="E756" s="307">
        <f t="shared" ca="1" si="328"/>
        <v>-2.1988780200032947</v>
      </c>
      <c r="F756" s="304">
        <f t="shared" ca="1" si="329"/>
        <v>2.3162246890644038</v>
      </c>
      <c r="G756" s="306">
        <f t="shared" ca="1" si="330"/>
        <v>12.442744284536685</v>
      </c>
      <c r="H756" s="307">
        <f t="shared" ca="1" si="331"/>
        <v>-130.10648154058359</v>
      </c>
      <c r="I756" s="304">
        <f t="shared" ca="1" si="332"/>
        <v>130.70010873828909</v>
      </c>
      <c r="J756" s="306">
        <f t="shared" ca="1" si="333"/>
        <v>889.84792314375909</v>
      </c>
      <c r="K756" s="307">
        <f t="shared" ca="1" si="334"/>
        <v>-9.5862035774839747</v>
      </c>
      <c r="L756" s="304">
        <f t="shared" ca="1" si="319"/>
        <v>889.89955704129352</v>
      </c>
      <c r="M756" s="306">
        <f t="shared" ca="1" si="335"/>
        <v>-1.4754512149390198</v>
      </c>
      <c r="N756" s="304">
        <f t="shared" ca="1" si="336"/>
        <v>-84.537127493455515</v>
      </c>
      <c r="P756" s="310">
        <f t="shared" ca="1" si="337"/>
        <v>23</v>
      </c>
      <c r="Q756" s="304">
        <f t="shared" ca="1" si="338"/>
        <v>0</v>
      </c>
      <c r="R756" s="306">
        <f t="shared" ca="1" si="339"/>
        <v>0</v>
      </c>
      <c r="S756" s="307">
        <f t="shared" ca="1" si="340"/>
        <v>7.150000000000003</v>
      </c>
      <c r="T756" s="304">
        <f t="shared" ca="1" si="320"/>
        <v>70.141500000000036</v>
      </c>
      <c r="U756" s="311">
        <f t="shared" ca="1" si="321"/>
        <v>0</v>
      </c>
      <c r="V756" s="306">
        <f t="shared" ca="1" si="322"/>
        <v>1.2261748730668618</v>
      </c>
      <c r="W756" s="304">
        <f t="shared" ca="1" si="323"/>
        <v>54.668070251315967</v>
      </c>
      <c r="Y756" s="314" t="str">
        <f t="shared" ca="1" si="341"/>
        <v/>
      </c>
      <c r="Z756" s="315" t="str">
        <f t="shared" ca="1" si="342"/>
        <v/>
      </c>
      <c r="AA756" s="316" t="str">
        <f t="shared" ca="1" si="343"/>
        <v/>
      </c>
      <c r="AC756" s="310" t="e">
        <f t="shared" ca="1" si="344"/>
        <v>#N/A</v>
      </c>
      <c r="AD756" s="323" t="e">
        <f t="shared" ca="1" si="345"/>
        <v>#N/A</v>
      </c>
      <c r="AE756" s="324" t="e">
        <f t="shared" ca="1" si="324"/>
        <v>#N/A</v>
      </c>
      <c r="AG756" s="306">
        <f t="shared" ca="1" si="346"/>
        <v>2.1195940611133794</v>
      </c>
      <c r="AH756" s="304">
        <f t="shared" ca="1" si="347"/>
        <v>-7.645849204487809</v>
      </c>
    </row>
    <row r="757" spans="1:34" x14ac:dyDescent="0.2">
      <c r="A757" s="347">
        <f t="shared" ca="1" si="325"/>
        <v>1E-4</v>
      </c>
      <c r="B757" s="304">
        <f t="shared" ca="1" si="326"/>
        <v>36.720600000000935</v>
      </c>
      <c r="D757" s="306">
        <f t="shared" ca="1" si="327"/>
        <v>-0.72789364716545835</v>
      </c>
      <c r="E757" s="307">
        <f t="shared" ca="1" si="328"/>
        <v>-2.1988429109537817</v>
      </c>
      <c r="F757" s="304">
        <f t="shared" ca="1" si="329"/>
        <v>2.3161906891781459</v>
      </c>
      <c r="G757" s="306">
        <f t="shared" ca="1" si="330"/>
        <v>12.442671495171968</v>
      </c>
      <c r="H757" s="307">
        <f t="shared" ca="1" si="331"/>
        <v>-130.10670142487467</v>
      </c>
      <c r="I757" s="304">
        <f t="shared" ca="1" si="332"/>
        <v>130.7003206943206</v>
      </c>
      <c r="J757" s="306">
        <f t="shared" ca="1" si="333"/>
        <v>889.84792314375909</v>
      </c>
      <c r="K757" s="307">
        <f t="shared" ca="1" si="334"/>
        <v>-9.5992142366322479</v>
      </c>
      <c r="L757" s="304">
        <f t="shared" ca="1" si="319"/>
        <v>889.89969729021823</v>
      </c>
      <c r="M757" s="306">
        <f t="shared" ca="1" si="335"/>
        <v>-1.4754519294889501</v>
      </c>
      <c r="N757" s="304">
        <f t="shared" ca="1" si="336"/>
        <v>-84.537168434150772</v>
      </c>
      <c r="P757" s="310">
        <f t="shared" ca="1" si="337"/>
        <v>23</v>
      </c>
      <c r="Q757" s="304">
        <f t="shared" ca="1" si="338"/>
        <v>0</v>
      </c>
      <c r="R757" s="306">
        <f t="shared" ca="1" si="339"/>
        <v>0</v>
      </c>
      <c r="S757" s="307">
        <f t="shared" ca="1" si="340"/>
        <v>7.150000000000003</v>
      </c>
      <c r="T757" s="304">
        <f t="shared" ca="1" si="320"/>
        <v>70.141500000000036</v>
      </c>
      <c r="U757" s="311">
        <f t="shared" ca="1" si="321"/>
        <v>0</v>
      </c>
      <c r="V757" s="306">
        <f t="shared" ca="1" si="322"/>
        <v>1.2261764684025998</v>
      </c>
      <c r="W757" s="304">
        <f t="shared" ca="1" si="323"/>
        <v>54.668318688654843</v>
      </c>
      <c r="Y757" s="314" t="str">
        <f t="shared" ca="1" si="341"/>
        <v/>
      </c>
      <c r="Z757" s="315" t="str">
        <f t="shared" ca="1" si="342"/>
        <v/>
      </c>
      <c r="AA757" s="316" t="str">
        <f t="shared" ca="1" si="343"/>
        <v/>
      </c>
      <c r="AC757" s="310" t="e">
        <f t="shared" ca="1" si="344"/>
        <v>#N/A</v>
      </c>
      <c r="AD757" s="323" t="e">
        <f t="shared" ca="1" si="345"/>
        <v>#N/A</v>
      </c>
      <c r="AE757" s="324" t="e">
        <f t="shared" ca="1" si="324"/>
        <v>#N/A</v>
      </c>
      <c r="AG757" s="306">
        <f t="shared" ca="1" si="346"/>
        <v>2.1195599817085444</v>
      </c>
      <c r="AH757" s="304">
        <f t="shared" ca="1" si="347"/>
        <v>-7.6458839512329995</v>
      </c>
    </row>
    <row r="758" spans="1:34" x14ac:dyDescent="0.2">
      <c r="A758" s="347">
        <f t="shared" ca="1" si="325"/>
        <v>1E-4</v>
      </c>
      <c r="B758" s="304">
        <f t="shared" ca="1" si="326"/>
        <v>36.720700000000939</v>
      </c>
      <c r="D758" s="306">
        <f t="shared" ca="1" si="327"/>
        <v>-0.72789151647874883</v>
      </c>
      <c r="E758" s="307">
        <f t="shared" ca="1" si="328"/>
        <v>-2.1988078021711868</v>
      </c>
      <c r="F758" s="304">
        <f t="shared" ca="1" si="329"/>
        <v>2.3161566895723218</v>
      </c>
      <c r="G758" s="306">
        <f t="shared" ca="1" si="330"/>
        <v>12.44259870602032</v>
      </c>
      <c r="H758" s="307">
        <f t="shared" ca="1" si="331"/>
        <v>-130.10692130565488</v>
      </c>
      <c r="I758" s="304">
        <f t="shared" ca="1" si="332"/>
        <v>130.70053264694423</v>
      </c>
      <c r="J758" s="306">
        <f t="shared" ca="1" si="333"/>
        <v>889.84792314375909</v>
      </c>
      <c r="K758" s="307">
        <f t="shared" ca="1" si="334"/>
        <v>-9.6122249177687742</v>
      </c>
      <c r="L758" s="304">
        <f t="shared" ca="1" si="319"/>
        <v>889.89983772957908</v>
      </c>
      <c r="M758" s="306">
        <f t="shared" ca="1" si="335"/>
        <v>-1.4754526440323827</v>
      </c>
      <c r="N758" s="304">
        <f t="shared" ca="1" si="336"/>
        <v>-84.537209374473747</v>
      </c>
      <c r="P758" s="310">
        <f t="shared" ca="1" si="337"/>
        <v>23</v>
      </c>
      <c r="Q758" s="304">
        <f t="shared" ca="1" si="338"/>
        <v>0</v>
      </c>
      <c r="R758" s="306">
        <f t="shared" ca="1" si="339"/>
        <v>0</v>
      </c>
      <c r="S758" s="307">
        <f t="shared" ca="1" si="340"/>
        <v>7.150000000000003</v>
      </c>
      <c r="T758" s="304">
        <f t="shared" ca="1" si="320"/>
        <v>70.141500000000036</v>
      </c>
      <c r="U758" s="311">
        <f t="shared" ca="1" si="321"/>
        <v>0</v>
      </c>
      <c r="V758" s="306">
        <f t="shared" ca="1" si="322"/>
        <v>1.2261780637431099</v>
      </c>
      <c r="W758" s="304">
        <f t="shared" ca="1" si="323"/>
        <v>54.668567124104584</v>
      </c>
      <c r="Y758" s="314" t="str">
        <f t="shared" ca="1" si="341"/>
        <v/>
      </c>
      <c r="Z758" s="315" t="str">
        <f t="shared" ca="1" si="342"/>
        <v/>
      </c>
      <c r="AA758" s="316" t="str">
        <f t="shared" ca="1" si="343"/>
        <v/>
      </c>
      <c r="AC758" s="310" t="e">
        <f t="shared" ca="1" si="344"/>
        <v>#N/A</v>
      </c>
      <c r="AD758" s="323" t="e">
        <f t="shared" ca="1" si="345"/>
        <v>#N/A</v>
      </c>
      <c r="AE758" s="324" t="e">
        <f t="shared" ca="1" si="324"/>
        <v>#N/A</v>
      </c>
      <c r="AG758" s="306">
        <f t="shared" ca="1" si="346"/>
        <v>2.1195259025568829</v>
      </c>
      <c r="AH758" s="304">
        <f t="shared" ca="1" si="347"/>
        <v>-7.6459186977139604</v>
      </c>
    </row>
    <row r="759" spans="1:34" x14ac:dyDescent="0.2">
      <c r="A759" s="347">
        <f t="shared" ca="1" si="325"/>
        <v>1E-4</v>
      </c>
      <c r="B759" s="304">
        <f t="shared" ca="1" si="326"/>
        <v>36.720800000000942</v>
      </c>
      <c r="D759" s="306">
        <f t="shared" ca="1" si="327"/>
        <v>-0.72788938576653939</v>
      </c>
      <c r="E759" s="307">
        <f t="shared" ca="1" si="328"/>
        <v>-2.198772693655493</v>
      </c>
      <c r="F759" s="304">
        <f t="shared" ca="1" si="329"/>
        <v>2.3161226902469183</v>
      </c>
      <c r="G759" s="306">
        <f t="shared" ca="1" si="330"/>
        <v>12.442525917081744</v>
      </c>
      <c r="H759" s="307">
        <f t="shared" ca="1" si="331"/>
        <v>-130.10714118292424</v>
      </c>
      <c r="I759" s="304">
        <f t="shared" ca="1" si="332"/>
        <v>130.70074459615995</v>
      </c>
      <c r="J759" s="306">
        <f t="shared" ca="1" si="333"/>
        <v>889.84792314375909</v>
      </c>
      <c r="K759" s="307">
        <f t="shared" ca="1" si="334"/>
        <v>-9.6252356208932035</v>
      </c>
      <c r="L759" s="304">
        <f t="shared" ca="1" si="319"/>
        <v>889.89997835937663</v>
      </c>
      <c r="M759" s="306">
        <f t="shared" ca="1" si="335"/>
        <v>-1.4754533585693177</v>
      </c>
      <c r="N759" s="304">
        <f t="shared" ca="1" si="336"/>
        <v>-84.537250314424426</v>
      </c>
      <c r="P759" s="310">
        <f t="shared" ca="1" si="337"/>
        <v>23</v>
      </c>
      <c r="Q759" s="304">
        <f t="shared" ca="1" si="338"/>
        <v>0</v>
      </c>
      <c r="R759" s="306">
        <f t="shared" ca="1" si="339"/>
        <v>0</v>
      </c>
      <c r="S759" s="307">
        <f t="shared" ca="1" si="340"/>
        <v>7.150000000000003</v>
      </c>
      <c r="T759" s="304">
        <f t="shared" ca="1" si="320"/>
        <v>70.141500000000036</v>
      </c>
      <c r="U759" s="311">
        <f t="shared" ca="1" si="321"/>
        <v>0</v>
      </c>
      <c r="V759" s="306">
        <f t="shared" ca="1" si="322"/>
        <v>1.2261796590883933</v>
      </c>
      <c r="W759" s="304">
        <f t="shared" ca="1" si="323"/>
        <v>54.668815557665162</v>
      </c>
      <c r="Y759" s="314" t="str">
        <f t="shared" ca="1" si="341"/>
        <v/>
      </c>
      <c r="Z759" s="315" t="str">
        <f t="shared" ca="1" si="342"/>
        <v/>
      </c>
      <c r="AA759" s="316" t="str">
        <f t="shared" ca="1" si="343"/>
        <v/>
      </c>
      <c r="AC759" s="310" t="e">
        <f t="shared" ca="1" si="344"/>
        <v>#N/A</v>
      </c>
      <c r="AD759" s="323" t="e">
        <f t="shared" ca="1" si="345"/>
        <v>#N/A</v>
      </c>
      <c r="AE759" s="324" t="e">
        <f t="shared" ca="1" si="324"/>
        <v>#N/A</v>
      </c>
      <c r="AG759" s="306">
        <f t="shared" ca="1" si="346"/>
        <v>2.1194918236583806</v>
      </c>
      <c r="AH759" s="304">
        <f t="shared" ca="1" si="347"/>
        <v>-7.6459534439307077</v>
      </c>
    </row>
    <row r="760" spans="1:34" x14ac:dyDescent="0.2">
      <c r="A760" s="347">
        <f t="shared" ca="1" si="325"/>
        <v>1E-4</v>
      </c>
      <c r="B760" s="304">
        <f t="shared" ca="1" si="326"/>
        <v>36.720900000000945</v>
      </c>
      <c r="D760" s="306">
        <f t="shared" ca="1" si="327"/>
        <v>-0.727887255028831</v>
      </c>
      <c r="E760" s="307">
        <f t="shared" ca="1" si="328"/>
        <v>-2.1987375854067075</v>
      </c>
      <c r="F760" s="304">
        <f t="shared" ca="1" si="329"/>
        <v>2.3160886912019421</v>
      </c>
      <c r="G760" s="306">
        <f t="shared" ca="1" si="330"/>
        <v>12.442453128356242</v>
      </c>
      <c r="H760" s="307">
        <f t="shared" ca="1" si="331"/>
        <v>-130.10736105668278</v>
      </c>
      <c r="I760" s="304">
        <f t="shared" ca="1" si="332"/>
        <v>130.7009565419678</v>
      </c>
      <c r="J760" s="306">
        <f t="shared" ca="1" si="333"/>
        <v>889.84792314375909</v>
      </c>
      <c r="K760" s="307">
        <f t="shared" ca="1" si="334"/>
        <v>-9.6382463460051842</v>
      </c>
      <c r="L760" s="304">
        <f t="shared" ca="1" si="319"/>
        <v>889.90011917961203</v>
      </c>
      <c r="M760" s="306">
        <f t="shared" ca="1" si="335"/>
        <v>-1.4754540730997554</v>
      </c>
      <c r="N760" s="304">
        <f t="shared" ca="1" si="336"/>
        <v>-84.537291254002838</v>
      </c>
      <c r="P760" s="310">
        <f t="shared" ca="1" si="337"/>
        <v>23</v>
      </c>
      <c r="Q760" s="304">
        <f t="shared" ca="1" si="338"/>
        <v>0</v>
      </c>
      <c r="R760" s="306">
        <f t="shared" ca="1" si="339"/>
        <v>0</v>
      </c>
      <c r="S760" s="307">
        <f t="shared" ca="1" si="340"/>
        <v>7.150000000000003</v>
      </c>
      <c r="T760" s="304">
        <f t="shared" ca="1" si="320"/>
        <v>70.141500000000036</v>
      </c>
      <c r="U760" s="311">
        <f t="shared" ca="1" si="321"/>
        <v>0</v>
      </c>
      <c r="V760" s="306">
        <f t="shared" ca="1" si="322"/>
        <v>1.2261812544384498</v>
      </c>
      <c r="W760" s="304">
        <f t="shared" ca="1" si="323"/>
        <v>54.669063989336586</v>
      </c>
      <c r="Y760" s="314" t="str">
        <f t="shared" ca="1" si="341"/>
        <v/>
      </c>
      <c r="Z760" s="315" t="str">
        <f t="shared" ca="1" si="342"/>
        <v/>
      </c>
      <c r="AA760" s="316" t="str">
        <f t="shared" ca="1" si="343"/>
        <v/>
      </c>
      <c r="AC760" s="310" t="e">
        <f t="shared" ca="1" si="344"/>
        <v>#N/A</v>
      </c>
      <c r="AD760" s="323" t="e">
        <f t="shared" ca="1" si="345"/>
        <v>#N/A</v>
      </c>
      <c r="AE760" s="324" t="e">
        <f t="shared" ca="1" si="324"/>
        <v>#N/A</v>
      </c>
      <c r="AG760" s="306">
        <f t="shared" ca="1" si="346"/>
        <v>2.119457745013043</v>
      </c>
      <c r="AH760" s="304">
        <f t="shared" ca="1" si="347"/>
        <v>-7.6459881898832363</v>
      </c>
    </row>
    <row r="761" spans="1:34" x14ac:dyDescent="0.2">
      <c r="A761" s="347">
        <f t="shared" ca="1" si="325"/>
        <v>1E-4</v>
      </c>
      <c r="B761" s="304">
        <f t="shared" ca="1" si="326"/>
        <v>36.721000000000949</v>
      </c>
      <c r="D761" s="306">
        <f t="shared" ca="1" si="327"/>
        <v>-0.72788512426562124</v>
      </c>
      <c r="E761" s="307">
        <f t="shared" ca="1" si="328"/>
        <v>-2.1987024774248285</v>
      </c>
      <c r="F761" s="304">
        <f t="shared" ca="1" si="329"/>
        <v>2.3160546924373908</v>
      </c>
      <c r="G761" s="306">
        <f t="shared" ca="1" si="330"/>
        <v>12.442380339843815</v>
      </c>
      <c r="H761" s="307">
        <f t="shared" ca="1" si="331"/>
        <v>-130.10758092693052</v>
      </c>
      <c r="I761" s="304">
        <f t="shared" ca="1" si="332"/>
        <v>130.70116848436783</v>
      </c>
      <c r="J761" s="306">
        <f t="shared" ca="1" si="333"/>
        <v>889.84792314375909</v>
      </c>
      <c r="K761" s="307">
        <f t="shared" ca="1" si="334"/>
        <v>-9.6512570931043644</v>
      </c>
      <c r="L761" s="304">
        <f t="shared" ca="1" si="319"/>
        <v>889.90026019028596</v>
      </c>
      <c r="M761" s="306">
        <f t="shared" ca="1" si="335"/>
        <v>-1.4754547876236959</v>
      </c>
      <c r="N761" s="304">
        <f t="shared" ca="1" si="336"/>
        <v>-84.537332193208982</v>
      </c>
      <c r="P761" s="310">
        <f t="shared" ca="1" si="337"/>
        <v>23</v>
      </c>
      <c r="Q761" s="304">
        <f t="shared" ca="1" si="338"/>
        <v>0</v>
      </c>
      <c r="R761" s="306">
        <f t="shared" ca="1" si="339"/>
        <v>0</v>
      </c>
      <c r="S761" s="307">
        <f t="shared" ca="1" si="340"/>
        <v>7.150000000000003</v>
      </c>
      <c r="T761" s="304">
        <f t="shared" ca="1" si="320"/>
        <v>70.141500000000036</v>
      </c>
      <c r="U761" s="311">
        <f t="shared" ca="1" si="321"/>
        <v>0</v>
      </c>
      <c r="V761" s="306">
        <f t="shared" ca="1" si="322"/>
        <v>1.2261828497932783</v>
      </c>
      <c r="W761" s="304">
        <f t="shared" ca="1" si="323"/>
        <v>54.669312419118825</v>
      </c>
      <c r="Y761" s="314" t="str">
        <f t="shared" ca="1" si="341"/>
        <v/>
      </c>
      <c r="Z761" s="315" t="str">
        <f t="shared" ca="1" si="342"/>
        <v/>
      </c>
      <c r="AA761" s="316" t="str">
        <f t="shared" ca="1" si="343"/>
        <v/>
      </c>
      <c r="AC761" s="310" t="e">
        <f t="shared" ca="1" si="344"/>
        <v>#N/A</v>
      </c>
      <c r="AD761" s="323" t="e">
        <f t="shared" ca="1" si="345"/>
        <v>#N/A</v>
      </c>
      <c r="AE761" s="324" t="e">
        <f t="shared" ca="1" si="324"/>
        <v>#N/A</v>
      </c>
      <c r="AG761" s="306">
        <f t="shared" ca="1" si="346"/>
        <v>2.1194236666208708</v>
      </c>
      <c r="AH761" s="304">
        <f t="shared" ca="1" si="347"/>
        <v>-7.6460229355715468</v>
      </c>
    </row>
    <row r="762" spans="1:34" x14ac:dyDescent="0.2">
      <c r="A762" s="347">
        <f t="shared" ca="1" si="325"/>
        <v>1E-4</v>
      </c>
      <c r="B762" s="304">
        <f t="shared" ca="1" si="326"/>
        <v>36.721100000000952</v>
      </c>
      <c r="D762" s="306">
        <f t="shared" ca="1" si="327"/>
        <v>-0.72788299347691143</v>
      </c>
      <c r="E762" s="307">
        <f t="shared" ca="1" si="328"/>
        <v>-2.1986673697098578</v>
      </c>
      <c r="F762" s="304">
        <f t="shared" ca="1" si="329"/>
        <v>2.3160206939532673</v>
      </c>
      <c r="G762" s="306">
        <f t="shared" ca="1" si="330"/>
        <v>12.442307551544468</v>
      </c>
      <c r="H762" s="307">
        <f t="shared" ca="1" si="331"/>
        <v>-130.10780079366751</v>
      </c>
      <c r="I762" s="304">
        <f t="shared" ca="1" si="332"/>
        <v>130.70138042336006</v>
      </c>
      <c r="J762" s="306">
        <f t="shared" ca="1" si="333"/>
        <v>889.84792314375909</v>
      </c>
      <c r="K762" s="307">
        <f t="shared" ca="1" si="334"/>
        <v>-9.6642678621903944</v>
      </c>
      <c r="L762" s="304">
        <f t="shared" ca="1" si="319"/>
        <v>889.90040139139921</v>
      </c>
      <c r="M762" s="306">
        <f t="shared" ca="1" si="335"/>
        <v>-1.4754555021411389</v>
      </c>
      <c r="N762" s="304">
        <f t="shared" ca="1" si="336"/>
        <v>-84.537373132042859</v>
      </c>
      <c r="P762" s="310">
        <f t="shared" ca="1" si="337"/>
        <v>23</v>
      </c>
      <c r="Q762" s="304">
        <f t="shared" ca="1" si="338"/>
        <v>0</v>
      </c>
      <c r="R762" s="306">
        <f t="shared" ca="1" si="339"/>
        <v>0</v>
      </c>
      <c r="S762" s="307">
        <f t="shared" ca="1" si="340"/>
        <v>7.150000000000003</v>
      </c>
      <c r="T762" s="304">
        <f t="shared" ca="1" si="320"/>
        <v>70.141500000000036</v>
      </c>
      <c r="U762" s="311">
        <f t="shared" ca="1" si="321"/>
        <v>0</v>
      </c>
      <c r="V762" s="306">
        <f t="shared" ca="1" si="322"/>
        <v>1.2261844451528796</v>
      </c>
      <c r="W762" s="304">
        <f t="shared" ca="1" si="323"/>
        <v>54.669560847011944</v>
      </c>
      <c r="Y762" s="314" t="str">
        <f t="shared" ca="1" si="341"/>
        <v/>
      </c>
      <c r="Z762" s="315" t="str">
        <f t="shared" ca="1" si="342"/>
        <v/>
      </c>
      <c r="AA762" s="316" t="str">
        <f t="shared" ca="1" si="343"/>
        <v/>
      </c>
      <c r="AC762" s="310" t="e">
        <f t="shared" ca="1" si="344"/>
        <v>#N/A</v>
      </c>
      <c r="AD762" s="323" t="e">
        <f t="shared" ca="1" si="345"/>
        <v>#N/A</v>
      </c>
      <c r="AE762" s="324" t="e">
        <f t="shared" ca="1" si="324"/>
        <v>#N/A</v>
      </c>
      <c r="AG762" s="306">
        <f t="shared" ca="1" si="346"/>
        <v>2.1193895884818632</v>
      </c>
      <c r="AH762" s="304">
        <f t="shared" ca="1" si="347"/>
        <v>-7.6460576809956367</v>
      </c>
    </row>
    <row r="763" spans="1:34" x14ac:dyDescent="0.2">
      <c r="A763" s="347">
        <f t="shared" ca="1" si="325"/>
        <v>1E-4</v>
      </c>
      <c r="B763" s="304">
        <f t="shared" ca="1" si="326"/>
        <v>36.721200000000955</v>
      </c>
      <c r="D763" s="306">
        <f t="shared" ca="1" si="327"/>
        <v>-0.72788086266270513</v>
      </c>
      <c r="E763" s="307">
        <f t="shared" ca="1" si="328"/>
        <v>-2.1986322622617891</v>
      </c>
      <c r="F763" s="304">
        <f t="shared" ca="1" si="329"/>
        <v>2.3159866957495665</v>
      </c>
      <c r="G763" s="306">
        <f t="shared" ca="1" si="330"/>
        <v>12.442234763458202</v>
      </c>
      <c r="H763" s="307">
        <f t="shared" ca="1" si="331"/>
        <v>-130.10802065689373</v>
      </c>
      <c r="I763" s="304">
        <f t="shared" ca="1" si="332"/>
        <v>130.70159235894448</v>
      </c>
      <c r="J763" s="306">
        <f t="shared" ca="1" si="333"/>
        <v>889.84792314375909</v>
      </c>
      <c r="K763" s="307">
        <f t="shared" ca="1" si="334"/>
        <v>-9.6772786532629222</v>
      </c>
      <c r="L763" s="304">
        <f t="shared" ca="1" si="319"/>
        <v>889.90054278295293</v>
      </c>
      <c r="M763" s="306">
        <f t="shared" ca="1" si="335"/>
        <v>-1.4754562166520848</v>
      </c>
      <c r="N763" s="304">
        <f t="shared" ca="1" si="336"/>
        <v>-84.537414070504468</v>
      </c>
      <c r="P763" s="310">
        <f t="shared" ca="1" si="337"/>
        <v>23</v>
      </c>
      <c r="Q763" s="304">
        <f t="shared" ca="1" si="338"/>
        <v>0</v>
      </c>
      <c r="R763" s="306">
        <f t="shared" ca="1" si="339"/>
        <v>0</v>
      </c>
      <c r="S763" s="307">
        <f t="shared" ca="1" si="340"/>
        <v>7.150000000000003</v>
      </c>
      <c r="T763" s="304">
        <f t="shared" ca="1" si="320"/>
        <v>70.141500000000036</v>
      </c>
      <c r="U763" s="311">
        <f t="shared" ca="1" si="321"/>
        <v>0</v>
      </c>
      <c r="V763" s="306">
        <f t="shared" ca="1" si="322"/>
        <v>1.2261860405172538</v>
      </c>
      <c r="W763" s="304">
        <f t="shared" ca="1" si="323"/>
        <v>54.669809273015851</v>
      </c>
      <c r="Y763" s="314" t="str">
        <f t="shared" ca="1" si="341"/>
        <v/>
      </c>
      <c r="Z763" s="315" t="str">
        <f t="shared" ca="1" si="342"/>
        <v/>
      </c>
      <c r="AA763" s="316" t="str">
        <f t="shared" ca="1" si="343"/>
        <v/>
      </c>
      <c r="AC763" s="310" t="e">
        <f t="shared" ca="1" si="344"/>
        <v>#N/A</v>
      </c>
      <c r="AD763" s="323" t="e">
        <f t="shared" ca="1" si="345"/>
        <v>#N/A</v>
      </c>
      <c r="AE763" s="324" t="e">
        <f t="shared" ca="1" si="324"/>
        <v>#N/A</v>
      </c>
      <c r="AG763" s="306">
        <f t="shared" ca="1" si="346"/>
        <v>2.1193555105960167</v>
      </c>
      <c r="AH763" s="304">
        <f t="shared" ca="1" si="347"/>
        <v>-7.646092426155513</v>
      </c>
    </row>
    <row r="764" spans="1:34" x14ac:dyDescent="0.2">
      <c r="A764" s="347">
        <f t="shared" ca="1" si="325"/>
        <v>1E-4</v>
      </c>
      <c r="B764" s="304">
        <f t="shared" ca="1" si="326"/>
        <v>36.721300000000959</v>
      </c>
      <c r="D764" s="306">
        <f t="shared" ca="1" si="327"/>
        <v>-0.72787873182299911</v>
      </c>
      <c r="E764" s="307">
        <f t="shared" ca="1" si="328"/>
        <v>-2.1985971550806331</v>
      </c>
      <c r="F764" s="304">
        <f t="shared" ca="1" si="329"/>
        <v>2.3159526978262988</v>
      </c>
      <c r="G764" s="306">
        <f t="shared" ca="1" si="330"/>
        <v>12.442161975585019</v>
      </c>
      <c r="H764" s="307">
        <f t="shared" ca="1" si="331"/>
        <v>-130.10824051660924</v>
      </c>
      <c r="I764" s="304">
        <f t="shared" ca="1" si="332"/>
        <v>130.70180429112114</v>
      </c>
      <c r="J764" s="306">
        <f t="shared" ca="1" si="333"/>
        <v>889.84792314375909</v>
      </c>
      <c r="K764" s="307">
        <f t="shared" ca="1" si="334"/>
        <v>-9.6902894663215982</v>
      </c>
      <c r="L764" s="304">
        <f t="shared" ca="1" si="319"/>
        <v>889.90068436494778</v>
      </c>
      <c r="M764" s="306">
        <f t="shared" ca="1" si="335"/>
        <v>-1.4754569311565335</v>
      </c>
      <c r="N764" s="304">
        <f t="shared" ca="1" si="336"/>
        <v>-84.537455008593824</v>
      </c>
      <c r="P764" s="310">
        <f t="shared" ca="1" si="337"/>
        <v>23</v>
      </c>
      <c r="Q764" s="304">
        <f t="shared" ca="1" si="338"/>
        <v>0</v>
      </c>
      <c r="R764" s="306">
        <f t="shared" ca="1" si="339"/>
        <v>0</v>
      </c>
      <c r="S764" s="307">
        <f t="shared" ca="1" si="340"/>
        <v>7.150000000000003</v>
      </c>
      <c r="T764" s="304">
        <f t="shared" ca="1" si="320"/>
        <v>70.141500000000036</v>
      </c>
      <c r="U764" s="311">
        <f t="shared" ca="1" si="321"/>
        <v>0</v>
      </c>
      <c r="V764" s="306">
        <f t="shared" ca="1" si="322"/>
        <v>1.2261876358864006</v>
      </c>
      <c r="W764" s="304">
        <f t="shared" ca="1" si="323"/>
        <v>54.670057697130602</v>
      </c>
      <c r="Y764" s="314" t="str">
        <f t="shared" ca="1" si="341"/>
        <v/>
      </c>
      <c r="Z764" s="315" t="str">
        <f t="shared" ca="1" si="342"/>
        <v/>
      </c>
      <c r="AA764" s="316" t="str">
        <f t="shared" ca="1" si="343"/>
        <v/>
      </c>
      <c r="AC764" s="310" t="e">
        <f t="shared" ca="1" si="344"/>
        <v>#N/A</v>
      </c>
      <c r="AD764" s="323" t="e">
        <f t="shared" ca="1" si="345"/>
        <v>#N/A</v>
      </c>
      <c r="AE764" s="324" t="e">
        <f t="shared" ca="1" si="324"/>
        <v>#N/A</v>
      </c>
      <c r="AG764" s="306">
        <f t="shared" ca="1" si="346"/>
        <v>2.1193214329633419</v>
      </c>
      <c r="AH764" s="304">
        <f t="shared" ca="1" si="347"/>
        <v>-7.6461271710511651</v>
      </c>
    </row>
    <row r="765" spans="1:34" x14ac:dyDescent="0.2">
      <c r="A765" s="347">
        <f t="shared" ca="1" si="325"/>
        <v>1E-4</v>
      </c>
      <c r="B765" s="304">
        <f t="shared" ca="1" si="326"/>
        <v>36.721400000000962</v>
      </c>
      <c r="D765" s="306">
        <f t="shared" ca="1" si="327"/>
        <v>-0.72787660095779672</v>
      </c>
      <c r="E765" s="307">
        <f t="shared" ca="1" si="328"/>
        <v>-2.1985620481663846</v>
      </c>
      <c r="F765" s="304">
        <f t="shared" ca="1" si="329"/>
        <v>2.3159187001834591</v>
      </c>
      <c r="G765" s="306">
        <f t="shared" ca="1" si="330"/>
        <v>12.442089187924923</v>
      </c>
      <c r="H765" s="307">
        <f t="shared" ca="1" si="331"/>
        <v>-130.10846037281405</v>
      </c>
      <c r="I765" s="304">
        <f t="shared" ca="1" si="332"/>
        <v>130.70201621989006</v>
      </c>
      <c r="J765" s="306">
        <f t="shared" ca="1" si="333"/>
        <v>889.84792314375909</v>
      </c>
      <c r="K765" s="307">
        <f t="shared" ca="1" si="334"/>
        <v>-9.7033003013660686</v>
      </c>
      <c r="L765" s="304">
        <f t="shared" ca="1" si="319"/>
        <v>889.90082613738468</v>
      </c>
      <c r="M765" s="306">
        <f t="shared" ca="1" si="335"/>
        <v>-1.4754576456544855</v>
      </c>
      <c r="N765" s="304">
        <f t="shared" ca="1" si="336"/>
        <v>-84.537495946310941</v>
      </c>
      <c r="P765" s="310">
        <f t="shared" ca="1" si="337"/>
        <v>23</v>
      </c>
      <c r="Q765" s="304">
        <f t="shared" ca="1" si="338"/>
        <v>0</v>
      </c>
      <c r="R765" s="306">
        <f t="shared" ca="1" si="339"/>
        <v>0</v>
      </c>
      <c r="S765" s="307">
        <f t="shared" ca="1" si="340"/>
        <v>7.150000000000003</v>
      </c>
      <c r="T765" s="304">
        <f t="shared" ca="1" si="320"/>
        <v>70.141500000000036</v>
      </c>
      <c r="U765" s="311">
        <f t="shared" ca="1" si="321"/>
        <v>0</v>
      </c>
      <c r="V765" s="306">
        <f t="shared" ca="1" si="322"/>
        <v>1.22618923126032</v>
      </c>
      <c r="W765" s="304">
        <f t="shared" ca="1" si="323"/>
        <v>54.670306119356191</v>
      </c>
      <c r="Y765" s="314" t="str">
        <f t="shared" ca="1" si="341"/>
        <v/>
      </c>
      <c r="Z765" s="315" t="str">
        <f t="shared" ca="1" si="342"/>
        <v/>
      </c>
      <c r="AA765" s="316" t="str">
        <f t="shared" ca="1" si="343"/>
        <v/>
      </c>
      <c r="AC765" s="310" t="e">
        <f t="shared" ca="1" si="344"/>
        <v>#N/A</v>
      </c>
      <c r="AD765" s="323" t="e">
        <f t="shared" ca="1" si="345"/>
        <v>#N/A</v>
      </c>
      <c r="AE765" s="324" t="e">
        <f t="shared" ca="1" si="324"/>
        <v>#N/A</v>
      </c>
      <c r="AG765" s="306">
        <f t="shared" ca="1" si="346"/>
        <v>2.1192873555838334</v>
      </c>
      <c r="AH765" s="304">
        <f t="shared" ca="1" si="347"/>
        <v>-7.6461619156825984</v>
      </c>
    </row>
    <row r="766" spans="1:34" x14ac:dyDescent="0.2">
      <c r="A766" s="347">
        <f t="shared" ca="1" si="325"/>
        <v>1E-4</v>
      </c>
      <c r="B766" s="304">
        <f t="shared" ca="1" si="326"/>
        <v>36.721500000000965</v>
      </c>
      <c r="D766" s="306">
        <f t="shared" ca="1" si="327"/>
        <v>-0.72787447006709605</v>
      </c>
      <c r="E766" s="307">
        <f t="shared" ca="1" si="328"/>
        <v>-2.1985269415190425</v>
      </c>
      <c r="F766" s="304">
        <f t="shared" ca="1" si="329"/>
        <v>2.3158847028210476</v>
      </c>
      <c r="G766" s="306">
        <f t="shared" ca="1" si="330"/>
        <v>12.442016400477916</v>
      </c>
      <c r="H766" s="307">
        <f t="shared" ca="1" si="331"/>
        <v>-130.10868022550821</v>
      </c>
      <c r="I766" s="304">
        <f t="shared" ca="1" si="332"/>
        <v>130.70222814525127</v>
      </c>
      <c r="J766" s="306">
        <f t="shared" ca="1" si="333"/>
        <v>889.84792314375909</v>
      </c>
      <c r="K766" s="307">
        <f t="shared" ca="1" si="334"/>
        <v>-9.7163111583959854</v>
      </c>
      <c r="L766" s="304">
        <f t="shared" ca="1" si="319"/>
        <v>889.90096810026455</v>
      </c>
      <c r="M766" s="306">
        <f t="shared" ca="1" si="335"/>
        <v>-1.4754583601459403</v>
      </c>
      <c r="N766" s="304">
        <f t="shared" ca="1" si="336"/>
        <v>-84.537536883655804</v>
      </c>
      <c r="P766" s="310">
        <f t="shared" ca="1" si="337"/>
        <v>23</v>
      </c>
      <c r="Q766" s="304">
        <f t="shared" ca="1" si="338"/>
        <v>0</v>
      </c>
      <c r="R766" s="306">
        <f t="shared" ca="1" si="339"/>
        <v>0</v>
      </c>
      <c r="S766" s="307">
        <f t="shared" ca="1" si="340"/>
        <v>7.150000000000003</v>
      </c>
      <c r="T766" s="304">
        <f t="shared" ca="1" si="320"/>
        <v>70.141500000000036</v>
      </c>
      <c r="U766" s="311">
        <f t="shared" ca="1" si="321"/>
        <v>0</v>
      </c>
      <c r="V766" s="306">
        <f t="shared" ca="1" si="322"/>
        <v>1.2261908266390118</v>
      </c>
      <c r="W766" s="304">
        <f t="shared" ca="1" si="323"/>
        <v>54.670554539692588</v>
      </c>
      <c r="Y766" s="314" t="str">
        <f t="shared" ca="1" si="341"/>
        <v/>
      </c>
      <c r="Z766" s="315" t="str">
        <f t="shared" ca="1" si="342"/>
        <v/>
      </c>
      <c r="AA766" s="316" t="str">
        <f t="shared" ca="1" si="343"/>
        <v/>
      </c>
      <c r="AC766" s="310" t="e">
        <f t="shared" ca="1" si="344"/>
        <v>#N/A</v>
      </c>
      <c r="AD766" s="323" t="e">
        <f t="shared" ca="1" si="345"/>
        <v>#N/A</v>
      </c>
      <c r="AE766" s="324" t="e">
        <f t="shared" ca="1" si="324"/>
        <v>#N/A</v>
      </c>
      <c r="AG766" s="306">
        <f t="shared" ca="1" si="346"/>
        <v>2.1192532784574887</v>
      </c>
      <c r="AH766" s="304">
        <f t="shared" ca="1" si="347"/>
        <v>-7.6461966600498137</v>
      </c>
    </row>
    <row r="767" spans="1:34" x14ac:dyDescent="0.2">
      <c r="A767" s="347">
        <f t="shared" ca="1" si="325"/>
        <v>1E-4</v>
      </c>
      <c r="B767" s="304">
        <f t="shared" ca="1" si="326"/>
        <v>36.721600000000969</v>
      </c>
      <c r="D767" s="306">
        <f t="shared" ca="1" si="327"/>
        <v>-0.72787233915089966</v>
      </c>
      <c r="E767" s="307">
        <f t="shared" ca="1" si="328"/>
        <v>-2.1984918351386113</v>
      </c>
      <c r="F767" s="304">
        <f t="shared" ca="1" si="329"/>
        <v>2.3158507057390683</v>
      </c>
      <c r="G767" s="306">
        <f t="shared" ca="1" si="330"/>
        <v>12.441943613244002</v>
      </c>
      <c r="H767" s="307">
        <f t="shared" ca="1" si="331"/>
        <v>-130.10890007469172</v>
      </c>
      <c r="I767" s="304">
        <f t="shared" ca="1" si="332"/>
        <v>130.70244006720478</v>
      </c>
      <c r="J767" s="306">
        <f t="shared" ca="1" si="333"/>
        <v>889.84792314375909</v>
      </c>
      <c r="K767" s="307">
        <f t="shared" ca="1" si="334"/>
        <v>-9.729322037410995</v>
      </c>
      <c r="L767" s="304">
        <f t="shared" ca="1" si="319"/>
        <v>889.90111025358829</v>
      </c>
      <c r="M767" s="306">
        <f t="shared" ca="1" si="335"/>
        <v>-1.4754590746308986</v>
      </c>
      <c r="N767" s="304">
        <f t="shared" ca="1" si="336"/>
        <v>-84.537577820628442</v>
      </c>
      <c r="P767" s="310">
        <f t="shared" ca="1" si="337"/>
        <v>23</v>
      </c>
      <c r="Q767" s="304">
        <f t="shared" ca="1" si="338"/>
        <v>0</v>
      </c>
      <c r="R767" s="306">
        <f t="shared" ca="1" si="339"/>
        <v>0</v>
      </c>
      <c r="S767" s="307">
        <f t="shared" ca="1" si="340"/>
        <v>7.150000000000003</v>
      </c>
      <c r="T767" s="304">
        <f t="shared" ca="1" si="320"/>
        <v>70.141500000000036</v>
      </c>
      <c r="U767" s="311">
        <f t="shared" ca="1" si="321"/>
        <v>0</v>
      </c>
      <c r="V767" s="306">
        <f t="shared" ca="1" si="322"/>
        <v>1.2261924220224762</v>
      </c>
      <c r="W767" s="304">
        <f t="shared" ca="1" si="323"/>
        <v>54.670802958139802</v>
      </c>
      <c r="Y767" s="314" t="str">
        <f t="shared" ca="1" si="341"/>
        <v/>
      </c>
      <c r="Z767" s="315" t="str">
        <f t="shared" ca="1" si="342"/>
        <v/>
      </c>
      <c r="AA767" s="316" t="str">
        <f t="shared" ca="1" si="343"/>
        <v/>
      </c>
      <c r="AC767" s="310" t="e">
        <f t="shared" ca="1" si="344"/>
        <v>#N/A</v>
      </c>
      <c r="AD767" s="323" t="e">
        <f t="shared" ca="1" si="345"/>
        <v>#N/A</v>
      </c>
      <c r="AE767" s="324" t="e">
        <f t="shared" ca="1" si="324"/>
        <v>#N/A</v>
      </c>
      <c r="AG767" s="306">
        <f t="shared" ca="1" si="346"/>
        <v>2.1192192015843156</v>
      </c>
      <c r="AH767" s="304">
        <f t="shared" ca="1" si="347"/>
        <v>-7.6462314041528066</v>
      </c>
    </row>
    <row r="768" spans="1:34" x14ac:dyDescent="0.2">
      <c r="A768" s="347">
        <f t="shared" ca="1" si="325"/>
        <v>1E-4</v>
      </c>
      <c r="B768" s="304">
        <f t="shared" ca="1" si="326"/>
        <v>36.721700000000972</v>
      </c>
      <c r="D768" s="306">
        <f t="shared" ca="1" si="327"/>
        <v>-0.72787020820920534</v>
      </c>
      <c r="E768" s="307">
        <f t="shared" ca="1" si="328"/>
        <v>-2.1984567290250894</v>
      </c>
      <c r="F768" s="304">
        <f t="shared" ca="1" si="329"/>
        <v>2.3158167089375201</v>
      </c>
      <c r="G768" s="306">
        <f t="shared" ca="1" si="330"/>
        <v>12.44187082622318</v>
      </c>
      <c r="H768" s="307">
        <f t="shared" ca="1" si="331"/>
        <v>-130.10911992036463</v>
      </c>
      <c r="I768" s="304">
        <f t="shared" ca="1" si="332"/>
        <v>130.70265198575066</v>
      </c>
      <c r="J768" s="306">
        <f t="shared" ca="1" si="333"/>
        <v>889.84792314375909</v>
      </c>
      <c r="K768" s="307">
        <f t="shared" ca="1" si="334"/>
        <v>-9.7423329384107475</v>
      </c>
      <c r="L768" s="304">
        <f t="shared" ca="1" si="319"/>
        <v>889.90125259735657</v>
      </c>
      <c r="M768" s="306">
        <f t="shared" ca="1" si="335"/>
        <v>-1.4754597891093599</v>
      </c>
      <c r="N768" s="304">
        <f t="shared" ca="1" si="336"/>
        <v>-84.537618757228827</v>
      </c>
      <c r="P768" s="310">
        <f t="shared" ca="1" si="337"/>
        <v>23</v>
      </c>
      <c r="Q768" s="304">
        <f t="shared" ca="1" si="338"/>
        <v>0</v>
      </c>
      <c r="R768" s="306">
        <f t="shared" ca="1" si="339"/>
        <v>0</v>
      </c>
      <c r="S768" s="307">
        <f t="shared" ca="1" si="340"/>
        <v>7.150000000000003</v>
      </c>
      <c r="T768" s="304">
        <f t="shared" ca="1" si="320"/>
        <v>70.141500000000036</v>
      </c>
      <c r="U768" s="311">
        <f t="shared" ca="1" si="321"/>
        <v>0</v>
      </c>
      <c r="V768" s="306">
        <f t="shared" ca="1" si="322"/>
        <v>1.2261940174107129</v>
      </c>
      <c r="W768" s="304">
        <f t="shared" ca="1" si="323"/>
        <v>54.671051374697861</v>
      </c>
      <c r="Y768" s="314" t="str">
        <f t="shared" ca="1" si="341"/>
        <v/>
      </c>
      <c r="Z768" s="315" t="str">
        <f t="shared" ca="1" si="342"/>
        <v/>
      </c>
      <c r="AA768" s="316" t="str">
        <f t="shared" ca="1" si="343"/>
        <v/>
      </c>
      <c r="AC768" s="310" t="e">
        <f t="shared" ca="1" si="344"/>
        <v>#N/A</v>
      </c>
      <c r="AD768" s="323" t="e">
        <f t="shared" ca="1" si="345"/>
        <v>#N/A</v>
      </c>
      <c r="AE768" s="324" t="e">
        <f t="shared" ca="1" si="324"/>
        <v>#N/A</v>
      </c>
      <c r="AG768" s="306">
        <f t="shared" ca="1" si="346"/>
        <v>2.1191851249643134</v>
      </c>
      <c r="AH768" s="304">
        <f t="shared" ca="1" si="347"/>
        <v>-7.6462661479915779</v>
      </c>
    </row>
    <row r="769" spans="1:34" x14ac:dyDescent="0.2">
      <c r="A769" s="347">
        <f t="shared" ca="1" si="325"/>
        <v>1E-4</v>
      </c>
      <c r="B769" s="304">
        <f t="shared" ca="1" si="326"/>
        <v>36.721800000000975</v>
      </c>
      <c r="D769" s="306">
        <f t="shared" ca="1" si="327"/>
        <v>-0.72786807724201819</v>
      </c>
      <c r="E769" s="307">
        <f t="shared" ca="1" si="328"/>
        <v>-2.1984216231784748</v>
      </c>
      <c r="F769" s="304">
        <f t="shared" ca="1" si="329"/>
        <v>2.3157827124164028</v>
      </c>
      <c r="G769" s="306">
        <f t="shared" ca="1" si="330"/>
        <v>12.441798039415456</v>
      </c>
      <c r="H769" s="307">
        <f t="shared" ca="1" si="331"/>
        <v>-130.10933976252696</v>
      </c>
      <c r="I769" s="304">
        <f t="shared" ca="1" si="332"/>
        <v>130.70286390088887</v>
      </c>
      <c r="J769" s="306">
        <f t="shared" ca="1" si="333"/>
        <v>889.84792314375909</v>
      </c>
      <c r="K769" s="307">
        <f t="shared" ca="1" si="334"/>
        <v>-9.7553438613948913</v>
      </c>
      <c r="L769" s="304">
        <f t="shared" ca="1" si="319"/>
        <v>889.90139513157044</v>
      </c>
      <c r="M769" s="306">
        <f t="shared" ca="1" si="335"/>
        <v>-1.4754605035813246</v>
      </c>
      <c r="N769" s="304">
        <f t="shared" ca="1" si="336"/>
        <v>-84.537659693456987</v>
      </c>
      <c r="P769" s="310">
        <f t="shared" ca="1" si="337"/>
        <v>23</v>
      </c>
      <c r="Q769" s="304">
        <f t="shared" ca="1" si="338"/>
        <v>0</v>
      </c>
      <c r="R769" s="306">
        <f t="shared" ca="1" si="339"/>
        <v>0</v>
      </c>
      <c r="S769" s="307">
        <f t="shared" ca="1" si="340"/>
        <v>7.150000000000003</v>
      </c>
      <c r="T769" s="304">
        <f t="shared" ca="1" si="320"/>
        <v>70.141500000000036</v>
      </c>
      <c r="U769" s="311">
        <f t="shared" ca="1" si="321"/>
        <v>0</v>
      </c>
      <c r="V769" s="306">
        <f t="shared" ca="1" si="322"/>
        <v>1.2261956128037221</v>
      </c>
      <c r="W769" s="304">
        <f t="shared" ca="1" si="323"/>
        <v>54.671299789366714</v>
      </c>
      <c r="Y769" s="314" t="str">
        <f t="shared" ca="1" si="341"/>
        <v/>
      </c>
      <c r="Z769" s="315" t="str">
        <f t="shared" ca="1" si="342"/>
        <v/>
      </c>
      <c r="AA769" s="316" t="str">
        <f t="shared" ca="1" si="343"/>
        <v/>
      </c>
      <c r="AC769" s="310" t="e">
        <f t="shared" ca="1" si="344"/>
        <v>#N/A</v>
      </c>
      <c r="AD769" s="323" t="e">
        <f t="shared" ca="1" si="345"/>
        <v>#N/A</v>
      </c>
      <c r="AE769" s="324" t="e">
        <f t="shared" ca="1" si="324"/>
        <v>#N/A</v>
      </c>
      <c r="AG769" s="306">
        <f t="shared" ca="1" si="346"/>
        <v>2.1191510485974732</v>
      </c>
      <c r="AH769" s="304">
        <f t="shared" ca="1" si="347"/>
        <v>-7.6463008915661312</v>
      </c>
    </row>
    <row r="770" spans="1:34" x14ac:dyDescent="0.2">
      <c r="A770" s="347">
        <f t="shared" ca="1" si="325"/>
        <v>1E-4</v>
      </c>
      <c r="B770" s="304">
        <f t="shared" ca="1" si="326"/>
        <v>36.721900000000979</v>
      </c>
      <c r="D770" s="306">
        <f t="shared" ca="1" si="327"/>
        <v>-0.72786594624933543</v>
      </c>
      <c r="E770" s="307">
        <f t="shared" ca="1" si="328"/>
        <v>-2.1983865175987711</v>
      </c>
      <c r="F770" s="304">
        <f t="shared" ca="1" si="329"/>
        <v>2.3157487161757193</v>
      </c>
      <c r="G770" s="306">
        <f t="shared" ca="1" si="330"/>
        <v>12.441725252820831</v>
      </c>
      <c r="H770" s="307">
        <f t="shared" ca="1" si="331"/>
        <v>-130.10955960117872</v>
      </c>
      <c r="I770" s="304">
        <f t="shared" ca="1" si="332"/>
        <v>130.70307581261949</v>
      </c>
      <c r="J770" s="306">
        <f t="shared" ca="1" si="333"/>
        <v>889.84792314375909</v>
      </c>
      <c r="K770" s="307">
        <f t="shared" ca="1" si="334"/>
        <v>-9.7683548063630763</v>
      </c>
      <c r="L770" s="304">
        <f t="shared" ca="1" si="319"/>
        <v>889.90153785623068</v>
      </c>
      <c r="M770" s="306">
        <f t="shared" ca="1" si="335"/>
        <v>-1.475461218046793</v>
      </c>
      <c r="N770" s="304">
        <f t="shared" ca="1" si="336"/>
        <v>-84.537700629312937</v>
      </c>
      <c r="P770" s="310">
        <f t="shared" ca="1" si="337"/>
        <v>23</v>
      </c>
      <c r="Q770" s="304">
        <f t="shared" ca="1" si="338"/>
        <v>0</v>
      </c>
      <c r="R770" s="306">
        <f t="shared" ca="1" si="339"/>
        <v>0</v>
      </c>
      <c r="S770" s="307">
        <f t="shared" ca="1" si="340"/>
        <v>7.150000000000003</v>
      </c>
      <c r="T770" s="304">
        <f t="shared" ca="1" si="320"/>
        <v>70.141500000000036</v>
      </c>
      <c r="U770" s="311">
        <f t="shared" ca="1" si="321"/>
        <v>0</v>
      </c>
      <c r="V770" s="306">
        <f t="shared" ca="1" si="322"/>
        <v>1.2261972082015038</v>
      </c>
      <c r="W770" s="304">
        <f t="shared" ca="1" si="323"/>
        <v>54.671548202146397</v>
      </c>
      <c r="Y770" s="314" t="str">
        <f t="shared" ca="1" si="341"/>
        <v/>
      </c>
      <c r="Z770" s="315" t="str">
        <f t="shared" ca="1" si="342"/>
        <v/>
      </c>
      <c r="AA770" s="316" t="str">
        <f t="shared" ca="1" si="343"/>
        <v/>
      </c>
      <c r="AC770" s="310" t="e">
        <f t="shared" ca="1" si="344"/>
        <v>#N/A</v>
      </c>
      <c r="AD770" s="323" t="e">
        <f t="shared" ca="1" si="345"/>
        <v>#N/A</v>
      </c>
      <c r="AE770" s="324" t="e">
        <f t="shared" ca="1" si="324"/>
        <v>#N/A</v>
      </c>
      <c r="AG770" s="306">
        <f t="shared" ca="1" si="346"/>
        <v>2.1191169724838081</v>
      </c>
      <c r="AH770" s="304">
        <f t="shared" ca="1" si="347"/>
        <v>-7.6463356348764604</v>
      </c>
    </row>
    <row r="771" spans="1:34" x14ac:dyDescent="0.2">
      <c r="A771" s="347">
        <f t="shared" ca="1" si="325"/>
        <v>1E-4</v>
      </c>
      <c r="B771" s="304">
        <f t="shared" ca="1" si="326"/>
        <v>36.722000000000982</v>
      </c>
      <c r="D771" s="306">
        <f t="shared" ca="1" si="327"/>
        <v>-0.72786381523115695</v>
      </c>
      <c r="E771" s="307">
        <f t="shared" ca="1" si="328"/>
        <v>-2.1983514122859775</v>
      </c>
      <c r="F771" s="304">
        <f t="shared" ca="1" si="329"/>
        <v>2.3157147202154689</v>
      </c>
      <c r="G771" s="306">
        <f t="shared" ca="1" si="330"/>
        <v>12.441652466439308</v>
      </c>
      <c r="H771" s="307">
        <f t="shared" ca="1" si="331"/>
        <v>-130.10977943631994</v>
      </c>
      <c r="I771" s="304">
        <f t="shared" ca="1" si="332"/>
        <v>130.70328772094251</v>
      </c>
      <c r="J771" s="306">
        <f t="shared" ca="1" si="333"/>
        <v>889.84792314375909</v>
      </c>
      <c r="K771" s="307">
        <f t="shared" ca="1" si="334"/>
        <v>-9.7813657733149508</v>
      </c>
      <c r="L771" s="304">
        <f t="shared" ca="1" si="319"/>
        <v>889.90168077133819</v>
      </c>
      <c r="M771" s="306">
        <f t="shared" ca="1" si="335"/>
        <v>-1.4754619325057647</v>
      </c>
      <c r="N771" s="304">
        <f t="shared" ca="1" si="336"/>
        <v>-84.537741564796647</v>
      </c>
      <c r="P771" s="310">
        <f t="shared" ca="1" si="337"/>
        <v>23</v>
      </c>
      <c r="Q771" s="304">
        <f t="shared" ca="1" si="338"/>
        <v>0</v>
      </c>
      <c r="R771" s="306">
        <f t="shared" ca="1" si="339"/>
        <v>0</v>
      </c>
      <c r="S771" s="307">
        <f t="shared" ca="1" si="340"/>
        <v>7.150000000000003</v>
      </c>
      <c r="T771" s="304">
        <f t="shared" ca="1" si="320"/>
        <v>70.141500000000036</v>
      </c>
      <c r="U771" s="311">
        <f t="shared" ca="1" si="321"/>
        <v>0</v>
      </c>
      <c r="V771" s="306">
        <f t="shared" ca="1" si="322"/>
        <v>1.2261988036040579</v>
      </c>
      <c r="W771" s="304">
        <f t="shared" ca="1" si="323"/>
        <v>54.671796613036882</v>
      </c>
      <c r="Y771" s="314" t="str">
        <f t="shared" ca="1" si="341"/>
        <v/>
      </c>
      <c r="Z771" s="315" t="str">
        <f t="shared" ca="1" si="342"/>
        <v/>
      </c>
      <c r="AA771" s="316" t="str">
        <f t="shared" ca="1" si="343"/>
        <v/>
      </c>
      <c r="AC771" s="310" t="e">
        <f t="shared" ca="1" si="344"/>
        <v>#N/A</v>
      </c>
      <c r="AD771" s="323" t="e">
        <f t="shared" ca="1" si="345"/>
        <v>#N/A</v>
      </c>
      <c r="AE771" s="324" t="e">
        <f t="shared" ca="1" si="324"/>
        <v>#N/A</v>
      </c>
      <c r="AG771" s="306">
        <f t="shared" ca="1" si="346"/>
        <v>2.1190828966233104</v>
      </c>
      <c r="AH771" s="304">
        <f t="shared" ca="1" si="347"/>
        <v>-7.6463703779225698</v>
      </c>
    </row>
    <row r="772" spans="1:34" x14ac:dyDescent="0.2">
      <c r="A772" s="347">
        <f t="shared" ca="1" si="325"/>
        <v>1E-4</v>
      </c>
      <c r="B772" s="304">
        <f t="shared" ca="1" si="326"/>
        <v>36.722100000000985</v>
      </c>
      <c r="D772" s="306">
        <f t="shared" ca="1" si="327"/>
        <v>-0.72786168418748554</v>
      </c>
      <c r="E772" s="307">
        <f t="shared" ca="1" si="328"/>
        <v>-2.1983163072400949</v>
      </c>
      <c r="F772" s="304">
        <f t="shared" ca="1" si="329"/>
        <v>2.3156807245356537</v>
      </c>
      <c r="G772" s="306">
        <f t="shared" ca="1" si="330"/>
        <v>12.441579680270889</v>
      </c>
      <c r="H772" s="307">
        <f t="shared" ca="1" si="331"/>
        <v>-130.10999926795066</v>
      </c>
      <c r="I772" s="304">
        <f t="shared" ca="1" si="332"/>
        <v>130.70349962585794</v>
      </c>
      <c r="J772" s="306">
        <f t="shared" ca="1" si="333"/>
        <v>889.84792314375909</v>
      </c>
      <c r="K772" s="307">
        <f t="shared" ca="1" si="334"/>
        <v>-9.794376762250165</v>
      </c>
      <c r="L772" s="304">
        <f t="shared" ref="L772:L835" ca="1" si="348">SQRT(pos_x^2+pos_z^2)</f>
        <v>889.9018238768939</v>
      </c>
      <c r="M772" s="306">
        <f t="shared" ca="1" si="335"/>
        <v>-1.4754626469582401</v>
      </c>
      <c r="N772" s="304">
        <f t="shared" ca="1" si="336"/>
        <v>-84.537782499908147</v>
      </c>
      <c r="P772" s="310">
        <f t="shared" ca="1" si="337"/>
        <v>23</v>
      </c>
      <c r="Q772" s="304">
        <f t="shared" ca="1" si="338"/>
        <v>0</v>
      </c>
      <c r="R772" s="306">
        <f t="shared" ca="1" si="339"/>
        <v>0</v>
      </c>
      <c r="S772" s="307">
        <f t="shared" ca="1" si="340"/>
        <v>7.150000000000003</v>
      </c>
      <c r="T772" s="304">
        <f t="shared" ref="T772:T835" ca="1" si="349">m*g</f>
        <v>70.141500000000036</v>
      </c>
      <c r="U772" s="311">
        <f t="shared" ref="U772:U835" ca="1" si="350">IF(pos_xz&lt;L_rampe,Poids*COS(Beta),0)</f>
        <v>0</v>
      </c>
      <c r="V772" s="306">
        <f t="shared" ref="V772:V835" ca="1" si="351">Rho_moyen*(20000-Alt_rampe-pos_z)/(20000+Alt_rampe+pos_z)</f>
        <v>1.2262003990113848</v>
      </c>
      <c r="W772" s="304">
        <f t="shared" ref="W772:W835" ca="1" si="352">1/2*Rho*Sref*Cx*vit_xz^2</f>
        <v>54.672045022038191</v>
      </c>
      <c r="Y772" s="314" t="str">
        <f t="shared" ca="1" si="341"/>
        <v/>
      </c>
      <c r="Z772" s="315" t="str">
        <f t="shared" ca="1" si="342"/>
        <v/>
      </c>
      <c r="AA772" s="316" t="str">
        <f t="shared" ca="1" si="343"/>
        <v/>
      </c>
      <c r="AC772" s="310" t="e">
        <f t="shared" ca="1" si="344"/>
        <v>#N/A</v>
      </c>
      <c r="AD772" s="323" t="e">
        <f t="shared" ca="1" si="345"/>
        <v>#N/A</v>
      </c>
      <c r="AE772" s="324" t="e">
        <f t="shared" ref="AE772:AE835" ca="1" si="353">IF(t&lt;T_para, pos_z, NA())</f>
        <v>#N/A</v>
      </c>
      <c r="AG772" s="306">
        <f t="shared" ca="1" si="346"/>
        <v>2.1190488210159835</v>
      </c>
      <c r="AH772" s="304">
        <f t="shared" ca="1" si="347"/>
        <v>-7.6464051207044559</v>
      </c>
    </row>
    <row r="773" spans="1:34" x14ac:dyDescent="0.2">
      <c r="A773" s="347">
        <f t="shared" ref="A773:A836" ca="1" si="354">IF(B772+0.01&lt;=T_ini+ROUNDUP(Temps_fin_propu,0), 0.01, IF(K772&gt;0, 0.1, 0.0001))</f>
        <v>1E-4</v>
      </c>
      <c r="B773" s="304">
        <f t="shared" ref="B773:B836" ca="1" si="355">B772+pas</f>
        <v>36.722200000000988</v>
      </c>
      <c r="D773" s="306">
        <f t="shared" ref="D773:D836" ca="1" si="356">IF(AND(L772&lt;L_rampe,Poussee&lt;Poids*SIN(M772)),0,(-W772+Poussee)/m*COS(M772)-U772/m*SIN(M772))</f>
        <v>-0.72785955311832096</v>
      </c>
      <c r="E773" s="307">
        <f t="shared" ref="E773:E836" ca="1" si="357">IF(AND(L772&lt;L_rampe,Poussee&lt;Poids*SIN(M772)),0,(-W772+Poussee)/m*SIN(M772)+U772/m*COS(M772)-Poids/m)</f>
        <v>-2.1982812024611205</v>
      </c>
      <c r="F773" s="304">
        <f t="shared" ref="F773:F836" ca="1" si="358">SQRT(acc_x^2+acc_z^2)</f>
        <v>2.315646729136271</v>
      </c>
      <c r="G773" s="306">
        <f t="shared" ref="G773:G836" ca="1" si="359">G772+acc_x*pas</f>
        <v>12.441506894315577</v>
      </c>
      <c r="H773" s="307">
        <f t="shared" ref="H773:H836" ca="1" si="360">H772+acc_z*pas</f>
        <v>-130.11021909607089</v>
      </c>
      <c r="I773" s="304">
        <f t="shared" ref="I773:I836" ca="1" si="361">SQRT(vit_x^2+vit_z^2)</f>
        <v>130.70371152736587</v>
      </c>
      <c r="J773" s="306">
        <f t="shared" ref="J773:J836" ca="1" si="362">J772+0.5*(vit_x+G772)*pas*(K772&gt;=0)</f>
        <v>889.84792314375909</v>
      </c>
      <c r="K773" s="307">
        <f t="shared" ref="K773:K836" ca="1" si="363">K772+0.5*(vit_z+H772)*pas</f>
        <v>-9.8073877731683652</v>
      </c>
      <c r="L773" s="304">
        <f t="shared" ca="1" si="348"/>
        <v>889.90196717289859</v>
      </c>
      <c r="M773" s="306">
        <f t="shared" ref="M773:M836" ca="1" si="364">IF(AND(L772&gt;L_rampe,G773&gt;0),ATAN2(G773,H773),$M$4)</f>
        <v>-1.4754633614042192</v>
      </c>
      <c r="N773" s="304">
        <f t="shared" ref="N773:N836" ca="1" si="365">DEGREES(Beta)</f>
        <v>-84.537823434647436</v>
      </c>
      <c r="P773" s="310">
        <f t="shared" ref="P773:P836" ca="1" si="366">MATCH(t-pas/2-T_ini,CdP_t)</f>
        <v>23</v>
      </c>
      <c r="Q773" s="304">
        <f t="shared" ref="Q773:Q836" ca="1" si="367">(INDEX(CdP,2,i_P+1)-INDEX(CdP,2,i_P+0))/(INDEX(CdP,1,i_P+1)-INDEX(CdP,1,i_P+0))*(t-pas/2-T_ini-INDEX(CdP,1,i_P+0))+INDEX(CdP,2,i_P+0)</f>
        <v>0</v>
      </c>
      <c r="R773" s="306">
        <f t="shared" ref="R773:R836" ca="1" si="368">Poussee/(g*ISP)</f>
        <v>0</v>
      </c>
      <c r="S773" s="307">
        <f t="shared" ref="S773:S836" ca="1" si="369">S772-Débit*pas</f>
        <v>7.150000000000003</v>
      </c>
      <c r="T773" s="304">
        <f t="shared" ca="1" si="349"/>
        <v>70.141500000000036</v>
      </c>
      <c r="U773" s="311">
        <f t="shared" ca="1" si="350"/>
        <v>0</v>
      </c>
      <c r="V773" s="306">
        <f t="shared" ca="1" si="351"/>
        <v>1.2262019944234841</v>
      </c>
      <c r="W773" s="304">
        <f t="shared" ca="1" si="352"/>
        <v>54.672293429150322</v>
      </c>
      <c r="Y773" s="314" t="str">
        <f t="shared" ref="Y773:Y836" ca="1" si="370">IF(AND(pos_z&lt;=0,K772&gt;0),"Impact balistique","") &amp; IF(AND(H774&lt;0,vit_z&gt;=0),"Apogée","") &amp; IF(AND(Poussee=0,Q772&gt;0),"Fin de propulsion","") &amp; IF(AND(L774&gt;L_rampe,pos_xz&lt;=L_rampe),"Sortie de rampe","")</f>
        <v/>
      </c>
      <c r="Z773" s="315" t="str">
        <f t="shared" ref="Z773:Z836" ca="1" si="371">IF(ABS(t-T_para)&lt;pas/2,"Para","")</f>
        <v/>
      </c>
      <c r="AA773" s="316" t="str">
        <f t="shared" ref="AA773:AA836" ca="1" si="372">IF(ABS(t-T_satellite)&lt;pas/2,"Satellite","")</f>
        <v/>
      </c>
      <c r="AC773" s="310" t="e">
        <f t="shared" ref="AC773:AC836" ca="1" si="373">IF(ABS(t-ROUND(t,0))&lt;0.001,t,NA())</f>
        <v>#N/A</v>
      </c>
      <c r="AD773" s="323" t="e">
        <f t="shared" ref="AD773:AD836" ca="1" si="374">IF(ABS(t-ROUND(t,0))&lt;0.001,pos_x,NA())</f>
        <v>#N/A</v>
      </c>
      <c r="AE773" s="324" t="e">
        <f t="shared" ca="1" si="353"/>
        <v>#N/A</v>
      </c>
      <c r="AG773" s="306">
        <f t="shared" ref="AG773:AG836" ca="1" si="375">IF(AND(L772&lt;L_rampe,Poussee&lt;Poids*SIN(M772)),0,(-W772+Poussee)/m-Poids*SIN(M772)/m)</f>
        <v>2.1190147456618282</v>
      </c>
      <c r="AH773" s="304">
        <f t="shared" ref="AH773:AH836" ca="1" si="376">IF(AND(L772&lt;L_rampe,Poussee&lt;Poids*SIN(M772)), g*SIN(M772), (-W772+Poussee)/m)</f>
        <v>-7.6464398632221213</v>
      </c>
    </row>
    <row r="774" spans="1:34" x14ac:dyDescent="0.2">
      <c r="A774" s="347">
        <f t="shared" ca="1" si="354"/>
        <v>1E-4</v>
      </c>
      <c r="B774" s="304">
        <f t="shared" ca="1" si="355"/>
        <v>36.722300000000992</v>
      </c>
      <c r="D774" s="306">
        <f t="shared" ca="1" si="356"/>
        <v>-0.72785742202366432</v>
      </c>
      <c r="E774" s="307">
        <f t="shared" ca="1" si="357"/>
        <v>-2.1982460979490561</v>
      </c>
      <c r="F774" s="304">
        <f t="shared" ca="1" si="358"/>
        <v>2.315612734017324</v>
      </c>
      <c r="G774" s="306">
        <f t="shared" ca="1" si="359"/>
        <v>12.441434108573374</v>
      </c>
      <c r="H774" s="307">
        <f t="shared" ca="1" si="360"/>
        <v>-130.11043892068068</v>
      </c>
      <c r="I774" s="304">
        <f t="shared" ca="1" si="361"/>
        <v>130.70392342546626</v>
      </c>
      <c r="J774" s="306">
        <f t="shared" ca="1" si="362"/>
        <v>889.84792314375909</v>
      </c>
      <c r="K774" s="307">
        <f t="shared" ca="1" si="363"/>
        <v>-9.8203988060692033</v>
      </c>
      <c r="L774" s="304">
        <f t="shared" ca="1" si="348"/>
        <v>889.90211065935318</v>
      </c>
      <c r="M774" s="306">
        <f t="shared" ca="1" si="364"/>
        <v>-1.4754640758437021</v>
      </c>
      <c r="N774" s="304">
        <f t="shared" ca="1" si="365"/>
        <v>-84.537864369014528</v>
      </c>
      <c r="P774" s="310">
        <f t="shared" ca="1" si="366"/>
        <v>23</v>
      </c>
      <c r="Q774" s="304">
        <f t="shared" ca="1" si="367"/>
        <v>0</v>
      </c>
      <c r="R774" s="306">
        <f t="shared" ca="1" si="368"/>
        <v>0</v>
      </c>
      <c r="S774" s="307">
        <f t="shared" ca="1" si="369"/>
        <v>7.150000000000003</v>
      </c>
      <c r="T774" s="304">
        <f t="shared" ca="1" si="349"/>
        <v>70.141500000000036</v>
      </c>
      <c r="U774" s="311">
        <f t="shared" ca="1" si="350"/>
        <v>0</v>
      </c>
      <c r="V774" s="306">
        <f t="shared" ca="1" si="351"/>
        <v>1.2262035898403552</v>
      </c>
      <c r="W774" s="304">
        <f t="shared" ca="1" si="352"/>
        <v>54.672541834373234</v>
      </c>
      <c r="Y774" s="314" t="str">
        <f t="shared" ca="1" si="370"/>
        <v/>
      </c>
      <c r="Z774" s="315" t="str">
        <f t="shared" ca="1" si="371"/>
        <v/>
      </c>
      <c r="AA774" s="316" t="str">
        <f t="shared" ca="1" si="372"/>
        <v/>
      </c>
      <c r="AC774" s="310" t="e">
        <f t="shared" ca="1" si="373"/>
        <v>#N/A</v>
      </c>
      <c r="AD774" s="323" t="e">
        <f t="shared" ca="1" si="374"/>
        <v>#N/A</v>
      </c>
      <c r="AE774" s="324" t="e">
        <f t="shared" ca="1" si="353"/>
        <v>#N/A</v>
      </c>
      <c r="AG774" s="306">
        <f t="shared" ca="1" si="375"/>
        <v>2.1189806705608394</v>
      </c>
      <c r="AH774" s="304">
        <f t="shared" ca="1" si="376"/>
        <v>-7.6464746054755661</v>
      </c>
    </row>
    <row r="775" spans="1:34" x14ac:dyDescent="0.2">
      <c r="A775" s="347">
        <f t="shared" ca="1" si="354"/>
        <v>1E-4</v>
      </c>
      <c r="B775" s="304">
        <f t="shared" ca="1" si="355"/>
        <v>36.722400000000995</v>
      </c>
      <c r="D775" s="306">
        <f t="shared" ca="1" si="356"/>
        <v>-0.72785529090351475</v>
      </c>
      <c r="E775" s="307">
        <f t="shared" ca="1" si="357"/>
        <v>-2.1982109937039054</v>
      </c>
      <c r="F775" s="304">
        <f t="shared" ca="1" si="358"/>
        <v>2.3155787391788154</v>
      </c>
      <c r="G775" s="306">
        <f t="shared" ca="1" si="359"/>
        <v>12.441361323044283</v>
      </c>
      <c r="H775" s="307">
        <f t="shared" ca="1" si="360"/>
        <v>-130.11065874178004</v>
      </c>
      <c r="I775" s="304">
        <f t="shared" ca="1" si="361"/>
        <v>130.7041353201592</v>
      </c>
      <c r="J775" s="306">
        <f t="shared" ca="1" si="362"/>
        <v>889.84792314375909</v>
      </c>
      <c r="K775" s="307">
        <f t="shared" ca="1" si="363"/>
        <v>-9.8334098609523259</v>
      </c>
      <c r="L775" s="304">
        <f t="shared" ca="1" si="348"/>
        <v>889.90225433625847</v>
      </c>
      <c r="M775" s="306">
        <f t="shared" ca="1" si="364"/>
        <v>-1.4754647902766889</v>
      </c>
      <c r="N775" s="304">
        <f t="shared" ca="1" si="365"/>
        <v>-84.53790530300941</v>
      </c>
      <c r="P775" s="310">
        <f t="shared" ca="1" si="366"/>
        <v>23</v>
      </c>
      <c r="Q775" s="304">
        <f t="shared" ca="1" si="367"/>
        <v>0</v>
      </c>
      <c r="R775" s="306">
        <f t="shared" ca="1" si="368"/>
        <v>0</v>
      </c>
      <c r="S775" s="307">
        <f t="shared" ca="1" si="369"/>
        <v>7.150000000000003</v>
      </c>
      <c r="T775" s="304">
        <f t="shared" ca="1" si="349"/>
        <v>70.141500000000036</v>
      </c>
      <c r="U775" s="311">
        <f t="shared" ca="1" si="350"/>
        <v>0</v>
      </c>
      <c r="V775" s="306">
        <f t="shared" ca="1" si="351"/>
        <v>1.2262051852619986</v>
      </c>
      <c r="W775" s="304">
        <f t="shared" ca="1" si="352"/>
        <v>54.672790237706963</v>
      </c>
      <c r="Y775" s="314" t="str">
        <f t="shared" ca="1" si="370"/>
        <v/>
      </c>
      <c r="Z775" s="315" t="str">
        <f t="shared" ca="1" si="371"/>
        <v/>
      </c>
      <c r="AA775" s="316" t="str">
        <f t="shared" ca="1" si="372"/>
        <v/>
      </c>
      <c r="AC775" s="310" t="e">
        <f t="shared" ca="1" si="373"/>
        <v>#N/A</v>
      </c>
      <c r="AD775" s="323" t="e">
        <f t="shared" ca="1" si="374"/>
        <v>#N/A</v>
      </c>
      <c r="AE775" s="324" t="e">
        <f t="shared" ca="1" si="353"/>
        <v>#N/A</v>
      </c>
      <c r="AG775" s="306">
        <f t="shared" ca="1" si="375"/>
        <v>2.1189465957130293</v>
      </c>
      <c r="AH775" s="304">
        <f t="shared" ca="1" si="376"/>
        <v>-7.6465093474647849</v>
      </c>
    </row>
    <row r="776" spans="1:34" x14ac:dyDescent="0.2">
      <c r="A776" s="347">
        <f t="shared" ca="1" si="354"/>
        <v>1E-4</v>
      </c>
      <c r="B776" s="304">
        <f t="shared" ca="1" si="355"/>
        <v>36.722500000000998</v>
      </c>
      <c r="D776" s="306">
        <f t="shared" ca="1" si="356"/>
        <v>-0.7278531597578739</v>
      </c>
      <c r="E776" s="307">
        <f t="shared" ca="1" si="357"/>
        <v>-2.1981758897256665</v>
      </c>
      <c r="F776" s="304">
        <f t="shared" ca="1" si="358"/>
        <v>2.3155447446207442</v>
      </c>
      <c r="G776" s="306">
        <f t="shared" ca="1" si="359"/>
        <v>12.441288537728308</v>
      </c>
      <c r="H776" s="307">
        <f t="shared" ca="1" si="360"/>
        <v>-130.11087855936901</v>
      </c>
      <c r="I776" s="304">
        <f t="shared" ca="1" si="361"/>
        <v>130.70434721144466</v>
      </c>
      <c r="J776" s="306">
        <f t="shared" ca="1" si="362"/>
        <v>889.84792314375909</v>
      </c>
      <c r="K776" s="307">
        <f t="shared" ca="1" si="363"/>
        <v>-9.846420937817383</v>
      </c>
      <c r="L776" s="304">
        <f t="shared" ca="1" si="348"/>
        <v>889.90239820361546</v>
      </c>
      <c r="M776" s="306">
        <f t="shared" ca="1" si="364"/>
        <v>-1.4754655047031795</v>
      </c>
      <c r="N776" s="304">
        <f t="shared" ca="1" si="365"/>
        <v>-84.537946236632095</v>
      </c>
      <c r="P776" s="310">
        <f t="shared" ca="1" si="366"/>
        <v>23</v>
      </c>
      <c r="Q776" s="304">
        <f t="shared" ca="1" si="367"/>
        <v>0</v>
      </c>
      <c r="R776" s="306">
        <f t="shared" ca="1" si="368"/>
        <v>0</v>
      </c>
      <c r="S776" s="307">
        <f t="shared" ca="1" si="369"/>
        <v>7.150000000000003</v>
      </c>
      <c r="T776" s="304">
        <f t="shared" ca="1" si="349"/>
        <v>70.141500000000036</v>
      </c>
      <c r="U776" s="311">
        <f t="shared" ca="1" si="350"/>
        <v>0</v>
      </c>
      <c r="V776" s="306">
        <f t="shared" ca="1" si="351"/>
        <v>1.2262067806884147</v>
      </c>
      <c r="W776" s="304">
        <f t="shared" ca="1" si="352"/>
        <v>54.673038639151507</v>
      </c>
      <c r="Y776" s="314" t="str">
        <f t="shared" ca="1" si="370"/>
        <v/>
      </c>
      <c r="Z776" s="315" t="str">
        <f t="shared" ca="1" si="371"/>
        <v/>
      </c>
      <c r="AA776" s="316" t="str">
        <f t="shared" ca="1" si="372"/>
        <v/>
      </c>
      <c r="AC776" s="310" t="e">
        <f t="shared" ca="1" si="373"/>
        <v>#N/A</v>
      </c>
      <c r="AD776" s="323" t="e">
        <f t="shared" ca="1" si="374"/>
        <v>#N/A</v>
      </c>
      <c r="AE776" s="324" t="e">
        <f t="shared" ca="1" si="353"/>
        <v>#N/A</v>
      </c>
      <c r="AG776" s="306">
        <f t="shared" ca="1" si="375"/>
        <v>2.1189125211183892</v>
      </c>
      <c r="AH776" s="304">
        <f t="shared" ca="1" si="376"/>
        <v>-7.6465440891897813</v>
      </c>
    </row>
    <row r="777" spans="1:34" x14ac:dyDescent="0.2">
      <c r="A777" s="347">
        <f t="shared" ca="1" si="354"/>
        <v>1E-4</v>
      </c>
      <c r="B777" s="304">
        <f t="shared" ca="1" si="355"/>
        <v>36.722600000001002</v>
      </c>
      <c r="D777" s="306">
        <f t="shared" ca="1" si="356"/>
        <v>-0.727851028586743</v>
      </c>
      <c r="E777" s="307">
        <f t="shared" ca="1" si="357"/>
        <v>-2.1981407860143358</v>
      </c>
      <c r="F777" s="304">
        <f t="shared" ca="1" si="358"/>
        <v>2.3155107503431078</v>
      </c>
      <c r="G777" s="306">
        <f t="shared" ca="1" si="359"/>
        <v>12.44121575262545</v>
      </c>
      <c r="H777" s="307">
        <f t="shared" ca="1" si="360"/>
        <v>-130.11109837344762</v>
      </c>
      <c r="I777" s="304">
        <f t="shared" ca="1" si="361"/>
        <v>130.70455909932269</v>
      </c>
      <c r="J777" s="306">
        <f t="shared" ca="1" si="362"/>
        <v>889.84792314375909</v>
      </c>
      <c r="K777" s="307">
        <f t="shared" ca="1" si="363"/>
        <v>-9.8594320366640247</v>
      </c>
      <c r="L777" s="304">
        <f t="shared" ca="1" si="348"/>
        <v>889.90254226142474</v>
      </c>
      <c r="M777" s="306">
        <f t="shared" ca="1" si="364"/>
        <v>-1.4754662191231744</v>
      </c>
      <c r="N777" s="304">
        <f t="shared" ca="1" si="365"/>
        <v>-84.537987169882612</v>
      </c>
      <c r="P777" s="310">
        <f t="shared" ca="1" si="366"/>
        <v>23</v>
      </c>
      <c r="Q777" s="304">
        <f t="shared" ca="1" si="367"/>
        <v>0</v>
      </c>
      <c r="R777" s="306">
        <f t="shared" ca="1" si="368"/>
        <v>0</v>
      </c>
      <c r="S777" s="307">
        <f t="shared" ca="1" si="369"/>
        <v>7.150000000000003</v>
      </c>
      <c r="T777" s="304">
        <f t="shared" ca="1" si="349"/>
        <v>70.141500000000036</v>
      </c>
      <c r="U777" s="311">
        <f t="shared" ca="1" si="350"/>
        <v>0</v>
      </c>
      <c r="V777" s="306">
        <f t="shared" ca="1" si="351"/>
        <v>1.2262083761196028</v>
      </c>
      <c r="W777" s="304">
        <f t="shared" ca="1" si="352"/>
        <v>54.67328703870686</v>
      </c>
      <c r="Y777" s="314" t="str">
        <f t="shared" ca="1" si="370"/>
        <v/>
      </c>
      <c r="Z777" s="315" t="str">
        <f t="shared" ca="1" si="371"/>
        <v/>
      </c>
      <c r="AA777" s="316" t="str">
        <f t="shared" ca="1" si="372"/>
        <v/>
      </c>
      <c r="AC777" s="310" t="e">
        <f t="shared" ca="1" si="373"/>
        <v>#N/A</v>
      </c>
      <c r="AD777" s="323" t="e">
        <f t="shared" ca="1" si="374"/>
        <v>#N/A</v>
      </c>
      <c r="AE777" s="324" t="e">
        <f t="shared" ca="1" si="353"/>
        <v>#N/A</v>
      </c>
      <c r="AG777" s="306">
        <f t="shared" ca="1" si="375"/>
        <v>2.1188784467769208</v>
      </c>
      <c r="AH777" s="304">
        <f t="shared" ca="1" si="376"/>
        <v>-7.6465788306505571</v>
      </c>
    </row>
    <row r="778" spans="1:34" x14ac:dyDescent="0.2">
      <c r="A778" s="347">
        <f t="shared" ca="1" si="354"/>
        <v>1E-4</v>
      </c>
      <c r="B778" s="304">
        <f t="shared" ca="1" si="355"/>
        <v>36.722700000001005</v>
      </c>
      <c r="D778" s="306">
        <f t="shared" ca="1" si="356"/>
        <v>-0.72784889739011993</v>
      </c>
      <c r="E778" s="307">
        <f t="shared" ca="1" si="357"/>
        <v>-2.1981056825699161</v>
      </c>
      <c r="F778" s="304">
        <f t="shared" ca="1" si="358"/>
        <v>2.3154767563459084</v>
      </c>
      <c r="G778" s="306">
        <f t="shared" ca="1" si="359"/>
        <v>12.441142967735711</v>
      </c>
      <c r="H778" s="307">
        <f t="shared" ca="1" si="360"/>
        <v>-130.11131818401589</v>
      </c>
      <c r="I778" s="304">
        <f t="shared" ca="1" si="361"/>
        <v>130.70477098379334</v>
      </c>
      <c r="J778" s="306">
        <f t="shared" ca="1" si="362"/>
        <v>889.84792314375909</v>
      </c>
      <c r="K778" s="307">
        <f t="shared" ca="1" si="363"/>
        <v>-9.8724431574918974</v>
      </c>
      <c r="L778" s="304">
        <f t="shared" ca="1" si="348"/>
        <v>889.90268650968756</v>
      </c>
      <c r="M778" s="306">
        <f t="shared" ca="1" si="364"/>
        <v>-1.4754669335366735</v>
      </c>
      <c r="N778" s="304">
        <f t="shared" ca="1" si="365"/>
        <v>-84.538028102760933</v>
      </c>
      <c r="P778" s="310">
        <f t="shared" ca="1" si="366"/>
        <v>23</v>
      </c>
      <c r="Q778" s="304">
        <f t="shared" ca="1" si="367"/>
        <v>0</v>
      </c>
      <c r="R778" s="306">
        <f t="shared" ca="1" si="368"/>
        <v>0</v>
      </c>
      <c r="S778" s="307">
        <f t="shared" ca="1" si="369"/>
        <v>7.150000000000003</v>
      </c>
      <c r="T778" s="304">
        <f t="shared" ca="1" si="349"/>
        <v>70.141500000000036</v>
      </c>
      <c r="U778" s="311">
        <f t="shared" ca="1" si="350"/>
        <v>0</v>
      </c>
      <c r="V778" s="306">
        <f t="shared" ca="1" si="351"/>
        <v>1.226209971555563</v>
      </c>
      <c r="W778" s="304">
        <f t="shared" ca="1" si="352"/>
        <v>54.673535436373029</v>
      </c>
      <c r="Y778" s="314" t="str">
        <f t="shared" ca="1" si="370"/>
        <v/>
      </c>
      <c r="Z778" s="315" t="str">
        <f t="shared" ca="1" si="371"/>
        <v/>
      </c>
      <c r="AA778" s="316" t="str">
        <f t="shared" ca="1" si="372"/>
        <v/>
      </c>
      <c r="AC778" s="310" t="e">
        <f t="shared" ca="1" si="373"/>
        <v>#N/A</v>
      </c>
      <c r="AD778" s="323" t="e">
        <f t="shared" ca="1" si="374"/>
        <v>#N/A</v>
      </c>
      <c r="AE778" s="324" t="e">
        <f t="shared" ca="1" si="353"/>
        <v>#N/A</v>
      </c>
      <c r="AG778" s="306">
        <f t="shared" ca="1" si="375"/>
        <v>2.1188443726886241</v>
      </c>
      <c r="AH778" s="304">
        <f t="shared" ca="1" si="376"/>
        <v>-7.6466135718471104</v>
      </c>
    </row>
    <row r="779" spans="1:34" x14ac:dyDescent="0.2">
      <c r="A779" s="347">
        <f t="shared" ca="1" si="354"/>
        <v>1E-4</v>
      </c>
      <c r="B779" s="304">
        <f t="shared" ca="1" si="355"/>
        <v>36.722800000001008</v>
      </c>
      <c r="D779" s="306">
        <f t="shared" ca="1" si="356"/>
        <v>-0.72784676616800748</v>
      </c>
      <c r="E779" s="307">
        <f t="shared" ca="1" si="357"/>
        <v>-2.1980705793924074</v>
      </c>
      <c r="F779" s="304">
        <f t="shared" ca="1" si="358"/>
        <v>2.3154427626291478</v>
      </c>
      <c r="G779" s="306">
        <f t="shared" ca="1" si="359"/>
        <v>12.441070183059095</v>
      </c>
      <c r="H779" s="307">
        <f t="shared" ca="1" si="360"/>
        <v>-130.11153799107382</v>
      </c>
      <c r="I779" s="304">
        <f t="shared" ca="1" si="361"/>
        <v>130.70498286485656</v>
      </c>
      <c r="J779" s="306">
        <f t="shared" ca="1" si="362"/>
        <v>889.84792314375909</v>
      </c>
      <c r="K779" s="307">
        <f t="shared" ca="1" si="363"/>
        <v>-9.8854543003006512</v>
      </c>
      <c r="L779" s="304">
        <f t="shared" ca="1" si="348"/>
        <v>889.90283094840458</v>
      </c>
      <c r="M779" s="306">
        <f t="shared" ca="1" si="364"/>
        <v>-1.4754676479436766</v>
      </c>
      <c r="N779" s="304">
        <f t="shared" ca="1" si="365"/>
        <v>-84.538069035267071</v>
      </c>
      <c r="P779" s="310">
        <f t="shared" ca="1" si="366"/>
        <v>23</v>
      </c>
      <c r="Q779" s="304">
        <f t="shared" ca="1" si="367"/>
        <v>0</v>
      </c>
      <c r="R779" s="306">
        <f t="shared" ca="1" si="368"/>
        <v>0</v>
      </c>
      <c r="S779" s="307">
        <f t="shared" ca="1" si="369"/>
        <v>7.150000000000003</v>
      </c>
      <c r="T779" s="304">
        <f t="shared" ca="1" si="349"/>
        <v>70.141500000000036</v>
      </c>
      <c r="U779" s="311">
        <f t="shared" ca="1" si="350"/>
        <v>0</v>
      </c>
      <c r="V779" s="306">
        <f t="shared" ca="1" si="351"/>
        <v>1.2262115669962954</v>
      </c>
      <c r="W779" s="304">
        <f t="shared" ca="1" si="352"/>
        <v>54.673783832149965</v>
      </c>
      <c r="Y779" s="314" t="str">
        <f t="shared" ca="1" si="370"/>
        <v/>
      </c>
      <c r="Z779" s="315" t="str">
        <f t="shared" ca="1" si="371"/>
        <v/>
      </c>
      <c r="AA779" s="316" t="str">
        <f t="shared" ca="1" si="372"/>
        <v/>
      </c>
      <c r="AC779" s="310" t="e">
        <f t="shared" ca="1" si="373"/>
        <v>#N/A</v>
      </c>
      <c r="AD779" s="323" t="e">
        <f t="shared" ca="1" si="374"/>
        <v>#N/A</v>
      </c>
      <c r="AE779" s="324" t="e">
        <f t="shared" ca="1" si="353"/>
        <v>#N/A</v>
      </c>
      <c r="AG779" s="306">
        <f t="shared" ca="1" si="375"/>
        <v>2.1188102988535009</v>
      </c>
      <c r="AH779" s="304">
        <f t="shared" ca="1" si="376"/>
        <v>-7.6466483127794413</v>
      </c>
    </row>
    <row r="780" spans="1:34" x14ac:dyDescent="0.2">
      <c r="A780" s="347">
        <f t="shared" ca="1" si="354"/>
        <v>1E-4</v>
      </c>
      <c r="B780" s="304">
        <f t="shared" ca="1" si="355"/>
        <v>36.722900000001012</v>
      </c>
      <c r="D780" s="306">
        <f t="shared" ca="1" si="356"/>
        <v>-0.72784463492040663</v>
      </c>
      <c r="E780" s="307">
        <f t="shared" ca="1" si="357"/>
        <v>-2.1980354764818149</v>
      </c>
      <c r="F780" s="304">
        <f t="shared" ca="1" si="358"/>
        <v>2.3154087691928305</v>
      </c>
      <c r="G780" s="306">
        <f t="shared" ca="1" si="359"/>
        <v>12.440997398595602</v>
      </c>
      <c r="H780" s="307">
        <f t="shared" ca="1" si="360"/>
        <v>-130.11175779462147</v>
      </c>
      <c r="I780" s="304">
        <f t="shared" ca="1" si="361"/>
        <v>130.70519474251245</v>
      </c>
      <c r="J780" s="306">
        <f t="shared" ca="1" si="362"/>
        <v>889.84792314375909</v>
      </c>
      <c r="K780" s="307">
        <f t="shared" ca="1" si="363"/>
        <v>-9.8984654650899362</v>
      </c>
      <c r="L780" s="304">
        <f t="shared" ca="1" si="348"/>
        <v>889.90297557757663</v>
      </c>
      <c r="M780" s="306">
        <f t="shared" ca="1" si="364"/>
        <v>-1.4754683623441842</v>
      </c>
      <c r="N780" s="304">
        <f t="shared" ca="1" si="365"/>
        <v>-84.538109967401041</v>
      </c>
      <c r="P780" s="310">
        <f t="shared" ca="1" si="366"/>
        <v>23</v>
      </c>
      <c r="Q780" s="304">
        <f t="shared" ca="1" si="367"/>
        <v>0</v>
      </c>
      <c r="R780" s="306">
        <f t="shared" ca="1" si="368"/>
        <v>0</v>
      </c>
      <c r="S780" s="307">
        <f t="shared" ca="1" si="369"/>
        <v>7.150000000000003</v>
      </c>
      <c r="T780" s="304">
        <f t="shared" ca="1" si="349"/>
        <v>70.141500000000036</v>
      </c>
      <c r="U780" s="311">
        <f t="shared" ca="1" si="350"/>
        <v>0</v>
      </c>
      <c r="V780" s="306">
        <f t="shared" ca="1" si="351"/>
        <v>1.2262131624418002</v>
      </c>
      <c r="W780" s="304">
        <f t="shared" ca="1" si="352"/>
        <v>54.674032226037724</v>
      </c>
      <c r="Y780" s="314" t="str">
        <f t="shared" ca="1" si="370"/>
        <v/>
      </c>
      <c r="Z780" s="315" t="str">
        <f t="shared" ca="1" si="371"/>
        <v/>
      </c>
      <c r="AA780" s="316" t="str">
        <f t="shared" ca="1" si="372"/>
        <v/>
      </c>
      <c r="AC780" s="310" t="e">
        <f t="shared" ca="1" si="373"/>
        <v>#N/A</v>
      </c>
      <c r="AD780" s="323" t="e">
        <f t="shared" ca="1" si="374"/>
        <v>#N/A</v>
      </c>
      <c r="AE780" s="324" t="e">
        <f t="shared" ca="1" si="353"/>
        <v>#N/A</v>
      </c>
      <c r="AG780" s="306">
        <f t="shared" ca="1" si="375"/>
        <v>2.118776225271553</v>
      </c>
      <c r="AH780" s="304">
        <f t="shared" ca="1" si="376"/>
        <v>-7.6466830534475445</v>
      </c>
    </row>
    <row r="781" spans="1:34" x14ac:dyDescent="0.2">
      <c r="A781" s="347">
        <f t="shared" ca="1" si="354"/>
        <v>1E-4</v>
      </c>
      <c r="B781" s="304">
        <f t="shared" ca="1" si="355"/>
        <v>36.723000000001015</v>
      </c>
      <c r="D781" s="306">
        <f t="shared" ca="1" si="356"/>
        <v>-0.72784250364731573</v>
      </c>
      <c r="E781" s="307">
        <f t="shared" ca="1" si="357"/>
        <v>-2.1980003738381306</v>
      </c>
      <c r="F781" s="304">
        <f t="shared" ca="1" si="358"/>
        <v>2.3153747760369496</v>
      </c>
      <c r="G781" s="306">
        <f t="shared" ca="1" si="359"/>
        <v>12.440924614345237</v>
      </c>
      <c r="H781" s="307">
        <f t="shared" ca="1" si="360"/>
        <v>-130.11197759465884</v>
      </c>
      <c r="I781" s="304">
        <f t="shared" ca="1" si="361"/>
        <v>130.70540661676097</v>
      </c>
      <c r="J781" s="306">
        <f t="shared" ca="1" si="362"/>
        <v>889.84792314375909</v>
      </c>
      <c r="K781" s="307">
        <f t="shared" ca="1" si="363"/>
        <v>-9.9114766518594006</v>
      </c>
      <c r="L781" s="304">
        <f t="shared" ca="1" si="348"/>
        <v>889.9031203972047</v>
      </c>
      <c r="M781" s="306">
        <f t="shared" ca="1" si="364"/>
        <v>-1.4754690767381962</v>
      </c>
      <c r="N781" s="304">
        <f t="shared" ca="1" si="365"/>
        <v>-84.538150899162829</v>
      </c>
      <c r="P781" s="310">
        <f t="shared" ca="1" si="366"/>
        <v>23</v>
      </c>
      <c r="Q781" s="304">
        <f t="shared" ca="1" si="367"/>
        <v>0</v>
      </c>
      <c r="R781" s="306">
        <f t="shared" ca="1" si="368"/>
        <v>0</v>
      </c>
      <c r="S781" s="307">
        <f t="shared" ca="1" si="369"/>
        <v>7.150000000000003</v>
      </c>
      <c r="T781" s="304">
        <f t="shared" ca="1" si="349"/>
        <v>70.141500000000036</v>
      </c>
      <c r="U781" s="311">
        <f t="shared" ca="1" si="350"/>
        <v>0</v>
      </c>
      <c r="V781" s="306">
        <f t="shared" ca="1" si="351"/>
        <v>1.226214757892077</v>
      </c>
      <c r="W781" s="304">
        <f t="shared" ca="1" si="352"/>
        <v>54.674280618036256</v>
      </c>
      <c r="Y781" s="314" t="str">
        <f t="shared" ca="1" si="370"/>
        <v/>
      </c>
      <c r="Z781" s="315" t="str">
        <f t="shared" ca="1" si="371"/>
        <v/>
      </c>
      <c r="AA781" s="316" t="str">
        <f t="shared" ca="1" si="372"/>
        <v/>
      </c>
      <c r="AC781" s="310" t="e">
        <f t="shared" ca="1" si="373"/>
        <v>#N/A</v>
      </c>
      <c r="AD781" s="323" t="e">
        <f t="shared" ca="1" si="374"/>
        <v>#N/A</v>
      </c>
      <c r="AE781" s="324" t="e">
        <f t="shared" ca="1" si="353"/>
        <v>#N/A</v>
      </c>
      <c r="AG781" s="306">
        <f t="shared" ca="1" si="375"/>
        <v>2.1187421519427785</v>
      </c>
      <c r="AH781" s="304">
        <f t="shared" ca="1" si="376"/>
        <v>-7.646717793851427</v>
      </c>
    </row>
    <row r="782" spans="1:34" x14ac:dyDescent="0.2">
      <c r="A782" s="347">
        <f t="shared" ca="1" si="354"/>
        <v>1E-4</v>
      </c>
      <c r="B782" s="304">
        <f t="shared" ca="1" si="355"/>
        <v>36.723100000001018</v>
      </c>
      <c r="D782" s="306">
        <f t="shared" ca="1" si="356"/>
        <v>-0.72784037234873689</v>
      </c>
      <c r="E782" s="307">
        <f t="shared" ca="1" si="357"/>
        <v>-2.1979652714613636</v>
      </c>
      <c r="F782" s="304">
        <f t="shared" ca="1" si="358"/>
        <v>2.3153407831615138</v>
      </c>
      <c r="G782" s="306">
        <f t="shared" ca="1" si="359"/>
        <v>12.440851830308002</v>
      </c>
      <c r="H782" s="307">
        <f t="shared" ca="1" si="360"/>
        <v>-130.11219739118599</v>
      </c>
      <c r="I782" s="304">
        <f t="shared" ca="1" si="361"/>
        <v>130.70561848760224</v>
      </c>
      <c r="J782" s="306">
        <f t="shared" ca="1" si="362"/>
        <v>889.84792314375909</v>
      </c>
      <c r="K782" s="307">
        <f t="shared" ca="1" si="363"/>
        <v>-9.9244878606086928</v>
      </c>
      <c r="L782" s="304">
        <f t="shared" ca="1" si="348"/>
        <v>889.9032654072895</v>
      </c>
      <c r="M782" s="306">
        <f t="shared" ca="1" si="364"/>
        <v>-1.4754697911257126</v>
      </c>
      <c r="N782" s="304">
        <f t="shared" ca="1" si="365"/>
        <v>-84.538191830552464</v>
      </c>
      <c r="P782" s="310">
        <f t="shared" ca="1" si="366"/>
        <v>23</v>
      </c>
      <c r="Q782" s="304">
        <f t="shared" ca="1" si="367"/>
        <v>0</v>
      </c>
      <c r="R782" s="306">
        <f t="shared" ca="1" si="368"/>
        <v>0</v>
      </c>
      <c r="S782" s="307">
        <f t="shared" ca="1" si="369"/>
        <v>7.150000000000003</v>
      </c>
      <c r="T782" s="304">
        <f t="shared" ca="1" si="349"/>
        <v>70.141500000000036</v>
      </c>
      <c r="U782" s="311">
        <f t="shared" ca="1" si="350"/>
        <v>0</v>
      </c>
      <c r="V782" s="306">
        <f t="shared" ca="1" si="351"/>
        <v>1.226216353347126</v>
      </c>
      <c r="W782" s="304">
        <f t="shared" ca="1" si="352"/>
        <v>54.674529008145633</v>
      </c>
      <c r="Y782" s="314" t="str">
        <f t="shared" ca="1" si="370"/>
        <v/>
      </c>
      <c r="Z782" s="315" t="str">
        <f t="shared" ca="1" si="371"/>
        <v/>
      </c>
      <c r="AA782" s="316" t="str">
        <f t="shared" ca="1" si="372"/>
        <v/>
      </c>
      <c r="AC782" s="310" t="e">
        <f t="shared" ca="1" si="373"/>
        <v>#N/A</v>
      </c>
      <c r="AD782" s="323" t="e">
        <f t="shared" ca="1" si="374"/>
        <v>#N/A</v>
      </c>
      <c r="AE782" s="324" t="e">
        <f t="shared" ca="1" si="353"/>
        <v>#N/A</v>
      </c>
      <c r="AG782" s="306">
        <f t="shared" ca="1" si="375"/>
        <v>2.118708078867181</v>
      </c>
      <c r="AH782" s="304">
        <f t="shared" ca="1" si="376"/>
        <v>-7.6467525339910818</v>
      </c>
    </row>
    <row r="783" spans="1:34" x14ac:dyDescent="0.2">
      <c r="A783" s="347">
        <f t="shared" ca="1" si="354"/>
        <v>1E-4</v>
      </c>
      <c r="B783" s="304">
        <f t="shared" ca="1" si="355"/>
        <v>36.723200000001022</v>
      </c>
      <c r="D783" s="306">
        <f t="shared" ca="1" si="356"/>
        <v>-0.72783824102467098</v>
      </c>
      <c r="E783" s="307">
        <f t="shared" ca="1" si="357"/>
        <v>-2.1979301693515021</v>
      </c>
      <c r="F783" s="304">
        <f t="shared" ca="1" si="358"/>
        <v>2.3153067905665137</v>
      </c>
      <c r="G783" s="306">
        <f t="shared" ca="1" si="359"/>
        <v>12.4407790464839</v>
      </c>
      <c r="H783" s="307">
        <f t="shared" ca="1" si="360"/>
        <v>-130.11241718420291</v>
      </c>
      <c r="I783" s="304">
        <f t="shared" ca="1" si="361"/>
        <v>130.70583035503617</v>
      </c>
      <c r="J783" s="306">
        <f t="shared" ca="1" si="362"/>
        <v>889.84792314375909</v>
      </c>
      <c r="K783" s="307">
        <f t="shared" ca="1" si="363"/>
        <v>-9.9374990913374628</v>
      </c>
      <c r="L783" s="304">
        <f t="shared" ca="1" si="348"/>
        <v>889.90341060783203</v>
      </c>
      <c r="M783" s="306">
        <f t="shared" ca="1" si="364"/>
        <v>-1.4754705055067336</v>
      </c>
      <c r="N783" s="304">
        <f t="shared" ca="1" si="365"/>
        <v>-84.53823276156993</v>
      </c>
      <c r="P783" s="310">
        <f t="shared" ca="1" si="366"/>
        <v>23</v>
      </c>
      <c r="Q783" s="304">
        <f t="shared" ca="1" si="367"/>
        <v>0</v>
      </c>
      <c r="R783" s="306">
        <f t="shared" ca="1" si="368"/>
        <v>0</v>
      </c>
      <c r="S783" s="307">
        <f t="shared" ca="1" si="369"/>
        <v>7.150000000000003</v>
      </c>
      <c r="T783" s="304">
        <f t="shared" ca="1" si="349"/>
        <v>70.141500000000036</v>
      </c>
      <c r="U783" s="311">
        <f t="shared" ca="1" si="350"/>
        <v>0</v>
      </c>
      <c r="V783" s="306">
        <f t="shared" ca="1" si="351"/>
        <v>1.2262179488069471</v>
      </c>
      <c r="W783" s="304">
        <f t="shared" ca="1" si="352"/>
        <v>54.674777396365741</v>
      </c>
      <c r="Y783" s="314" t="str">
        <f t="shared" ca="1" si="370"/>
        <v/>
      </c>
      <c r="Z783" s="315" t="str">
        <f t="shared" ca="1" si="371"/>
        <v/>
      </c>
      <c r="AA783" s="316" t="str">
        <f t="shared" ca="1" si="372"/>
        <v/>
      </c>
      <c r="AC783" s="310" t="e">
        <f t="shared" ca="1" si="373"/>
        <v>#N/A</v>
      </c>
      <c r="AD783" s="323" t="e">
        <f t="shared" ca="1" si="374"/>
        <v>#N/A</v>
      </c>
      <c r="AE783" s="324" t="e">
        <f t="shared" ca="1" si="353"/>
        <v>#N/A</v>
      </c>
      <c r="AG783" s="306">
        <f t="shared" ca="1" si="375"/>
        <v>2.1186740060447562</v>
      </c>
      <c r="AH783" s="304">
        <f t="shared" ca="1" si="376"/>
        <v>-7.6467872738665186</v>
      </c>
    </row>
    <row r="784" spans="1:34" x14ac:dyDescent="0.2">
      <c r="A784" s="347">
        <f t="shared" ca="1" si="354"/>
        <v>1E-4</v>
      </c>
      <c r="B784" s="304">
        <f t="shared" ca="1" si="355"/>
        <v>36.723300000001025</v>
      </c>
      <c r="D784" s="306">
        <f t="shared" ca="1" si="356"/>
        <v>-0.72783610967511758</v>
      </c>
      <c r="E784" s="307">
        <f t="shared" ca="1" si="357"/>
        <v>-2.1978950675085613</v>
      </c>
      <c r="F784" s="304">
        <f t="shared" ca="1" si="358"/>
        <v>2.3152727982519625</v>
      </c>
      <c r="G784" s="306">
        <f t="shared" ca="1" si="359"/>
        <v>12.440706262872933</v>
      </c>
      <c r="H784" s="307">
        <f t="shared" ca="1" si="360"/>
        <v>-130.11263697370967</v>
      </c>
      <c r="I784" s="304">
        <f t="shared" ca="1" si="361"/>
        <v>130.70604221906288</v>
      </c>
      <c r="J784" s="306">
        <f t="shared" ca="1" si="362"/>
        <v>889.84792314375909</v>
      </c>
      <c r="K784" s="307">
        <f t="shared" ca="1" si="363"/>
        <v>-9.9505103440453588</v>
      </c>
      <c r="L784" s="304">
        <f t="shared" ca="1" si="348"/>
        <v>889.9035559988331</v>
      </c>
      <c r="M784" s="306">
        <f t="shared" ca="1" si="364"/>
        <v>-1.4754712198812594</v>
      </c>
      <c r="N784" s="304">
        <f t="shared" ca="1" si="365"/>
        <v>-84.538273692215242</v>
      </c>
      <c r="P784" s="310">
        <f t="shared" ca="1" si="366"/>
        <v>23</v>
      </c>
      <c r="Q784" s="304">
        <f t="shared" ca="1" si="367"/>
        <v>0</v>
      </c>
      <c r="R784" s="306">
        <f t="shared" ca="1" si="368"/>
        <v>0</v>
      </c>
      <c r="S784" s="307">
        <f t="shared" ca="1" si="369"/>
        <v>7.150000000000003</v>
      </c>
      <c r="T784" s="304">
        <f t="shared" ca="1" si="349"/>
        <v>70.141500000000036</v>
      </c>
      <c r="U784" s="311">
        <f t="shared" ca="1" si="350"/>
        <v>0</v>
      </c>
      <c r="V784" s="306">
        <f t="shared" ca="1" si="351"/>
        <v>1.2262195442715402</v>
      </c>
      <c r="W784" s="304">
        <f t="shared" ca="1" si="352"/>
        <v>54.675025782696686</v>
      </c>
      <c r="Y784" s="314" t="str">
        <f t="shared" ca="1" si="370"/>
        <v/>
      </c>
      <c r="Z784" s="315" t="str">
        <f t="shared" ca="1" si="371"/>
        <v/>
      </c>
      <c r="AA784" s="316" t="str">
        <f t="shared" ca="1" si="372"/>
        <v/>
      </c>
      <c r="AC784" s="310" t="e">
        <f t="shared" ca="1" si="373"/>
        <v>#N/A</v>
      </c>
      <c r="AD784" s="323" t="e">
        <f t="shared" ca="1" si="374"/>
        <v>#N/A</v>
      </c>
      <c r="AE784" s="324" t="e">
        <f t="shared" ca="1" si="353"/>
        <v>#N/A</v>
      </c>
      <c r="AG784" s="306">
        <f t="shared" ca="1" si="375"/>
        <v>2.1186399334755128</v>
      </c>
      <c r="AH784" s="304">
        <f t="shared" ca="1" si="376"/>
        <v>-7.6468220134777232</v>
      </c>
    </row>
    <row r="785" spans="1:34" x14ac:dyDescent="0.2">
      <c r="A785" s="347">
        <f t="shared" ca="1" si="354"/>
        <v>1E-4</v>
      </c>
      <c r="B785" s="304">
        <f t="shared" ca="1" si="355"/>
        <v>36.723400000001028</v>
      </c>
      <c r="D785" s="306">
        <f t="shared" ca="1" si="356"/>
        <v>-0.72783397830007757</v>
      </c>
      <c r="E785" s="307">
        <f t="shared" ca="1" si="357"/>
        <v>-2.1978599659325297</v>
      </c>
      <c r="F785" s="304">
        <f t="shared" ca="1" si="358"/>
        <v>2.3152388062178506</v>
      </c>
      <c r="G785" s="306">
        <f t="shared" ca="1" si="359"/>
        <v>12.440633479475103</v>
      </c>
      <c r="H785" s="307">
        <f t="shared" ca="1" si="360"/>
        <v>-130.11285675970626</v>
      </c>
      <c r="I785" s="304">
        <f t="shared" ca="1" si="361"/>
        <v>130.70625407968234</v>
      </c>
      <c r="J785" s="306">
        <f t="shared" ca="1" si="362"/>
        <v>889.84792314375909</v>
      </c>
      <c r="K785" s="307">
        <f t="shared" ca="1" si="363"/>
        <v>-9.9635216187320292</v>
      </c>
      <c r="L785" s="304">
        <f t="shared" ca="1" si="348"/>
        <v>889.90370158029361</v>
      </c>
      <c r="M785" s="306">
        <f t="shared" ca="1" si="364"/>
        <v>-1.4754719342492899</v>
      </c>
      <c r="N785" s="304">
        <f t="shared" ca="1" si="365"/>
        <v>-84.538314622488414</v>
      </c>
      <c r="P785" s="310">
        <f t="shared" ca="1" si="366"/>
        <v>23</v>
      </c>
      <c r="Q785" s="304">
        <f t="shared" ca="1" si="367"/>
        <v>0</v>
      </c>
      <c r="R785" s="306">
        <f t="shared" ca="1" si="368"/>
        <v>0</v>
      </c>
      <c r="S785" s="307">
        <f t="shared" ca="1" si="369"/>
        <v>7.150000000000003</v>
      </c>
      <c r="T785" s="304">
        <f t="shared" ca="1" si="349"/>
        <v>70.141500000000036</v>
      </c>
      <c r="U785" s="311">
        <f t="shared" ca="1" si="350"/>
        <v>0</v>
      </c>
      <c r="V785" s="306">
        <f t="shared" ca="1" si="351"/>
        <v>1.2262211397409051</v>
      </c>
      <c r="W785" s="304">
        <f t="shared" ca="1" si="352"/>
        <v>54.675274167138376</v>
      </c>
      <c r="Y785" s="314" t="str">
        <f t="shared" ca="1" si="370"/>
        <v/>
      </c>
      <c r="Z785" s="315" t="str">
        <f t="shared" ca="1" si="371"/>
        <v/>
      </c>
      <c r="AA785" s="316" t="str">
        <f t="shared" ca="1" si="372"/>
        <v/>
      </c>
      <c r="AC785" s="310" t="e">
        <f t="shared" ca="1" si="373"/>
        <v>#N/A</v>
      </c>
      <c r="AD785" s="323" t="e">
        <f t="shared" ca="1" si="374"/>
        <v>#N/A</v>
      </c>
      <c r="AE785" s="324" t="e">
        <f t="shared" ca="1" si="353"/>
        <v>#N/A</v>
      </c>
      <c r="AG785" s="306">
        <f t="shared" ca="1" si="375"/>
        <v>2.1186058611594385</v>
      </c>
      <c r="AH785" s="304">
        <f t="shared" ca="1" si="376"/>
        <v>-7.646856752824708</v>
      </c>
    </row>
    <row r="786" spans="1:34" x14ac:dyDescent="0.2">
      <c r="A786" s="347">
        <f t="shared" ca="1" si="354"/>
        <v>1E-4</v>
      </c>
      <c r="B786" s="304">
        <f t="shared" ca="1" si="355"/>
        <v>36.723500000001032</v>
      </c>
      <c r="D786" s="306">
        <f t="shared" ca="1" si="356"/>
        <v>-0.72783184689955105</v>
      </c>
      <c r="E786" s="307">
        <f t="shared" ca="1" si="357"/>
        <v>-2.1978248646234162</v>
      </c>
      <c r="F786" s="304">
        <f t="shared" ca="1" si="358"/>
        <v>2.3152048144641868</v>
      </c>
      <c r="G786" s="306">
        <f t="shared" ca="1" si="359"/>
        <v>12.440560696290413</v>
      </c>
      <c r="H786" s="307">
        <f t="shared" ca="1" si="360"/>
        <v>-130.11307654219272</v>
      </c>
      <c r="I786" s="304">
        <f t="shared" ca="1" si="361"/>
        <v>130.7064659368946</v>
      </c>
      <c r="J786" s="306">
        <f t="shared" ca="1" si="362"/>
        <v>889.84792314375909</v>
      </c>
      <c r="K786" s="307">
        <f t="shared" ca="1" si="363"/>
        <v>-9.9765329153971241</v>
      </c>
      <c r="L786" s="304">
        <f t="shared" ca="1" si="348"/>
        <v>889.90384735221448</v>
      </c>
      <c r="M786" s="306">
        <f t="shared" ca="1" si="364"/>
        <v>-1.4754726486108252</v>
      </c>
      <c r="N786" s="304">
        <f t="shared" ca="1" si="365"/>
        <v>-84.538355552389433</v>
      </c>
      <c r="P786" s="310">
        <f t="shared" ca="1" si="366"/>
        <v>23</v>
      </c>
      <c r="Q786" s="304">
        <f t="shared" ca="1" si="367"/>
        <v>0</v>
      </c>
      <c r="R786" s="306">
        <f t="shared" ca="1" si="368"/>
        <v>0</v>
      </c>
      <c r="S786" s="307">
        <f t="shared" ca="1" si="369"/>
        <v>7.150000000000003</v>
      </c>
      <c r="T786" s="304">
        <f t="shared" ca="1" si="349"/>
        <v>70.141500000000036</v>
      </c>
      <c r="U786" s="311">
        <f t="shared" ca="1" si="350"/>
        <v>0</v>
      </c>
      <c r="V786" s="306">
        <f t="shared" ca="1" si="351"/>
        <v>1.2262227352150421</v>
      </c>
      <c r="W786" s="304">
        <f t="shared" ca="1" si="352"/>
        <v>54.675522549690889</v>
      </c>
      <c r="Y786" s="314" t="str">
        <f t="shared" ca="1" si="370"/>
        <v/>
      </c>
      <c r="Z786" s="315" t="str">
        <f t="shared" ca="1" si="371"/>
        <v/>
      </c>
      <c r="AA786" s="316" t="str">
        <f t="shared" ca="1" si="372"/>
        <v/>
      </c>
      <c r="AC786" s="310" t="e">
        <f t="shared" ca="1" si="373"/>
        <v>#N/A</v>
      </c>
      <c r="AD786" s="323" t="e">
        <f t="shared" ca="1" si="374"/>
        <v>#N/A</v>
      </c>
      <c r="AE786" s="324" t="e">
        <f t="shared" ca="1" si="353"/>
        <v>#N/A</v>
      </c>
      <c r="AG786" s="306">
        <f t="shared" ca="1" si="375"/>
        <v>2.1185717890965501</v>
      </c>
      <c r="AH786" s="304">
        <f t="shared" ca="1" si="376"/>
        <v>-7.6468914919074615</v>
      </c>
    </row>
    <row r="787" spans="1:34" x14ac:dyDescent="0.2">
      <c r="A787" s="347">
        <f t="shared" ca="1" si="354"/>
        <v>1E-4</v>
      </c>
      <c r="B787" s="304">
        <f t="shared" ca="1" si="355"/>
        <v>36.723600000001035</v>
      </c>
      <c r="D787" s="306">
        <f t="shared" ca="1" si="356"/>
        <v>-0.72782971547354047</v>
      </c>
      <c r="E787" s="307">
        <f t="shared" ca="1" si="357"/>
        <v>-2.1977897635812118</v>
      </c>
      <c r="F787" s="304">
        <f t="shared" ca="1" si="358"/>
        <v>2.3151708229909631</v>
      </c>
      <c r="G787" s="306">
        <f t="shared" ca="1" si="359"/>
        <v>12.440487913318867</v>
      </c>
      <c r="H787" s="307">
        <f t="shared" ca="1" si="360"/>
        <v>-130.11329632116906</v>
      </c>
      <c r="I787" s="304">
        <f t="shared" ca="1" si="361"/>
        <v>130.70667779069967</v>
      </c>
      <c r="J787" s="306">
        <f t="shared" ca="1" si="362"/>
        <v>889.84792314375909</v>
      </c>
      <c r="K787" s="307">
        <f t="shared" ca="1" si="363"/>
        <v>-9.9895442340402916</v>
      </c>
      <c r="L787" s="304">
        <f t="shared" ca="1" si="348"/>
        <v>889.90399331459639</v>
      </c>
      <c r="M787" s="306">
        <f t="shared" ca="1" si="364"/>
        <v>-1.4754733629658654</v>
      </c>
      <c r="N787" s="304">
        <f t="shared" ca="1" si="365"/>
        <v>-84.538396481918312</v>
      </c>
      <c r="P787" s="310">
        <f t="shared" ca="1" si="366"/>
        <v>23</v>
      </c>
      <c r="Q787" s="304">
        <f t="shared" ca="1" si="367"/>
        <v>0</v>
      </c>
      <c r="R787" s="306">
        <f t="shared" ca="1" si="368"/>
        <v>0</v>
      </c>
      <c r="S787" s="307">
        <f t="shared" ca="1" si="369"/>
        <v>7.150000000000003</v>
      </c>
      <c r="T787" s="304">
        <f t="shared" ca="1" si="349"/>
        <v>70.141500000000036</v>
      </c>
      <c r="U787" s="311">
        <f t="shared" ca="1" si="350"/>
        <v>0</v>
      </c>
      <c r="V787" s="306">
        <f t="shared" ca="1" si="351"/>
        <v>1.2262243306939509</v>
      </c>
      <c r="W787" s="304">
        <f t="shared" ca="1" si="352"/>
        <v>54.675770930354162</v>
      </c>
      <c r="Y787" s="314" t="str">
        <f t="shared" ca="1" si="370"/>
        <v/>
      </c>
      <c r="Z787" s="315" t="str">
        <f t="shared" ca="1" si="371"/>
        <v/>
      </c>
      <c r="AA787" s="316" t="str">
        <f t="shared" ca="1" si="372"/>
        <v/>
      </c>
      <c r="AC787" s="310" t="e">
        <f t="shared" ca="1" si="373"/>
        <v>#N/A</v>
      </c>
      <c r="AD787" s="323" t="e">
        <f t="shared" ca="1" si="374"/>
        <v>#N/A</v>
      </c>
      <c r="AE787" s="324" t="e">
        <f t="shared" ca="1" si="353"/>
        <v>#N/A</v>
      </c>
      <c r="AG787" s="306">
        <f t="shared" ca="1" si="375"/>
        <v>2.1185377172868307</v>
      </c>
      <c r="AH787" s="304">
        <f t="shared" ca="1" si="376"/>
        <v>-7.6469262307259953</v>
      </c>
    </row>
    <row r="788" spans="1:34" x14ac:dyDescent="0.2">
      <c r="A788" s="347">
        <f t="shared" ca="1" si="354"/>
        <v>1E-4</v>
      </c>
      <c r="B788" s="304">
        <f t="shared" ca="1" si="355"/>
        <v>36.723700000001038</v>
      </c>
      <c r="D788" s="306">
        <f t="shared" ca="1" si="356"/>
        <v>-0.72782758402204406</v>
      </c>
      <c r="E788" s="307">
        <f t="shared" ca="1" si="357"/>
        <v>-2.1977546628059272</v>
      </c>
      <c r="F788" s="304">
        <f t="shared" ca="1" si="358"/>
        <v>2.3151368317981897</v>
      </c>
      <c r="G788" s="306">
        <f t="shared" ca="1" si="359"/>
        <v>12.440415130560465</v>
      </c>
      <c r="H788" s="307">
        <f t="shared" ca="1" si="360"/>
        <v>-130.11351609663535</v>
      </c>
      <c r="I788" s="304">
        <f t="shared" ca="1" si="361"/>
        <v>130.7068896410976</v>
      </c>
      <c r="J788" s="306">
        <f t="shared" ca="1" si="362"/>
        <v>889.84792314375909</v>
      </c>
      <c r="K788" s="307">
        <f t="shared" ca="1" si="363"/>
        <v>-10.002555574661182</v>
      </c>
      <c r="L788" s="304">
        <f t="shared" ca="1" si="348"/>
        <v>889.90413946744036</v>
      </c>
      <c r="M788" s="306">
        <f t="shared" ca="1" si="364"/>
        <v>-1.4754740773144108</v>
      </c>
      <c r="N788" s="304">
        <f t="shared" ca="1" si="365"/>
        <v>-84.538437411075066</v>
      </c>
      <c r="P788" s="310">
        <f t="shared" ca="1" si="366"/>
        <v>23</v>
      </c>
      <c r="Q788" s="304">
        <f t="shared" ca="1" si="367"/>
        <v>0</v>
      </c>
      <c r="R788" s="306">
        <f t="shared" ca="1" si="368"/>
        <v>0</v>
      </c>
      <c r="S788" s="307">
        <f t="shared" ca="1" si="369"/>
        <v>7.150000000000003</v>
      </c>
      <c r="T788" s="304">
        <f t="shared" ca="1" si="349"/>
        <v>70.141500000000036</v>
      </c>
      <c r="U788" s="311">
        <f t="shared" ca="1" si="350"/>
        <v>0</v>
      </c>
      <c r="V788" s="306">
        <f t="shared" ca="1" si="351"/>
        <v>1.2262259261776323</v>
      </c>
      <c r="W788" s="304">
        <f t="shared" ca="1" si="352"/>
        <v>54.676019309128257</v>
      </c>
      <c r="Y788" s="314" t="str">
        <f t="shared" ca="1" si="370"/>
        <v/>
      </c>
      <c r="Z788" s="315" t="str">
        <f t="shared" ca="1" si="371"/>
        <v/>
      </c>
      <c r="AA788" s="316" t="str">
        <f t="shared" ca="1" si="372"/>
        <v/>
      </c>
      <c r="AC788" s="310" t="e">
        <f t="shared" ca="1" si="373"/>
        <v>#N/A</v>
      </c>
      <c r="AD788" s="323" t="e">
        <f t="shared" ca="1" si="374"/>
        <v>#N/A</v>
      </c>
      <c r="AE788" s="324" t="e">
        <f t="shared" ca="1" si="353"/>
        <v>#N/A</v>
      </c>
      <c r="AG788" s="306">
        <f t="shared" ca="1" si="375"/>
        <v>2.1185036457302946</v>
      </c>
      <c r="AH788" s="304">
        <f t="shared" ca="1" si="376"/>
        <v>-7.6469609692802987</v>
      </c>
    </row>
    <row r="789" spans="1:34" x14ac:dyDescent="0.2">
      <c r="A789" s="347">
        <f t="shared" ca="1" si="354"/>
        <v>1E-4</v>
      </c>
      <c r="B789" s="304">
        <f t="shared" ca="1" si="355"/>
        <v>36.723800000001042</v>
      </c>
      <c r="D789" s="306">
        <f t="shared" ca="1" si="356"/>
        <v>-0.72782545254506292</v>
      </c>
      <c r="E789" s="307">
        <f t="shared" ca="1" si="357"/>
        <v>-2.1977195622975483</v>
      </c>
      <c r="F789" s="304">
        <f t="shared" ca="1" si="358"/>
        <v>2.3151028408858543</v>
      </c>
      <c r="G789" s="306">
        <f t="shared" ca="1" si="359"/>
        <v>12.440342348015211</v>
      </c>
      <c r="H789" s="307">
        <f t="shared" ca="1" si="360"/>
        <v>-130.11373586859159</v>
      </c>
      <c r="I789" s="304">
        <f t="shared" ca="1" si="361"/>
        <v>130.7071014880884</v>
      </c>
      <c r="J789" s="306">
        <f t="shared" ca="1" si="362"/>
        <v>889.84792314375909</v>
      </c>
      <c r="K789" s="307">
        <f t="shared" ca="1" si="363"/>
        <v>-10.015566937259443</v>
      </c>
      <c r="L789" s="304">
        <f t="shared" ca="1" si="348"/>
        <v>889.90428581074718</v>
      </c>
      <c r="M789" s="306">
        <f t="shared" ca="1" si="364"/>
        <v>-1.4754747916564612</v>
      </c>
      <c r="N789" s="304">
        <f t="shared" ca="1" si="365"/>
        <v>-84.53847833985968</v>
      </c>
      <c r="P789" s="310">
        <f t="shared" ca="1" si="366"/>
        <v>23</v>
      </c>
      <c r="Q789" s="304">
        <f t="shared" ca="1" si="367"/>
        <v>0</v>
      </c>
      <c r="R789" s="306">
        <f t="shared" ca="1" si="368"/>
        <v>0</v>
      </c>
      <c r="S789" s="307">
        <f t="shared" ca="1" si="369"/>
        <v>7.150000000000003</v>
      </c>
      <c r="T789" s="304">
        <f t="shared" ca="1" si="349"/>
        <v>70.141500000000036</v>
      </c>
      <c r="U789" s="311">
        <f t="shared" ca="1" si="350"/>
        <v>0</v>
      </c>
      <c r="V789" s="306">
        <f t="shared" ca="1" si="351"/>
        <v>1.226227521666085</v>
      </c>
      <c r="W789" s="304">
        <f t="shared" ca="1" si="352"/>
        <v>54.676267686013105</v>
      </c>
      <c r="Y789" s="314" t="str">
        <f t="shared" ca="1" si="370"/>
        <v/>
      </c>
      <c r="Z789" s="315" t="str">
        <f t="shared" ca="1" si="371"/>
        <v/>
      </c>
      <c r="AA789" s="316" t="str">
        <f t="shared" ca="1" si="372"/>
        <v/>
      </c>
      <c r="AC789" s="310" t="e">
        <f t="shared" ca="1" si="373"/>
        <v>#N/A</v>
      </c>
      <c r="AD789" s="323" t="e">
        <f t="shared" ca="1" si="374"/>
        <v>#N/A</v>
      </c>
      <c r="AE789" s="324" t="e">
        <f t="shared" ca="1" si="353"/>
        <v>#N/A</v>
      </c>
      <c r="AG789" s="306">
        <f t="shared" ca="1" si="375"/>
        <v>2.1184695744269328</v>
      </c>
      <c r="AH789" s="304">
        <f t="shared" ca="1" si="376"/>
        <v>-7.6469957075703823</v>
      </c>
    </row>
    <row r="790" spans="1:34" x14ac:dyDescent="0.2">
      <c r="A790" s="347">
        <f t="shared" ca="1" si="354"/>
        <v>1E-4</v>
      </c>
      <c r="B790" s="304">
        <f t="shared" ca="1" si="355"/>
        <v>36.723900000001045</v>
      </c>
      <c r="D790" s="306">
        <f t="shared" ca="1" si="356"/>
        <v>-0.72782332104259839</v>
      </c>
      <c r="E790" s="307">
        <f t="shared" ca="1" si="357"/>
        <v>-2.1976844620560909</v>
      </c>
      <c r="F790" s="304">
        <f t="shared" ca="1" si="358"/>
        <v>2.3150688502539718</v>
      </c>
      <c r="G790" s="306">
        <f t="shared" ca="1" si="359"/>
        <v>12.440269565683106</v>
      </c>
      <c r="H790" s="307">
        <f t="shared" ca="1" si="360"/>
        <v>-130.1139556370378</v>
      </c>
      <c r="I790" s="304">
        <f t="shared" ca="1" si="361"/>
        <v>130.70731333167208</v>
      </c>
      <c r="J790" s="306">
        <f t="shared" ca="1" si="362"/>
        <v>889.84792314375909</v>
      </c>
      <c r="K790" s="307">
        <f t="shared" ca="1" si="363"/>
        <v>-10.028578321834724</v>
      </c>
      <c r="L790" s="304">
        <f t="shared" ca="1" si="348"/>
        <v>889.90443234451789</v>
      </c>
      <c r="M790" s="306">
        <f t="shared" ca="1" si="364"/>
        <v>-1.4754755059920168</v>
      </c>
      <c r="N790" s="304">
        <f t="shared" ca="1" si="365"/>
        <v>-84.538519268272168</v>
      </c>
      <c r="P790" s="310">
        <f t="shared" ca="1" si="366"/>
        <v>23</v>
      </c>
      <c r="Q790" s="304">
        <f t="shared" ca="1" si="367"/>
        <v>0</v>
      </c>
      <c r="R790" s="306">
        <f t="shared" ca="1" si="368"/>
        <v>0</v>
      </c>
      <c r="S790" s="307">
        <f t="shared" ca="1" si="369"/>
        <v>7.150000000000003</v>
      </c>
      <c r="T790" s="304">
        <f t="shared" ca="1" si="349"/>
        <v>70.141500000000036</v>
      </c>
      <c r="U790" s="311">
        <f t="shared" ca="1" si="350"/>
        <v>0</v>
      </c>
      <c r="V790" s="306">
        <f t="shared" ca="1" si="351"/>
        <v>1.2262291171593098</v>
      </c>
      <c r="W790" s="304">
        <f t="shared" ca="1" si="352"/>
        <v>54.676516061008741</v>
      </c>
      <c r="Y790" s="314" t="str">
        <f t="shared" ca="1" si="370"/>
        <v/>
      </c>
      <c r="Z790" s="315" t="str">
        <f t="shared" ca="1" si="371"/>
        <v/>
      </c>
      <c r="AA790" s="316" t="str">
        <f t="shared" ca="1" si="372"/>
        <v/>
      </c>
      <c r="AC790" s="310" t="e">
        <f t="shared" ca="1" si="373"/>
        <v>#N/A</v>
      </c>
      <c r="AD790" s="323" t="e">
        <f t="shared" ca="1" si="374"/>
        <v>#N/A</v>
      </c>
      <c r="AE790" s="324" t="e">
        <f t="shared" ca="1" si="353"/>
        <v>#N/A</v>
      </c>
      <c r="AG790" s="306">
        <f t="shared" ca="1" si="375"/>
        <v>2.1184355033767526</v>
      </c>
      <c r="AH790" s="304">
        <f t="shared" ca="1" si="376"/>
        <v>-7.6470304455962355</v>
      </c>
    </row>
    <row r="791" spans="1:34" x14ac:dyDescent="0.2">
      <c r="A791" s="347">
        <f t="shared" ca="1" si="354"/>
        <v>1E-4</v>
      </c>
      <c r="B791" s="304">
        <f t="shared" ca="1" si="355"/>
        <v>36.724000000001048</v>
      </c>
      <c r="D791" s="306">
        <f t="shared" ca="1" si="356"/>
        <v>-0.7278211895146508</v>
      </c>
      <c r="E791" s="307">
        <f t="shared" ca="1" si="357"/>
        <v>-2.1976493620815454</v>
      </c>
      <c r="F791" s="304">
        <f t="shared" ca="1" si="358"/>
        <v>2.3150348599025339</v>
      </c>
      <c r="G791" s="306">
        <f t="shared" ca="1" si="359"/>
        <v>12.440196783564154</v>
      </c>
      <c r="H791" s="307">
        <f t="shared" ca="1" si="360"/>
        <v>-130.11417540197402</v>
      </c>
      <c r="I791" s="304">
        <f t="shared" ca="1" si="361"/>
        <v>130.70752517184872</v>
      </c>
      <c r="J791" s="306">
        <f t="shared" ca="1" si="362"/>
        <v>889.84792314375909</v>
      </c>
      <c r="K791" s="307">
        <f t="shared" ca="1" si="363"/>
        <v>-10.041589728386674</v>
      </c>
      <c r="L791" s="304">
        <f t="shared" ca="1" si="348"/>
        <v>889.90457906875304</v>
      </c>
      <c r="M791" s="306">
        <f t="shared" ca="1" si="364"/>
        <v>-1.4754762203210778</v>
      </c>
      <c r="N791" s="304">
        <f t="shared" ca="1" si="365"/>
        <v>-84.538560196312545</v>
      </c>
      <c r="P791" s="310">
        <f t="shared" ca="1" si="366"/>
        <v>23</v>
      </c>
      <c r="Q791" s="304">
        <f t="shared" ca="1" si="367"/>
        <v>0</v>
      </c>
      <c r="R791" s="306">
        <f t="shared" ca="1" si="368"/>
        <v>0</v>
      </c>
      <c r="S791" s="307">
        <f t="shared" ca="1" si="369"/>
        <v>7.150000000000003</v>
      </c>
      <c r="T791" s="304">
        <f t="shared" ca="1" si="349"/>
        <v>70.141500000000036</v>
      </c>
      <c r="U791" s="311">
        <f t="shared" ca="1" si="350"/>
        <v>0</v>
      </c>
      <c r="V791" s="306">
        <f t="shared" ca="1" si="351"/>
        <v>1.2262307126573064</v>
      </c>
      <c r="W791" s="304">
        <f t="shared" ca="1" si="352"/>
        <v>54.676764434115185</v>
      </c>
      <c r="Y791" s="314" t="str">
        <f t="shared" ca="1" si="370"/>
        <v/>
      </c>
      <c r="Z791" s="315" t="str">
        <f t="shared" ca="1" si="371"/>
        <v/>
      </c>
      <c r="AA791" s="316" t="str">
        <f t="shared" ca="1" si="372"/>
        <v/>
      </c>
      <c r="AC791" s="310" t="e">
        <f t="shared" ca="1" si="373"/>
        <v>#N/A</v>
      </c>
      <c r="AD791" s="323" t="e">
        <f t="shared" ca="1" si="374"/>
        <v>#N/A</v>
      </c>
      <c r="AE791" s="324" t="e">
        <f t="shared" ca="1" si="353"/>
        <v>#N/A</v>
      </c>
      <c r="AG791" s="306">
        <f t="shared" ca="1" si="375"/>
        <v>2.1184014325797493</v>
      </c>
      <c r="AH791" s="304">
        <f t="shared" ca="1" si="376"/>
        <v>-7.6470651833578627</v>
      </c>
    </row>
    <row r="792" spans="1:34" x14ac:dyDescent="0.2">
      <c r="A792" s="347">
        <f t="shared" ca="1" si="354"/>
        <v>1E-4</v>
      </c>
      <c r="B792" s="304">
        <f t="shared" ca="1" si="355"/>
        <v>36.724100000001052</v>
      </c>
      <c r="D792" s="306">
        <f t="shared" ca="1" si="356"/>
        <v>-0.72781905796121993</v>
      </c>
      <c r="E792" s="307">
        <f t="shared" ca="1" si="357"/>
        <v>-2.1976142623739126</v>
      </c>
      <c r="F792" s="304">
        <f t="shared" ca="1" si="358"/>
        <v>2.3150008698315414</v>
      </c>
      <c r="G792" s="306">
        <f t="shared" ca="1" si="359"/>
        <v>12.440124001658358</v>
      </c>
      <c r="H792" s="307">
        <f t="shared" ca="1" si="360"/>
        <v>-130.11439516340027</v>
      </c>
      <c r="I792" s="304">
        <f t="shared" ca="1" si="361"/>
        <v>130.70773700861827</v>
      </c>
      <c r="J792" s="306">
        <f t="shared" ca="1" si="362"/>
        <v>889.84792314375909</v>
      </c>
      <c r="K792" s="307">
        <f t="shared" ca="1" si="363"/>
        <v>-10.054601156914943</v>
      </c>
      <c r="L792" s="304">
        <f t="shared" ca="1" si="348"/>
        <v>889.90472598345389</v>
      </c>
      <c r="M792" s="306">
        <f t="shared" ca="1" si="364"/>
        <v>-1.475476934643644</v>
      </c>
      <c r="N792" s="304">
        <f t="shared" ca="1" si="365"/>
        <v>-84.538601123980811</v>
      </c>
      <c r="P792" s="310">
        <f t="shared" ca="1" si="366"/>
        <v>23</v>
      </c>
      <c r="Q792" s="304">
        <f t="shared" ca="1" si="367"/>
        <v>0</v>
      </c>
      <c r="R792" s="306">
        <f t="shared" ca="1" si="368"/>
        <v>0</v>
      </c>
      <c r="S792" s="307">
        <f t="shared" ca="1" si="369"/>
        <v>7.150000000000003</v>
      </c>
      <c r="T792" s="304">
        <f t="shared" ca="1" si="349"/>
        <v>70.141500000000036</v>
      </c>
      <c r="U792" s="311">
        <f t="shared" ca="1" si="350"/>
        <v>0</v>
      </c>
      <c r="V792" s="306">
        <f t="shared" ca="1" si="351"/>
        <v>1.226232308160075</v>
      </c>
      <c r="W792" s="304">
        <f t="shared" ca="1" si="352"/>
        <v>54.677012805332375</v>
      </c>
      <c r="Y792" s="314" t="str">
        <f t="shared" ca="1" si="370"/>
        <v/>
      </c>
      <c r="Z792" s="315" t="str">
        <f t="shared" ca="1" si="371"/>
        <v/>
      </c>
      <c r="AA792" s="316" t="str">
        <f t="shared" ca="1" si="372"/>
        <v/>
      </c>
      <c r="AC792" s="310" t="e">
        <f t="shared" ca="1" si="373"/>
        <v>#N/A</v>
      </c>
      <c r="AD792" s="323" t="e">
        <f t="shared" ca="1" si="374"/>
        <v>#N/A</v>
      </c>
      <c r="AE792" s="324" t="e">
        <f t="shared" ca="1" si="353"/>
        <v>#N/A</v>
      </c>
      <c r="AG792" s="306">
        <f t="shared" ca="1" si="375"/>
        <v>2.1183673620359231</v>
      </c>
      <c r="AH792" s="304">
        <f t="shared" ca="1" si="376"/>
        <v>-7.6470999208552675</v>
      </c>
    </row>
    <row r="793" spans="1:34" x14ac:dyDescent="0.2">
      <c r="A793" s="347">
        <f t="shared" ca="1" si="354"/>
        <v>1E-4</v>
      </c>
      <c r="B793" s="304">
        <f t="shared" ca="1" si="355"/>
        <v>36.724200000001055</v>
      </c>
      <c r="D793" s="306">
        <f t="shared" ca="1" si="356"/>
        <v>-0.72781692638230799</v>
      </c>
      <c r="E793" s="307">
        <f t="shared" ca="1" si="357"/>
        <v>-2.1975791629331987</v>
      </c>
      <c r="F793" s="304">
        <f t="shared" ca="1" si="358"/>
        <v>2.3149668800410015</v>
      </c>
      <c r="G793" s="306">
        <f t="shared" ca="1" si="359"/>
        <v>12.440051219965719</v>
      </c>
      <c r="H793" s="307">
        <f t="shared" ca="1" si="360"/>
        <v>-130.11461492131656</v>
      </c>
      <c r="I793" s="304">
        <f t="shared" ca="1" si="361"/>
        <v>130.70794884198079</v>
      </c>
      <c r="J793" s="306">
        <f t="shared" ca="1" si="362"/>
        <v>889.84792314375909</v>
      </c>
      <c r="K793" s="307">
        <f t="shared" ca="1" si="363"/>
        <v>-10.067612607419179</v>
      </c>
      <c r="L793" s="304">
        <f t="shared" ca="1" si="348"/>
        <v>889.90487308862089</v>
      </c>
      <c r="M793" s="306">
        <f t="shared" ca="1" si="364"/>
        <v>-1.4754776489597159</v>
      </c>
      <c r="N793" s="304">
        <f t="shared" ca="1" si="365"/>
        <v>-84.538642051276966</v>
      </c>
      <c r="P793" s="310">
        <f t="shared" ca="1" si="366"/>
        <v>23</v>
      </c>
      <c r="Q793" s="304">
        <f t="shared" ca="1" si="367"/>
        <v>0</v>
      </c>
      <c r="R793" s="306">
        <f t="shared" ca="1" si="368"/>
        <v>0</v>
      </c>
      <c r="S793" s="307">
        <f t="shared" ca="1" si="369"/>
        <v>7.150000000000003</v>
      </c>
      <c r="T793" s="304">
        <f t="shared" ca="1" si="349"/>
        <v>70.141500000000036</v>
      </c>
      <c r="U793" s="311">
        <f t="shared" ca="1" si="350"/>
        <v>0</v>
      </c>
      <c r="V793" s="306">
        <f t="shared" ca="1" si="351"/>
        <v>1.2262339036676149</v>
      </c>
      <c r="W793" s="304">
        <f t="shared" ca="1" si="352"/>
        <v>54.67726117466033</v>
      </c>
      <c r="Y793" s="314" t="str">
        <f t="shared" ca="1" si="370"/>
        <v/>
      </c>
      <c r="Z793" s="315" t="str">
        <f t="shared" ca="1" si="371"/>
        <v/>
      </c>
      <c r="AA793" s="316" t="str">
        <f t="shared" ca="1" si="372"/>
        <v/>
      </c>
      <c r="AC793" s="310" t="e">
        <f t="shared" ca="1" si="373"/>
        <v>#N/A</v>
      </c>
      <c r="AD793" s="323" t="e">
        <f t="shared" ca="1" si="374"/>
        <v>#N/A</v>
      </c>
      <c r="AE793" s="324" t="e">
        <f t="shared" ca="1" si="353"/>
        <v>#N/A</v>
      </c>
      <c r="AG793" s="306">
        <f t="shared" ca="1" si="375"/>
        <v>2.1183332917452811</v>
      </c>
      <c r="AH793" s="304">
        <f t="shared" ca="1" si="376"/>
        <v>-7.647134658088441</v>
      </c>
    </row>
    <row r="794" spans="1:34" x14ac:dyDescent="0.2">
      <c r="A794" s="347">
        <f t="shared" ca="1" si="354"/>
        <v>1E-4</v>
      </c>
      <c r="B794" s="304">
        <f t="shared" ca="1" si="355"/>
        <v>36.724300000001058</v>
      </c>
      <c r="D794" s="306">
        <f t="shared" ca="1" si="356"/>
        <v>-0.727814794777913</v>
      </c>
      <c r="E794" s="307">
        <f t="shared" ca="1" si="357"/>
        <v>-2.1975440637594019</v>
      </c>
      <c r="F794" s="304">
        <f t="shared" ca="1" si="358"/>
        <v>2.3149328905309114</v>
      </c>
      <c r="G794" s="306">
        <f t="shared" ca="1" si="359"/>
        <v>12.439978438486241</v>
      </c>
      <c r="H794" s="307">
        <f t="shared" ca="1" si="360"/>
        <v>-130.11483467572293</v>
      </c>
      <c r="I794" s="304">
        <f t="shared" ca="1" si="361"/>
        <v>130.7081606719363</v>
      </c>
      <c r="J794" s="306">
        <f t="shared" ca="1" si="362"/>
        <v>889.84792314375909</v>
      </c>
      <c r="K794" s="307">
        <f t="shared" ca="1" si="363"/>
        <v>-10.08062407989903</v>
      </c>
      <c r="L794" s="304">
        <f t="shared" ca="1" si="348"/>
        <v>889.90502038425518</v>
      </c>
      <c r="M794" s="306">
        <f t="shared" ca="1" si="364"/>
        <v>-1.4754783632692934</v>
      </c>
      <c r="N794" s="304">
        <f t="shared" ca="1" si="365"/>
        <v>-84.538682978201024</v>
      </c>
      <c r="P794" s="310">
        <f t="shared" ca="1" si="366"/>
        <v>23</v>
      </c>
      <c r="Q794" s="304">
        <f t="shared" ca="1" si="367"/>
        <v>0</v>
      </c>
      <c r="R794" s="306">
        <f t="shared" ca="1" si="368"/>
        <v>0</v>
      </c>
      <c r="S794" s="307">
        <f t="shared" ca="1" si="369"/>
        <v>7.150000000000003</v>
      </c>
      <c r="T794" s="304">
        <f t="shared" ca="1" si="349"/>
        <v>70.141500000000036</v>
      </c>
      <c r="U794" s="311">
        <f t="shared" ca="1" si="350"/>
        <v>0</v>
      </c>
      <c r="V794" s="306">
        <f t="shared" ca="1" si="351"/>
        <v>1.2262354991799269</v>
      </c>
      <c r="W794" s="304">
        <f t="shared" ca="1" si="352"/>
        <v>54.67750954209906</v>
      </c>
      <c r="Y794" s="314" t="str">
        <f t="shared" ca="1" si="370"/>
        <v/>
      </c>
      <c r="Z794" s="315" t="str">
        <f t="shared" ca="1" si="371"/>
        <v/>
      </c>
      <c r="AA794" s="316" t="str">
        <f t="shared" ca="1" si="372"/>
        <v/>
      </c>
      <c r="AC794" s="310" t="e">
        <f t="shared" ca="1" si="373"/>
        <v>#N/A</v>
      </c>
      <c r="AD794" s="323" t="e">
        <f t="shared" ca="1" si="374"/>
        <v>#N/A</v>
      </c>
      <c r="AE794" s="324" t="e">
        <f t="shared" ca="1" si="353"/>
        <v>#N/A</v>
      </c>
      <c r="AG794" s="306">
        <f t="shared" ca="1" si="375"/>
        <v>2.1182992217078223</v>
      </c>
      <c r="AH794" s="304">
        <f t="shared" ca="1" si="376"/>
        <v>-7.6471693950573858</v>
      </c>
    </row>
    <row r="795" spans="1:34" x14ac:dyDescent="0.2">
      <c r="A795" s="347">
        <f t="shared" ca="1" si="354"/>
        <v>1E-4</v>
      </c>
      <c r="B795" s="304">
        <f t="shared" ca="1" si="355"/>
        <v>36.724400000001062</v>
      </c>
      <c r="D795" s="306">
        <f t="shared" ca="1" si="356"/>
        <v>-0.72781266314803628</v>
      </c>
      <c r="E795" s="307">
        <f t="shared" ca="1" si="357"/>
        <v>-2.1975089648525206</v>
      </c>
      <c r="F795" s="304">
        <f t="shared" ca="1" si="358"/>
        <v>2.3148989013012713</v>
      </c>
      <c r="G795" s="306">
        <f t="shared" ca="1" si="359"/>
        <v>12.439905657219926</v>
      </c>
      <c r="H795" s="307">
        <f t="shared" ca="1" si="360"/>
        <v>-130.11505442661942</v>
      </c>
      <c r="I795" s="304">
        <f t="shared" ca="1" si="361"/>
        <v>130.70837249848483</v>
      </c>
      <c r="J795" s="306">
        <f t="shared" ca="1" si="362"/>
        <v>889.84792314375909</v>
      </c>
      <c r="K795" s="307">
        <f t="shared" ca="1" si="363"/>
        <v>-10.093635574354147</v>
      </c>
      <c r="L795" s="304">
        <f t="shared" ca="1" si="348"/>
        <v>889.90516787035756</v>
      </c>
      <c r="M795" s="306">
        <f t="shared" ca="1" si="364"/>
        <v>-1.4754790775723763</v>
      </c>
      <c r="N795" s="304">
        <f t="shared" ca="1" si="365"/>
        <v>-84.538723904752956</v>
      </c>
      <c r="P795" s="310">
        <f t="shared" ca="1" si="366"/>
        <v>23</v>
      </c>
      <c r="Q795" s="304">
        <f t="shared" ca="1" si="367"/>
        <v>0</v>
      </c>
      <c r="R795" s="306">
        <f t="shared" ca="1" si="368"/>
        <v>0</v>
      </c>
      <c r="S795" s="307">
        <f t="shared" ca="1" si="369"/>
        <v>7.150000000000003</v>
      </c>
      <c r="T795" s="304">
        <f t="shared" ca="1" si="349"/>
        <v>70.141500000000036</v>
      </c>
      <c r="U795" s="311">
        <f t="shared" ca="1" si="350"/>
        <v>0</v>
      </c>
      <c r="V795" s="306">
        <f t="shared" ca="1" si="351"/>
        <v>1.2262370946970107</v>
      </c>
      <c r="W795" s="304">
        <f t="shared" ca="1" si="352"/>
        <v>54.677757907648562</v>
      </c>
      <c r="Y795" s="314" t="str">
        <f t="shared" ca="1" si="370"/>
        <v/>
      </c>
      <c r="Z795" s="315" t="str">
        <f t="shared" ca="1" si="371"/>
        <v/>
      </c>
      <c r="AA795" s="316" t="str">
        <f t="shared" ca="1" si="372"/>
        <v/>
      </c>
      <c r="AC795" s="310" t="e">
        <f t="shared" ca="1" si="373"/>
        <v>#N/A</v>
      </c>
      <c r="AD795" s="323" t="e">
        <f t="shared" ca="1" si="374"/>
        <v>#N/A</v>
      </c>
      <c r="AE795" s="324" t="e">
        <f t="shared" ca="1" si="353"/>
        <v>#N/A</v>
      </c>
      <c r="AG795" s="306">
        <f t="shared" ca="1" si="375"/>
        <v>2.118265151923544</v>
      </c>
      <c r="AH795" s="304">
        <f t="shared" ca="1" si="376"/>
        <v>-7.6472041317621029</v>
      </c>
    </row>
    <row r="796" spans="1:34" x14ac:dyDescent="0.2">
      <c r="A796" s="347">
        <f t="shared" ca="1" si="354"/>
        <v>1E-4</v>
      </c>
      <c r="B796" s="304">
        <f t="shared" ca="1" si="355"/>
        <v>36.724500000001065</v>
      </c>
      <c r="D796" s="306">
        <f t="shared" ca="1" si="356"/>
        <v>-0.72781053149268082</v>
      </c>
      <c r="E796" s="307">
        <f t="shared" ca="1" si="357"/>
        <v>-2.1974738662125564</v>
      </c>
      <c r="F796" s="304">
        <f t="shared" ca="1" si="358"/>
        <v>2.3148649123520832</v>
      </c>
      <c r="G796" s="306">
        <f t="shared" ca="1" si="359"/>
        <v>12.439832876166777</v>
      </c>
      <c r="H796" s="307">
        <f t="shared" ca="1" si="360"/>
        <v>-130.11527417400603</v>
      </c>
      <c r="I796" s="304">
        <f t="shared" ca="1" si="361"/>
        <v>130.7085843216264</v>
      </c>
      <c r="J796" s="306">
        <f t="shared" ca="1" si="362"/>
        <v>889.84792314375909</v>
      </c>
      <c r="K796" s="307">
        <f t="shared" ca="1" si="363"/>
        <v>-10.106647090784179</v>
      </c>
      <c r="L796" s="304">
        <f t="shared" ca="1" si="348"/>
        <v>889.90531554692882</v>
      </c>
      <c r="M796" s="306">
        <f t="shared" ca="1" si="364"/>
        <v>-1.4754797918689651</v>
      </c>
      <c r="N796" s="304">
        <f t="shared" ca="1" si="365"/>
        <v>-84.53876483093282</v>
      </c>
      <c r="P796" s="310">
        <f t="shared" ca="1" si="366"/>
        <v>23</v>
      </c>
      <c r="Q796" s="304">
        <f t="shared" ca="1" si="367"/>
        <v>0</v>
      </c>
      <c r="R796" s="306">
        <f t="shared" ca="1" si="368"/>
        <v>0</v>
      </c>
      <c r="S796" s="307">
        <f t="shared" ca="1" si="369"/>
        <v>7.150000000000003</v>
      </c>
      <c r="T796" s="304">
        <f t="shared" ca="1" si="349"/>
        <v>70.141500000000036</v>
      </c>
      <c r="U796" s="311">
        <f t="shared" ca="1" si="350"/>
        <v>0</v>
      </c>
      <c r="V796" s="306">
        <f t="shared" ca="1" si="351"/>
        <v>1.2262386902188658</v>
      </c>
      <c r="W796" s="304">
        <f t="shared" ca="1" si="352"/>
        <v>54.67800627130881</v>
      </c>
      <c r="Y796" s="314" t="str">
        <f t="shared" ca="1" si="370"/>
        <v/>
      </c>
      <c r="Z796" s="315" t="str">
        <f t="shared" ca="1" si="371"/>
        <v/>
      </c>
      <c r="AA796" s="316" t="str">
        <f t="shared" ca="1" si="372"/>
        <v/>
      </c>
      <c r="AC796" s="310" t="e">
        <f t="shared" ca="1" si="373"/>
        <v>#N/A</v>
      </c>
      <c r="AD796" s="323" t="e">
        <f t="shared" ca="1" si="374"/>
        <v>#N/A</v>
      </c>
      <c r="AE796" s="324" t="e">
        <f t="shared" ca="1" si="353"/>
        <v>#N/A</v>
      </c>
      <c r="AG796" s="306">
        <f t="shared" ca="1" si="375"/>
        <v>2.1182310823924455</v>
      </c>
      <c r="AH796" s="304">
        <f t="shared" ca="1" si="376"/>
        <v>-7.6472388682025931</v>
      </c>
    </row>
    <row r="797" spans="1:34" x14ac:dyDescent="0.2">
      <c r="A797" s="347">
        <f t="shared" ca="1" si="354"/>
        <v>1E-4</v>
      </c>
      <c r="B797" s="304">
        <f t="shared" ca="1" si="355"/>
        <v>36.724600000001068</v>
      </c>
      <c r="D797" s="306">
        <f t="shared" ca="1" si="356"/>
        <v>-0.72780839981184409</v>
      </c>
      <c r="E797" s="307">
        <f t="shared" ca="1" si="357"/>
        <v>-2.1974387678395111</v>
      </c>
      <c r="F797" s="304">
        <f t="shared" ca="1" si="358"/>
        <v>2.3148309236833491</v>
      </c>
      <c r="G797" s="306">
        <f t="shared" ca="1" si="359"/>
        <v>12.439760095326797</v>
      </c>
      <c r="H797" s="307">
        <f t="shared" ca="1" si="360"/>
        <v>-130.11549391788282</v>
      </c>
      <c r="I797" s="304">
        <f t="shared" ca="1" si="361"/>
        <v>130.70879614136106</v>
      </c>
      <c r="J797" s="306">
        <f t="shared" ca="1" si="362"/>
        <v>889.84792314375909</v>
      </c>
      <c r="K797" s="307">
        <f t="shared" ca="1" si="363"/>
        <v>-10.119658629188773</v>
      </c>
      <c r="L797" s="304">
        <f t="shared" ca="1" si="348"/>
        <v>889.90546341396998</v>
      </c>
      <c r="M797" s="306">
        <f t="shared" ca="1" si="364"/>
        <v>-1.4754805061590595</v>
      </c>
      <c r="N797" s="304">
        <f t="shared" ca="1" si="365"/>
        <v>-84.538805756740572</v>
      </c>
      <c r="P797" s="310">
        <f t="shared" ca="1" si="366"/>
        <v>23</v>
      </c>
      <c r="Q797" s="304">
        <f t="shared" ca="1" si="367"/>
        <v>0</v>
      </c>
      <c r="R797" s="306">
        <f t="shared" ca="1" si="368"/>
        <v>0</v>
      </c>
      <c r="S797" s="307">
        <f t="shared" ca="1" si="369"/>
        <v>7.150000000000003</v>
      </c>
      <c r="T797" s="304">
        <f t="shared" ca="1" si="349"/>
        <v>70.141500000000036</v>
      </c>
      <c r="U797" s="311">
        <f t="shared" ca="1" si="350"/>
        <v>0</v>
      </c>
      <c r="V797" s="306">
        <f t="shared" ca="1" si="351"/>
        <v>1.226240285745493</v>
      </c>
      <c r="W797" s="304">
        <f t="shared" ca="1" si="352"/>
        <v>54.678254633079867</v>
      </c>
      <c r="Y797" s="314" t="str">
        <f t="shared" ca="1" si="370"/>
        <v/>
      </c>
      <c r="Z797" s="315" t="str">
        <f t="shared" ca="1" si="371"/>
        <v/>
      </c>
      <c r="AA797" s="316" t="str">
        <f t="shared" ca="1" si="372"/>
        <v/>
      </c>
      <c r="AC797" s="310" t="e">
        <f t="shared" ca="1" si="373"/>
        <v>#N/A</v>
      </c>
      <c r="AD797" s="323" t="e">
        <f t="shared" ca="1" si="374"/>
        <v>#N/A</v>
      </c>
      <c r="AE797" s="324" t="e">
        <f t="shared" ca="1" si="353"/>
        <v>#N/A</v>
      </c>
      <c r="AG797" s="306">
        <f t="shared" ca="1" si="375"/>
        <v>2.1181970131145356</v>
      </c>
      <c r="AH797" s="304">
        <f t="shared" ca="1" si="376"/>
        <v>-7.6472736043788512</v>
      </c>
    </row>
    <row r="798" spans="1:34" x14ac:dyDescent="0.2">
      <c r="A798" s="347">
        <f t="shared" ca="1" si="354"/>
        <v>1E-4</v>
      </c>
      <c r="B798" s="304">
        <f t="shared" ca="1" si="355"/>
        <v>36.724700000001071</v>
      </c>
      <c r="D798" s="306">
        <f t="shared" ca="1" si="356"/>
        <v>-0.72780626810552973</v>
      </c>
      <c r="E798" s="307">
        <f t="shared" ca="1" si="357"/>
        <v>-2.1974036697333776</v>
      </c>
      <c r="F798" s="304">
        <f t="shared" ca="1" si="358"/>
        <v>2.3147969352950626</v>
      </c>
      <c r="G798" s="306">
        <f t="shared" ca="1" si="359"/>
        <v>12.439687314699986</v>
      </c>
      <c r="H798" s="307">
        <f t="shared" ca="1" si="360"/>
        <v>-130.1157136582498</v>
      </c>
      <c r="I798" s="304">
        <f t="shared" ca="1" si="361"/>
        <v>130.70900795768884</v>
      </c>
      <c r="J798" s="306">
        <f t="shared" ca="1" si="362"/>
        <v>889.84792314375909</v>
      </c>
      <c r="K798" s="307">
        <f t="shared" ca="1" si="363"/>
        <v>-10.13267018956758</v>
      </c>
      <c r="L798" s="304">
        <f t="shared" ca="1" si="348"/>
        <v>889.90561147148185</v>
      </c>
      <c r="M798" s="306">
        <f t="shared" ca="1" si="364"/>
        <v>-1.4754812204426599</v>
      </c>
      <c r="N798" s="304">
        <f t="shared" ca="1" si="365"/>
        <v>-84.538846682176256</v>
      </c>
      <c r="P798" s="310">
        <f t="shared" ca="1" si="366"/>
        <v>23</v>
      </c>
      <c r="Q798" s="304">
        <f t="shared" ca="1" si="367"/>
        <v>0</v>
      </c>
      <c r="R798" s="306">
        <f t="shared" ca="1" si="368"/>
        <v>0</v>
      </c>
      <c r="S798" s="307">
        <f t="shared" ca="1" si="369"/>
        <v>7.150000000000003</v>
      </c>
      <c r="T798" s="304">
        <f t="shared" ca="1" si="349"/>
        <v>70.141500000000036</v>
      </c>
      <c r="U798" s="311">
        <f t="shared" ca="1" si="350"/>
        <v>0</v>
      </c>
      <c r="V798" s="306">
        <f t="shared" ca="1" si="351"/>
        <v>1.2262418812768916</v>
      </c>
      <c r="W798" s="304">
        <f t="shared" ca="1" si="352"/>
        <v>54.678502992961683</v>
      </c>
      <c r="Y798" s="314" t="str">
        <f t="shared" ca="1" si="370"/>
        <v/>
      </c>
      <c r="Z798" s="315" t="str">
        <f t="shared" ca="1" si="371"/>
        <v/>
      </c>
      <c r="AA798" s="316" t="str">
        <f t="shared" ca="1" si="372"/>
        <v/>
      </c>
      <c r="AC798" s="310" t="e">
        <f t="shared" ca="1" si="373"/>
        <v>#N/A</v>
      </c>
      <c r="AD798" s="323" t="e">
        <f t="shared" ca="1" si="374"/>
        <v>#N/A</v>
      </c>
      <c r="AE798" s="324" t="e">
        <f t="shared" ca="1" si="353"/>
        <v>#N/A</v>
      </c>
      <c r="AG798" s="306">
        <f t="shared" ca="1" si="375"/>
        <v>2.1181629440897991</v>
      </c>
      <c r="AH798" s="304">
        <f t="shared" ca="1" si="376"/>
        <v>-7.6473083402908868</v>
      </c>
    </row>
    <row r="799" spans="1:34" x14ac:dyDescent="0.2">
      <c r="A799" s="347">
        <f t="shared" ca="1" si="354"/>
        <v>1E-4</v>
      </c>
      <c r="B799" s="304">
        <f t="shared" ca="1" si="355"/>
        <v>36.724800000001075</v>
      </c>
      <c r="D799" s="306">
        <f t="shared" ca="1" si="356"/>
        <v>-0.72780413637373531</v>
      </c>
      <c r="E799" s="307">
        <f t="shared" ca="1" si="357"/>
        <v>-2.1973685718941605</v>
      </c>
      <c r="F799" s="304">
        <f t="shared" ca="1" si="358"/>
        <v>2.3147629471872277</v>
      </c>
      <c r="G799" s="306">
        <f t="shared" ca="1" si="359"/>
        <v>12.439614534286349</v>
      </c>
      <c r="H799" s="307">
        <f t="shared" ca="1" si="360"/>
        <v>-130.11593339510699</v>
      </c>
      <c r="I799" s="304">
        <f t="shared" ca="1" si="361"/>
        <v>130.70921977060971</v>
      </c>
      <c r="J799" s="306">
        <f t="shared" ca="1" si="362"/>
        <v>889.84792314375909</v>
      </c>
      <c r="K799" s="307">
        <f t="shared" ca="1" si="363"/>
        <v>-10.145681771920248</v>
      </c>
      <c r="L799" s="304">
        <f t="shared" ca="1" si="348"/>
        <v>889.9057597194651</v>
      </c>
      <c r="M799" s="306">
        <f t="shared" ca="1" si="364"/>
        <v>-1.4754819347197665</v>
      </c>
      <c r="N799" s="304">
        <f t="shared" ca="1" si="365"/>
        <v>-84.538887607239872</v>
      </c>
      <c r="P799" s="310">
        <f t="shared" ca="1" si="366"/>
        <v>23</v>
      </c>
      <c r="Q799" s="304">
        <f t="shared" ca="1" si="367"/>
        <v>0</v>
      </c>
      <c r="R799" s="306">
        <f t="shared" ca="1" si="368"/>
        <v>0</v>
      </c>
      <c r="S799" s="307">
        <f t="shared" ca="1" si="369"/>
        <v>7.150000000000003</v>
      </c>
      <c r="T799" s="304">
        <f t="shared" ca="1" si="349"/>
        <v>70.141500000000036</v>
      </c>
      <c r="U799" s="311">
        <f t="shared" ca="1" si="350"/>
        <v>0</v>
      </c>
      <c r="V799" s="306">
        <f t="shared" ca="1" si="351"/>
        <v>1.2262434768130619</v>
      </c>
      <c r="W799" s="304">
        <f t="shared" ca="1" si="352"/>
        <v>54.678751350954236</v>
      </c>
      <c r="Y799" s="314" t="str">
        <f t="shared" ca="1" si="370"/>
        <v/>
      </c>
      <c r="Z799" s="315" t="str">
        <f t="shared" ca="1" si="371"/>
        <v/>
      </c>
      <c r="AA799" s="316" t="str">
        <f t="shared" ca="1" si="372"/>
        <v/>
      </c>
      <c r="AC799" s="310" t="e">
        <f t="shared" ca="1" si="373"/>
        <v>#N/A</v>
      </c>
      <c r="AD799" s="323" t="e">
        <f t="shared" ca="1" si="374"/>
        <v>#N/A</v>
      </c>
      <c r="AE799" s="324" t="e">
        <f t="shared" ca="1" si="353"/>
        <v>#N/A</v>
      </c>
      <c r="AG799" s="306">
        <f t="shared" ca="1" si="375"/>
        <v>2.1181288753182477</v>
      </c>
      <c r="AH799" s="304">
        <f t="shared" ca="1" si="376"/>
        <v>-7.6473430759386938</v>
      </c>
    </row>
    <row r="800" spans="1:34" x14ac:dyDescent="0.2">
      <c r="A800" s="347">
        <f t="shared" ca="1" si="354"/>
        <v>1E-4</v>
      </c>
      <c r="B800" s="304">
        <f t="shared" ca="1" si="355"/>
        <v>36.724900000001078</v>
      </c>
      <c r="D800" s="306">
        <f t="shared" ca="1" si="356"/>
        <v>-0.72780200461646161</v>
      </c>
      <c r="E800" s="307">
        <f t="shared" ca="1" si="357"/>
        <v>-2.1973334743218649</v>
      </c>
      <c r="F800" s="304">
        <f t="shared" ca="1" si="358"/>
        <v>2.3147289593598508</v>
      </c>
      <c r="G800" s="306">
        <f t="shared" ca="1" si="359"/>
        <v>12.439541754085887</v>
      </c>
      <c r="H800" s="307">
        <f t="shared" ca="1" si="360"/>
        <v>-130.11615312845441</v>
      </c>
      <c r="I800" s="304">
        <f t="shared" ca="1" si="361"/>
        <v>130.70943158012372</v>
      </c>
      <c r="J800" s="306">
        <f t="shared" ca="1" si="362"/>
        <v>889.84792314375909</v>
      </c>
      <c r="K800" s="307">
        <f t="shared" ca="1" si="363"/>
        <v>-10.158693376246426</v>
      </c>
      <c r="L800" s="304">
        <f t="shared" ca="1" si="348"/>
        <v>889.90590815792098</v>
      </c>
      <c r="M800" s="306">
        <f t="shared" ca="1" si="364"/>
        <v>-1.475482648990379</v>
      </c>
      <c r="N800" s="304">
        <f t="shared" ca="1" si="365"/>
        <v>-84.53892853193139</v>
      </c>
      <c r="P800" s="310">
        <f t="shared" ca="1" si="366"/>
        <v>23</v>
      </c>
      <c r="Q800" s="304">
        <f t="shared" ca="1" si="367"/>
        <v>0</v>
      </c>
      <c r="R800" s="306">
        <f t="shared" ca="1" si="368"/>
        <v>0</v>
      </c>
      <c r="S800" s="307">
        <f t="shared" ca="1" si="369"/>
        <v>7.150000000000003</v>
      </c>
      <c r="T800" s="304">
        <f t="shared" ca="1" si="349"/>
        <v>70.141500000000036</v>
      </c>
      <c r="U800" s="311">
        <f t="shared" ca="1" si="350"/>
        <v>0</v>
      </c>
      <c r="V800" s="306">
        <f t="shared" ca="1" si="351"/>
        <v>1.2262450723540039</v>
      </c>
      <c r="W800" s="304">
        <f t="shared" ca="1" si="352"/>
        <v>54.67899970705755</v>
      </c>
      <c r="Y800" s="314" t="str">
        <f t="shared" ca="1" si="370"/>
        <v/>
      </c>
      <c r="Z800" s="315" t="str">
        <f t="shared" ca="1" si="371"/>
        <v/>
      </c>
      <c r="AA800" s="316" t="str">
        <f t="shared" ca="1" si="372"/>
        <v/>
      </c>
      <c r="AC800" s="310" t="e">
        <f t="shared" ca="1" si="373"/>
        <v>#N/A</v>
      </c>
      <c r="AD800" s="323" t="e">
        <f t="shared" ca="1" si="374"/>
        <v>#N/A</v>
      </c>
      <c r="AE800" s="324" t="e">
        <f t="shared" ca="1" si="353"/>
        <v>#N/A</v>
      </c>
      <c r="AG800" s="306">
        <f t="shared" ca="1" si="375"/>
        <v>2.1180948067998839</v>
      </c>
      <c r="AH800" s="304">
        <f t="shared" ca="1" si="376"/>
        <v>-7.6473778113222677</v>
      </c>
    </row>
    <row r="801" spans="1:34" x14ac:dyDescent="0.2">
      <c r="A801" s="347">
        <f t="shared" ca="1" si="354"/>
        <v>1E-4</v>
      </c>
      <c r="B801" s="304">
        <f t="shared" ca="1" si="355"/>
        <v>36.725000000001081</v>
      </c>
      <c r="D801" s="306">
        <f t="shared" ca="1" si="356"/>
        <v>-0.72779987283371161</v>
      </c>
      <c r="E801" s="307">
        <f t="shared" ca="1" si="357"/>
        <v>-2.1972983770164873</v>
      </c>
      <c r="F801" s="304">
        <f t="shared" ca="1" si="358"/>
        <v>2.314694971812929</v>
      </c>
      <c r="G801" s="306">
        <f t="shared" ca="1" si="359"/>
        <v>12.439468974098604</v>
      </c>
      <c r="H801" s="307">
        <f t="shared" ca="1" si="360"/>
        <v>-130.11637285829212</v>
      </c>
      <c r="I801" s="304">
        <f t="shared" ca="1" si="361"/>
        <v>130.70964338623094</v>
      </c>
      <c r="J801" s="306">
        <f t="shared" ca="1" si="362"/>
        <v>889.84792314375909</v>
      </c>
      <c r="K801" s="307">
        <f t="shared" ca="1" si="363"/>
        <v>-10.171705002545762</v>
      </c>
      <c r="L801" s="304">
        <f t="shared" ca="1" si="348"/>
        <v>889.90605678684994</v>
      </c>
      <c r="M801" s="306">
        <f t="shared" ca="1" si="364"/>
        <v>-1.4754833632544977</v>
      </c>
      <c r="N801" s="304">
        <f t="shared" ca="1" si="365"/>
        <v>-84.538969456250854</v>
      </c>
      <c r="P801" s="310">
        <f t="shared" ca="1" si="366"/>
        <v>23</v>
      </c>
      <c r="Q801" s="304">
        <f t="shared" ca="1" si="367"/>
        <v>0</v>
      </c>
      <c r="R801" s="306">
        <f t="shared" ca="1" si="368"/>
        <v>0</v>
      </c>
      <c r="S801" s="307">
        <f t="shared" ca="1" si="369"/>
        <v>7.150000000000003</v>
      </c>
      <c r="T801" s="304">
        <f t="shared" ca="1" si="349"/>
        <v>70.141500000000036</v>
      </c>
      <c r="U801" s="311">
        <f t="shared" ca="1" si="350"/>
        <v>0</v>
      </c>
      <c r="V801" s="306">
        <f t="shared" ca="1" si="351"/>
        <v>1.2262466678997177</v>
      </c>
      <c r="W801" s="304">
        <f t="shared" ca="1" si="352"/>
        <v>54.679248061271672</v>
      </c>
      <c r="Y801" s="314" t="str">
        <f t="shared" ca="1" si="370"/>
        <v/>
      </c>
      <c r="Z801" s="315" t="str">
        <f t="shared" ca="1" si="371"/>
        <v/>
      </c>
      <c r="AA801" s="316" t="str">
        <f t="shared" ca="1" si="372"/>
        <v/>
      </c>
      <c r="AC801" s="310" t="e">
        <f t="shared" ca="1" si="373"/>
        <v>#N/A</v>
      </c>
      <c r="AD801" s="323" t="e">
        <f t="shared" ca="1" si="374"/>
        <v>#N/A</v>
      </c>
      <c r="AE801" s="324" t="e">
        <f t="shared" ca="1" si="353"/>
        <v>#N/A</v>
      </c>
      <c r="AG801" s="306">
        <f t="shared" ca="1" si="375"/>
        <v>2.1180607385347061</v>
      </c>
      <c r="AH801" s="304">
        <f t="shared" ca="1" si="376"/>
        <v>-7.6474125464416121</v>
      </c>
    </row>
    <row r="802" spans="1:34" x14ac:dyDescent="0.2">
      <c r="A802" s="347">
        <f t="shared" ca="1" si="354"/>
        <v>1E-4</v>
      </c>
      <c r="B802" s="304">
        <f t="shared" ca="1" si="355"/>
        <v>36.725100000001085</v>
      </c>
      <c r="D802" s="306">
        <f t="shared" ca="1" si="356"/>
        <v>-0.72779774102548422</v>
      </c>
      <c r="E802" s="307">
        <f t="shared" ca="1" si="357"/>
        <v>-2.1972632799780207</v>
      </c>
      <c r="F802" s="304">
        <f t="shared" ca="1" si="358"/>
        <v>2.3146609845464554</v>
      </c>
      <c r="G802" s="306">
        <f t="shared" ca="1" si="359"/>
        <v>12.439396194324502</v>
      </c>
      <c r="H802" s="307">
        <f t="shared" ca="1" si="360"/>
        <v>-130.11659258462012</v>
      </c>
      <c r="I802" s="304">
        <f t="shared" ca="1" si="361"/>
        <v>130.70985518893133</v>
      </c>
      <c r="J802" s="306">
        <f t="shared" ca="1" si="362"/>
        <v>889.84792314375909</v>
      </c>
      <c r="K802" s="307">
        <f t="shared" ca="1" si="363"/>
        <v>-10.184716650817908</v>
      </c>
      <c r="L802" s="304">
        <f t="shared" ca="1" si="348"/>
        <v>889.90620560625314</v>
      </c>
      <c r="M802" s="306">
        <f t="shared" ca="1" si="364"/>
        <v>-1.4754840775121227</v>
      </c>
      <c r="N802" s="304">
        <f t="shared" ca="1" si="365"/>
        <v>-84.539010380198249</v>
      </c>
      <c r="P802" s="310">
        <f t="shared" ca="1" si="366"/>
        <v>23</v>
      </c>
      <c r="Q802" s="304">
        <f t="shared" ca="1" si="367"/>
        <v>0</v>
      </c>
      <c r="R802" s="306">
        <f t="shared" ca="1" si="368"/>
        <v>0</v>
      </c>
      <c r="S802" s="307">
        <f t="shared" ca="1" si="369"/>
        <v>7.150000000000003</v>
      </c>
      <c r="T802" s="304">
        <f t="shared" ca="1" si="349"/>
        <v>70.141500000000036</v>
      </c>
      <c r="U802" s="311">
        <f t="shared" ca="1" si="350"/>
        <v>0</v>
      </c>
      <c r="V802" s="306">
        <f t="shared" ca="1" si="351"/>
        <v>1.2262482634502028</v>
      </c>
      <c r="W802" s="304">
        <f t="shared" ca="1" si="352"/>
        <v>54.679496413596524</v>
      </c>
      <c r="Y802" s="314" t="str">
        <f t="shared" ca="1" si="370"/>
        <v/>
      </c>
      <c r="Z802" s="315" t="str">
        <f t="shared" ca="1" si="371"/>
        <v/>
      </c>
      <c r="AA802" s="316" t="str">
        <f t="shared" ca="1" si="372"/>
        <v/>
      </c>
      <c r="AC802" s="310" t="e">
        <f t="shared" ca="1" si="373"/>
        <v>#N/A</v>
      </c>
      <c r="AD802" s="323" t="e">
        <f t="shared" ca="1" si="374"/>
        <v>#N/A</v>
      </c>
      <c r="AE802" s="324" t="e">
        <f t="shared" ca="1" si="353"/>
        <v>#N/A</v>
      </c>
      <c r="AG802" s="306">
        <f t="shared" ca="1" si="375"/>
        <v>2.1180266705227035</v>
      </c>
      <c r="AH802" s="304">
        <f t="shared" ca="1" si="376"/>
        <v>-7.647447281296734</v>
      </c>
    </row>
    <row r="803" spans="1:34" x14ac:dyDescent="0.2">
      <c r="A803" s="347">
        <f t="shared" ca="1" si="354"/>
        <v>1E-4</v>
      </c>
      <c r="B803" s="304">
        <f t="shared" ca="1" si="355"/>
        <v>36.725200000001088</v>
      </c>
      <c r="D803" s="306">
        <f t="shared" ca="1" si="356"/>
        <v>-0.72779560919177932</v>
      </c>
      <c r="E803" s="307">
        <f t="shared" ca="1" si="357"/>
        <v>-2.1972281832064757</v>
      </c>
      <c r="F803" s="304">
        <f t="shared" ca="1" si="358"/>
        <v>2.3146269975604414</v>
      </c>
      <c r="G803" s="306">
        <f t="shared" ca="1" si="359"/>
        <v>12.439323414763583</v>
      </c>
      <c r="H803" s="307">
        <f t="shared" ca="1" si="360"/>
        <v>-130.11681230743844</v>
      </c>
      <c r="I803" s="304">
        <f t="shared" ca="1" si="361"/>
        <v>130.71006698822492</v>
      </c>
      <c r="J803" s="306">
        <f t="shared" ca="1" si="362"/>
        <v>889.84792314375909</v>
      </c>
      <c r="K803" s="307">
        <f t="shared" ca="1" si="363"/>
        <v>-10.197728321062511</v>
      </c>
      <c r="L803" s="304">
        <f t="shared" ca="1" si="348"/>
        <v>889.90635461613124</v>
      </c>
      <c r="M803" s="306">
        <f t="shared" ca="1" si="364"/>
        <v>-1.4754847917632541</v>
      </c>
      <c r="N803" s="304">
        <f t="shared" ca="1" si="365"/>
        <v>-84.53905130377359</v>
      </c>
      <c r="P803" s="310">
        <f t="shared" ca="1" si="366"/>
        <v>23</v>
      </c>
      <c r="Q803" s="304">
        <f t="shared" ca="1" si="367"/>
        <v>0</v>
      </c>
      <c r="R803" s="306">
        <f t="shared" ca="1" si="368"/>
        <v>0</v>
      </c>
      <c r="S803" s="307">
        <f t="shared" ca="1" si="369"/>
        <v>7.150000000000003</v>
      </c>
      <c r="T803" s="304">
        <f t="shared" ca="1" si="349"/>
        <v>70.141500000000036</v>
      </c>
      <c r="U803" s="311">
        <f t="shared" ca="1" si="350"/>
        <v>0</v>
      </c>
      <c r="V803" s="306">
        <f t="shared" ca="1" si="351"/>
        <v>1.2262498590054591</v>
      </c>
      <c r="W803" s="304">
        <f t="shared" ca="1" si="352"/>
        <v>54.67974476403208</v>
      </c>
      <c r="Y803" s="314" t="str">
        <f t="shared" ca="1" si="370"/>
        <v/>
      </c>
      <c r="Z803" s="315" t="str">
        <f t="shared" ca="1" si="371"/>
        <v/>
      </c>
      <c r="AA803" s="316" t="str">
        <f t="shared" ca="1" si="372"/>
        <v/>
      </c>
      <c r="AC803" s="310" t="e">
        <f t="shared" ca="1" si="373"/>
        <v>#N/A</v>
      </c>
      <c r="AD803" s="323" t="e">
        <f t="shared" ca="1" si="374"/>
        <v>#N/A</v>
      </c>
      <c r="AE803" s="324" t="e">
        <f t="shared" ca="1" si="353"/>
        <v>#N/A</v>
      </c>
      <c r="AG803" s="306">
        <f t="shared" ca="1" si="375"/>
        <v>2.1179926027638887</v>
      </c>
      <c r="AH803" s="304">
        <f t="shared" ca="1" si="376"/>
        <v>-7.6474820158876229</v>
      </c>
    </row>
    <row r="804" spans="1:34" x14ac:dyDescent="0.2">
      <c r="A804" s="347">
        <f t="shared" ca="1" si="354"/>
        <v>1E-4</v>
      </c>
      <c r="B804" s="304">
        <f t="shared" ca="1" si="355"/>
        <v>36.725300000001091</v>
      </c>
      <c r="D804" s="306">
        <f t="shared" ca="1" si="356"/>
        <v>-0.72779347733259792</v>
      </c>
      <c r="E804" s="307">
        <f t="shared" ca="1" si="357"/>
        <v>-2.1971930867018576</v>
      </c>
      <c r="F804" s="304">
        <f t="shared" ca="1" si="358"/>
        <v>2.3145930108548916</v>
      </c>
      <c r="G804" s="306">
        <f t="shared" ca="1" si="359"/>
        <v>12.439250635415851</v>
      </c>
      <c r="H804" s="307">
        <f t="shared" ca="1" si="360"/>
        <v>-130.1170320267471</v>
      </c>
      <c r="I804" s="304">
        <f t="shared" ca="1" si="361"/>
        <v>130.71027878411178</v>
      </c>
      <c r="J804" s="306">
        <f t="shared" ca="1" si="362"/>
        <v>889.84792314375909</v>
      </c>
      <c r="K804" s="307">
        <f t="shared" ca="1" si="363"/>
        <v>-10.210740013279221</v>
      </c>
      <c r="L804" s="304">
        <f t="shared" ca="1" si="348"/>
        <v>889.90650381648527</v>
      </c>
      <c r="M804" s="306">
        <f t="shared" ca="1" si="364"/>
        <v>-1.4754855060078917</v>
      </c>
      <c r="N804" s="304">
        <f t="shared" ca="1" si="365"/>
        <v>-84.539092226976862</v>
      </c>
      <c r="P804" s="310">
        <f t="shared" ca="1" si="366"/>
        <v>23</v>
      </c>
      <c r="Q804" s="304">
        <f t="shared" ca="1" si="367"/>
        <v>0</v>
      </c>
      <c r="R804" s="306">
        <f t="shared" ca="1" si="368"/>
        <v>0</v>
      </c>
      <c r="S804" s="307">
        <f t="shared" ca="1" si="369"/>
        <v>7.150000000000003</v>
      </c>
      <c r="T804" s="304">
        <f t="shared" ca="1" si="349"/>
        <v>70.141500000000036</v>
      </c>
      <c r="U804" s="311">
        <f t="shared" ca="1" si="350"/>
        <v>0</v>
      </c>
      <c r="V804" s="306">
        <f t="shared" ca="1" si="351"/>
        <v>1.2262514545654872</v>
      </c>
      <c r="W804" s="304">
        <f t="shared" ca="1" si="352"/>
        <v>54.679993112578437</v>
      </c>
      <c r="Y804" s="314" t="str">
        <f t="shared" ca="1" si="370"/>
        <v/>
      </c>
      <c r="Z804" s="315" t="str">
        <f t="shared" ca="1" si="371"/>
        <v/>
      </c>
      <c r="AA804" s="316" t="str">
        <f t="shared" ca="1" si="372"/>
        <v/>
      </c>
      <c r="AC804" s="310" t="e">
        <f t="shared" ca="1" si="373"/>
        <v>#N/A</v>
      </c>
      <c r="AD804" s="323" t="e">
        <f t="shared" ca="1" si="374"/>
        <v>#N/A</v>
      </c>
      <c r="AE804" s="324" t="e">
        <f t="shared" ca="1" si="353"/>
        <v>#N/A</v>
      </c>
      <c r="AG804" s="306">
        <f t="shared" ca="1" si="375"/>
        <v>2.1179585352582704</v>
      </c>
      <c r="AH804" s="304">
        <f t="shared" ca="1" si="376"/>
        <v>-7.6475167502142734</v>
      </c>
    </row>
    <row r="805" spans="1:34" x14ac:dyDescent="0.2">
      <c r="A805" s="347">
        <f t="shared" ca="1" si="354"/>
        <v>1E-4</v>
      </c>
      <c r="B805" s="304">
        <f t="shared" ca="1" si="355"/>
        <v>36.725400000001095</v>
      </c>
      <c r="D805" s="306">
        <f t="shared" ca="1" si="356"/>
        <v>-0.72779134544794277</v>
      </c>
      <c r="E805" s="307">
        <f t="shared" ca="1" si="357"/>
        <v>-2.1971579904641496</v>
      </c>
      <c r="F805" s="304">
        <f t="shared" ca="1" si="358"/>
        <v>2.3145590244297911</v>
      </c>
      <c r="G805" s="306">
        <f t="shared" ca="1" si="359"/>
        <v>12.439177856281306</v>
      </c>
      <c r="H805" s="307">
        <f t="shared" ca="1" si="360"/>
        <v>-130.11725174254613</v>
      </c>
      <c r="I805" s="304">
        <f t="shared" ca="1" si="361"/>
        <v>130.71049057659192</v>
      </c>
      <c r="J805" s="306">
        <f t="shared" ca="1" si="362"/>
        <v>889.84792314375909</v>
      </c>
      <c r="K805" s="307">
        <f t="shared" ca="1" si="363"/>
        <v>-10.223751727467686</v>
      </c>
      <c r="L805" s="304">
        <f t="shared" ca="1" si="348"/>
        <v>889.90665320731603</v>
      </c>
      <c r="M805" s="306">
        <f t="shared" ca="1" si="364"/>
        <v>-1.4754862202460359</v>
      </c>
      <c r="N805" s="304">
        <f t="shared" ca="1" si="365"/>
        <v>-84.539133149808094</v>
      </c>
      <c r="P805" s="310">
        <f t="shared" ca="1" si="366"/>
        <v>23</v>
      </c>
      <c r="Q805" s="304">
        <f t="shared" ca="1" si="367"/>
        <v>0</v>
      </c>
      <c r="R805" s="306">
        <f t="shared" ca="1" si="368"/>
        <v>0</v>
      </c>
      <c r="S805" s="307">
        <f t="shared" ca="1" si="369"/>
        <v>7.150000000000003</v>
      </c>
      <c r="T805" s="304">
        <f t="shared" ca="1" si="349"/>
        <v>70.141500000000036</v>
      </c>
      <c r="U805" s="311">
        <f t="shared" ca="1" si="350"/>
        <v>0</v>
      </c>
      <c r="V805" s="306">
        <f t="shared" ca="1" si="351"/>
        <v>1.2262530501302864</v>
      </c>
      <c r="W805" s="304">
        <f t="shared" ca="1" si="352"/>
        <v>54.680241459235525</v>
      </c>
      <c r="Y805" s="314" t="str">
        <f t="shared" ca="1" si="370"/>
        <v/>
      </c>
      <c r="Z805" s="315" t="str">
        <f t="shared" ca="1" si="371"/>
        <v/>
      </c>
      <c r="AA805" s="316" t="str">
        <f t="shared" ca="1" si="372"/>
        <v/>
      </c>
      <c r="AC805" s="310" t="e">
        <f t="shared" ca="1" si="373"/>
        <v>#N/A</v>
      </c>
      <c r="AD805" s="323" t="e">
        <f t="shared" ca="1" si="374"/>
        <v>#N/A</v>
      </c>
      <c r="AE805" s="324" t="e">
        <f t="shared" ca="1" si="353"/>
        <v>#N/A</v>
      </c>
      <c r="AG805" s="306">
        <f t="shared" ca="1" si="375"/>
        <v>2.1179244680058291</v>
      </c>
      <c r="AH805" s="304">
        <f t="shared" ca="1" si="376"/>
        <v>-7.6475514842767014</v>
      </c>
    </row>
    <row r="806" spans="1:34" x14ac:dyDescent="0.2">
      <c r="A806" s="347">
        <f t="shared" ca="1" si="354"/>
        <v>1E-4</v>
      </c>
      <c r="B806" s="304">
        <f t="shared" ca="1" si="355"/>
        <v>36.725500000001098</v>
      </c>
      <c r="D806" s="306">
        <f t="shared" ca="1" si="356"/>
        <v>-0.72778921353781212</v>
      </c>
      <c r="E806" s="307">
        <f t="shared" ca="1" si="357"/>
        <v>-2.1971228944933641</v>
      </c>
      <c r="F806" s="304">
        <f t="shared" ca="1" si="358"/>
        <v>2.3145250382851521</v>
      </c>
      <c r="G806" s="306">
        <f t="shared" ca="1" si="359"/>
        <v>12.439105077359953</v>
      </c>
      <c r="H806" s="307">
        <f t="shared" ca="1" si="360"/>
        <v>-130.11747145483557</v>
      </c>
      <c r="I806" s="304">
        <f t="shared" ca="1" si="361"/>
        <v>130.71070236566533</v>
      </c>
      <c r="J806" s="306">
        <f t="shared" ca="1" si="362"/>
        <v>889.84792314375909</v>
      </c>
      <c r="K806" s="307">
        <f t="shared" ca="1" si="363"/>
        <v>-10.236763463627556</v>
      </c>
      <c r="L806" s="304">
        <f t="shared" ca="1" si="348"/>
        <v>889.90680278862442</v>
      </c>
      <c r="M806" s="306">
        <f t="shared" ca="1" si="364"/>
        <v>-1.4754869344776869</v>
      </c>
      <c r="N806" s="304">
        <f t="shared" ca="1" si="365"/>
        <v>-84.539174072267286</v>
      </c>
      <c r="P806" s="310">
        <f t="shared" ca="1" si="366"/>
        <v>23</v>
      </c>
      <c r="Q806" s="304">
        <f t="shared" ca="1" si="367"/>
        <v>0</v>
      </c>
      <c r="R806" s="306">
        <f t="shared" ca="1" si="368"/>
        <v>0</v>
      </c>
      <c r="S806" s="307">
        <f t="shared" ca="1" si="369"/>
        <v>7.150000000000003</v>
      </c>
      <c r="T806" s="304">
        <f t="shared" ca="1" si="349"/>
        <v>70.141500000000036</v>
      </c>
      <c r="U806" s="311">
        <f t="shared" ca="1" si="350"/>
        <v>0</v>
      </c>
      <c r="V806" s="306">
        <f t="shared" ca="1" si="351"/>
        <v>1.2262546456998575</v>
      </c>
      <c r="W806" s="304">
        <f t="shared" ca="1" si="352"/>
        <v>54.680489804003358</v>
      </c>
      <c r="Y806" s="314" t="str">
        <f t="shared" ca="1" si="370"/>
        <v/>
      </c>
      <c r="Z806" s="315" t="str">
        <f t="shared" ca="1" si="371"/>
        <v/>
      </c>
      <c r="AA806" s="316" t="str">
        <f t="shared" ca="1" si="372"/>
        <v/>
      </c>
      <c r="AC806" s="310" t="e">
        <f t="shared" ca="1" si="373"/>
        <v>#N/A</v>
      </c>
      <c r="AD806" s="323" t="e">
        <f t="shared" ca="1" si="374"/>
        <v>#N/A</v>
      </c>
      <c r="AE806" s="324" t="e">
        <f t="shared" ca="1" si="353"/>
        <v>#N/A</v>
      </c>
      <c r="AG806" s="306">
        <f t="shared" ca="1" si="375"/>
        <v>2.1178904010065782</v>
      </c>
      <c r="AH806" s="304">
        <f t="shared" ca="1" si="376"/>
        <v>-7.6475862180748955</v>
      </c>
    </row>
    <row r="807" spans="1:34" x14ac:dyDescent="0.2">
      <c r="A807" s="347">
        <f t="shared" ca="1" si="354"/>
        <v>1E-4</v>
      </c>
      <c r="B807" s="304">
        <f t="shared" ca="1" si="355"/>
        <v>36.725600000001101</v>
      </c>
      <c r="D807" s="306">
        <f t="shared" ca="1" si="356"/>
        <v>-0.72778708160220607</v>
      </c>
      <c r="E807" s="307">
        <f t="shared" ca="1" si="357"/>
        <v>-2.1970877987894992</v>
      </c>
      <c r="F807" s="304">
        <f t="shared" ca="1" si="358"/>
        <v>2.3144910524209727</v>
      </c>
      <c r="G807" s="306">
        <f t="shared" ca="1" si="359"/>
        <v>12.439032298651792</v>
      </c>
      <c r="H807" s="307">
        <f t="shared" ca="1" si="360"/>
        <v>-130.11769116361543</v>
      </c>
      <c r="I807" s="304">
        <f t="shared" ca="1" si="361"/>
        <v>130.71091415133208</v>
      </c>
      <c r="J807" s="306">
        <f t="shared" ca="1" si="362"/>
        <v>889.84792314375909</v>
      </c>
      <c r="K807" s="307">
        <f t="shared" ca="1" si="363"/>
        <v>-10.249775221758478</v>
      </c>
      <c r="L807" s="304">
        <f t="shared" ca="1" si="348"/>
        <v>889.90695256041124</v>
      </c>
      <c r="M807" s="306">
        <f t="shared" ca="1" si="364"/>
        <v>-1.4754876487028445</v>
      </c>
      <c r="N807" s="304">
        <f t="shared" ca="1" si="365"/>
        <v>-84.539214994354452</v>
      </c>
      <c r="P807" s="310">
        <f t="shared" ca="1" si="366"/>
        <v>23</v>
      </c>
      <c r="Q807" s="304">
        <f t="shared" ca="1" si="367"/>
        <v>0</v>
      </c>
      <c r="R807" s="306">
        <f t="shared" ca="1" si="368"/>
        <v>0</v>
      </c>
      <c r="S807" s="307">
        <f t="shared" ca="1" si="369"/>
        <v>7.150000000000003</v>
      </c>
      <c r="T807" s="304">
        <f t="shared" ca="1" si="349"/>
        <v>70.141500000000036</v>
      </c>
      <c r="U807" s="311">
        <f t="shared" ca="1" si="350"/>
        <v>0</v>
      </c>
      <c r="V807" s="306">
        <f t="shared" ca="1" si="351"/>
        <v>1.2262562412741995</v>
      </c>
      <c r="W807" s="304">
        <f t="shared" ca="1" si="352"/>
        <v>54.680738146881936</v>
      </c>
      <c r="Y807" s="314" t="str">
        <f t="shared" ca="1" si="370"/>
        <v/>
      </c>
      <c r="Z807" s="315" t="str">
        <f t="shared" ca="1" si="371"/>
        <v/>
      </c>
      <c r="AA807" s="316" t="str">
        <f t="shared" ca="1" si="372"/>
        <v/>
      </c>
      <c r="AC807" s="310" t="e">
        <f t="shared" ca="1" si="373"/>
        <v>#N/A</v>
      </c>
      <c r="AD807" s="323" t="e">
        <f t="shared" ca="1" si="374"/>
        <v>#N/A</v>
      </c>
      <c r="AE807" s="324" t="e">
        <f t="shared" ca="1" si="353"/>
        <v>#N/A</v>
      </c>
      <c r="AG807" s="306">
        <f t="shared" ca="1" si="375"/>
        <v>2.117856334260515</v>
      </c>
      <c r="AH807" s="304">
        <f t="shared" ca="1" si="376"/>
        <v>-7.6476209516088582</v>
      </c>
    </row>
    <row r="808" spans="1:34" x14ac:dyDescent="0.2">
      <c r="A808" s="347">
        <f t="shared" ca="1" si="354"/>
        <v>1E-4</v>
      </c>
      <c r="B808" s="304">
        <f t="shared" ca="1" si="355"/>
        <v>36.725700000001105</v>
      </c>
      <c r="D808" s="306">
        <f t="shared" ca="1" si="356"/>
        <v>-0.72778494964112561</v>
      </c>
      <c r="E808" s="307">
        <f t="shared" ca="1" si="357"/>
        <v>-2.1970527033525542</v>
      </c>
      <c r="F808" s="304">
        <f t="shared" ca="1" si="358"/>
        <v>2.3144570668372535</v>
      </c>
      <c r="G808" s="306">
        <f t="shared" ca="1" si="359"/>
        <v>12.438959520156828</v>
      </c>
      <c r="H808" s="307">
        <f t="shared" ca="1" si="360"/>
        <v>-130.11791086888576</v>
      </c>
      <c r="I808" s="304">
        <f t="shared" ca="1" si="361"/>
        <v>130.7111259335922</v>
      </c>
      <c r="J808" s="306">
        <f t="shared" ca="1" si="362"/>
        <v>889.84792314375909</v>
      </c>
      <c r="K808" s="307">
        <f t="shared" ca="1" si="363"/>
        <v>-10.262787001860103</v>
      </c>
      <c r="L808" s="304">
        <f t="shared" ca="1" si="348"/>
        <v>889.90710252267729</v>
      </c>
      <c r="M808" s="306">
        <f t="shared" ca="1" si="364"/>
        <v>-1.4754883629215088</v>
      </c>
      <c r="N808" s="304">
        <f t="shared" ca="1" si="365"/>
        <v>-84.53925591606955</v>
      </c>
      <c r="P808" s="310">
        <f t="shared" ca="1" si="366"/>
        <v>23</v>
      </c>
      <c r="Q808" s="304">
        <f t="shared" ca="1" si="367"/>
        <v>0</v>
      </c>
      <c r="R808" s="306">
        <f t="shared" ca="1" si="368"/>
        <v>0</v>
      </c>
      <c r="S808" s="307">
        <f t="shared" ca="1" si="369"/>
        <v>7.150000000000003</v>
      </c>
      <c r="T808" s="304">
        <f t="shared" ca="1" si="349"/>
        <v>70.141500000000036</v>
      </c>
      <c r="U808" s="311">
        <f t="shared" ca="1" si="350"/>
        <v>0</v>
      </c>
      <c r="V808" s="306">
        <f t="shared" ca="1" si="351"/>
        <v>1.2262578368533132</v>
      </c>
      <c r="W808" s="304">
        <f t="shared" ca="1" si="352"/>
        <v>54.680986487871287</v>
      </c>
      <c r="Y808" s="314" t="str">
        <f t="shared" ca="1" si="370"/>
        <v/>
      </c>
      <c r="Z808" s="315" t="str">
        <f t="shared" ca="1" si="371"/>
        <v/>
      </c>
      <c r="AA808" s="316" t="str">
        <f t="shared" ca="1" si="372"/>
        <v/>
      </c>
      <c r="AC808" s="310" t="e">
        <f t="shared" ca="1" si="373"/>
        <v>#N/A</v>
      </c>
      <c r="AD808" s="323" t="e">
        <f t="shared" ca="1" si="374"/>
        <v>#N/A</v>
      </c>
      <c r="AE808" s="324" t="e">
        <f t="shared" ca="1" si="353"/>
        <v>#N/A</v>
      </c>
      <c r="AG808" s="306">
        <f t="shared" ca="1" si="375"/>
        <v>2.1178222677676386</v>
      </c>
      <c r="AH808" s="304">
        <f t="shared" ca="1" si="376"/>
        <v>-7.6476556848785888</v>
      </c>
    </row>
    <row r="809" spans="1:34" x14ac:dyDescent="0.2">
      <c r="A809" s="347">
        <f t="shared" ca="1" si="354"/>
        <v>1E-4</v>
      </c>
      <c r="B809" s="304">
        <f t="shared" ca="1" si="355"/>
        <v>36.725800000001108</v>
      </c>
      <c r="D809" s="306">
        <f t="shared" ca="1" si="356"/>
        <v>-0.72778281765457409</v>
      </c>
      <c r="E809" s="307">
        <f t="shared" ca="1" si="357"/>
        <v>-2.1970176081825254</v>
      </c>
      <c r="F809" s="304">
        <f t="shared" ca="1" si="358"/>
        <v>2.3144230815339912</v>
      </c>
      <c r="G809" s="306">
        <f t="shared" ca="1" si="359"/>
        <v>12.438886741875063</v>
      </c>
      <c r="H809" s="307">
        <f t="shared" ca="1" si="360"/>
        <v>-130.11813057064657</v>
      </c>
      <c r="I809" s="304">
        <f t="shared" ca="1" si="361"/>
        <v>130.71133771244567</v>
      </c>
      <c r="J809" s="306">
        <f t="shared" ca="1" si="362"/>
        <v>889.84792314375909</v>
      </c>
      <c r="K809" s="307">
        <f t="shared" ca="1" si="363"/>
        <v>-10.27579880393208</v>
      </c>
      <c r="L809" s="304">
        <f t="shared" ca="1" si="348"/>
        <v>889.90725267542359</v>
      </c>
      <c r="M809" s="306">
        <f t="shared" ca="1" si="364"/>
        <v>-1.4754890771336802</v>
      </c>
      <c r="N809" s="304">
        <f t="shared" ca="1" si="365"/>
        <v>-84.53929683741265</v>
      </c>
      <c r="P809" s="310">
        <f t="shared" ca="1" si="366"/>
        <v>23</v>
      </c>
      <c r="Q809" s="304">
        <f t="shared" ca="1" si="367"/>
        <v>0</v>
      </c>
      <c r="R809" s="306">
        <f t="shared" ca="1" si="368"/>
        <v>0</v>
      </c>
      <c r="S809" s="307">
        <f t="shared" ca="1" si="369"/>
        <v>7.150000000000003</v>
      </c>
      <c r="T809" s="304">
        <f t="shared" ca="1" si="349"/>
        <v>70.141500000000036</v>
      </c>
      <c r="U809" s="311">
        <f t="shared" ca="1" si="350"/>
        <v>0</v>
      </c>
      <c r="V809" s="306">
        <f t="shared" ca="1" si="351"/>
        <v>1.2262594324371985</v>
      </c>
      <c r="W809" s="304">
        <f t="shared" ca="1" si="352"/>
        <v>54.681234826971377</v>
      </c>
      <c r="Y809" s="314" t="str">
        <f t="shared" ca="1" si="370"/>
        <v/>
      </c>
      <c r="Z809" s="315" t="str">
        <f t="shared" ca="1" si="371"/>
        <v/>
      </c>
      <c r="AA809" s="316" t="str">
        <f t="shared" ca="1" si="372"/>
        <v/>
      </c>
      <c r="AC809" s="310" t="e">
        <f t="shared" ca="1" si="373"/>
        <v>#N/A</v>
      </c>
      <c r="AD809" s="323" t="e">
        <f t="shared" ca="1" si="374"/>
        <v>#N/A</v>
      </c>
      <c r="AE809" s="324" t="e">
        <f t="shared" ca="1" si="353"/>
        <v>#N/A</v>
      </c>
      <c r="AG809" s="306">
        <f t="shared" ca="1" si="375"/>
        <v>2.1177882015279472</v>
      </c>
      <c r="AH809" s="304">
        <f t="shared" ca="1" si="376"/>
        <v>-7.6476904178840925</v>
      </c>
    </row>
    <row r="810" spans="1:34" x14ac:dyDescent="0.2">
      <c r="A810" s="347">
        <f t="shared" ca="1" si="354"/>
        <v>1E-4</v>
      </c>
      <c r="B810" s="304">
        <f t="shared" ca="1" si="355"/>
        <v>36.725900000001111</v>
      </c>
      <c r="D810" s="306">
        <f t="shared" ca="1" si="356"/>
        <v>-0.72778068564254728</v>
      </c>
      <c r="E810" s="307">
        <f t="shared" ca="1" si="357"/>
        <v>-2.1969825132794156</v>
      </c>
      <c r="F810" s="304">
        <f t="shared" ca="1" si="358"/>
        <v>2.3143890965111882</v>
      </c>
      <c r="G810" s="306">
        <f t="shared" ca="1" si="359"/>
        <v>12.438813963806499</v>
      </c>
      <c r="H810" s="307">
        <f t="shared" ca="1" si="360"/>
        <v>-130.1183502688979</v>
      </c>
      <c r="I810" s="304">
        <f t="shared" ca="1" si="361"/>
        <v>130.71154948789257</v>
      </c>
      <c r="J810" s="306">
        <f t="shared" ca="1" si="362"/>
        <v>889.84792314375909</v>
      </c>
      <c r="K810" s="307">
        <f t="shared" ca="1" si="363"/>
        <v>-10.288810627974057</v>
      </c>
      <c r="L810" s="304">
        <f t="shared" ca="1" si="348"/>
        <v>889.90740301865094</v>
      </c>
      <c r="M810" s="306">
        <f t="shared" ca="1" si="364"/>
        <v>-1.4754897913393583</v>
      </c>
      <c r="N810" s="304">
        <f t="shared" ca="1" si="365"/>
        <v>-84.539337758383724</v>
      </c>
      <c r="P810" s="310">
        <f t="shared" ca="1" si="366"/>
        <v>23</v>
      </c>
      <c r="Q810" s="304">
        <f t="shared" ca="1" si="367"/>
        <v>0</v>
      </c>
      <c r="R810" s="306">
        <f t="shared" ca="1" si="368"/>
        <v>0</v>
      </c>
      <c r="S810" s="307">
        <f t="shared" ca="1" si="369"/>
        <v>7.150000000000003</v>
      </c>
      <c r="T810" s="304">
        <f t="shared" ca="1" si="349"/>
        <v>70.141500000000036</v>
      </c>
      <c r="U810" s="311">
        <f t="shared" ca="1" si="350"/>
        <v>0</v>
      </c>
      <c r="V810" s="306">
        <f t="shared" ca="1" si="351"/>
        <v>1.2262610280258548</v>
      </c>
      <c r="W810" s="304">
        <f t="shared" ca="1" si="352"/>
        <v>54.681483164182218</v>
      </c>
      <c r="Y810" s="314" t="str">
        <f t="shared" ca="1" si="370"/>
        <v/>
      </c>
      <c r="Z810" s="315" t="str">
        <f t="shared" ca="1" si="371"/>
        <v/>
      </c>
      <c r="AA810" s="316" t="str">
        <f t="shared" ca="1" si="372"/>
        <v/>
      </c>
      <c r="AC810" s="310" t="e">
        <f t="shared" ca="1" si="373"/>
        <v>#N/A</v>
      </c>
      <c r="AD810" s="323" t="e">
        <f t="shared" ca="1" si="374"/>
        <v>#N/A</v>
      </c>
      <c r="AE810" s="324" t="e">
        <f t="shared" ca="1" si="353"/>
        <v>#N/A</v>
      </c>
      <c r="AG810" s="306">
        <f t="shared" ca="1" si="375"/>
        <v>2.1177541355414462</v>
      </c>
      <c r="AH810" s="304">
        <f t="shared" ca="1" si="376"/>
        <v>-7.6477251506253641</v>
      </c>
    </row>
    <row r="811" spans="1:34" x14ac:dyDescent="0.2">
      <c r="A811" s="347">
        <f t="shared" ca="1" si="354"/>
        <v>1E-4</v>
      </c>
      <c r="B811" s="304">
        <f t="shared" ca="1" si="355"/>
        <v>36.726000000001115</v>
      </c>
      <c r="D811" s="306">
        <f t="shared" ca="1" si="356"/>
        <v>-0.72777855360504995</v>
      </c>
      <c r="E811" s="307">
        <f t="shared" ca="1" si="357"/>
        <v>-2.1969474186432256</v>
      </c>
      <c r="F811" s="304">
        <f t="shared" ca="1" si="358"/>
        <v>2.314355111768847</v>
      </c>
      <c r="G811" s="306">
        <f t="shared" ca="1" si="359"/>
        <v>12.438741185951139</v>
      </c>
      <c r="H811" s="307">
        <f t="shared" ca="1" si="360"/>
        <v>-130.11856996363977</v>
      </c>
      <c r="I811" s="304">
        <f t="shared" ca="1" si="361"/>
        <v>130.7117612599329</v>
      </c>
      <c r="J811" s="306">
        <f t="shared" ca="1" si="362"/>
        <v>889.84792314375909</v>
      </c>
      <c r="K811" s="307">
        <f t="shared" ca="1" si="363"/>
        <v>-10.301822473985684</v>
      </c>
      <c r="L811" s="304">
        <f t="shared" ca="1" si="348"/>
        <v>889.90755355236024</v>
      </c>
      <c r="M811" s="306">
        <f t="shared" ca="1" si="364"/>
        <v>-1.4754905055385437</v>
      </c>
      <c r="N811" s="304">
        <f t="shared" ca="1" si="365"/>
        <v>-84.539378678982771</v>
      </c>
      <c r="P811" s="310">
        <f t="shared" ca="1" si="366"/>
        <v>23</v>
      </c>
      <c r="Q811" s="304">
        <f t="shared" ca="1" si="367"/>
        <v>0</v>
      </c>
      <c r="R811" s="306">
        <f t="shared" ca="1" si="368"/>
        <v>0</v>
      </c>
      <c r="S811" s="307">
        <f t="shared" ca="1" si="369"/>
        <v>7.150000000000003</v>
      </c>
      <c r="T811" s="304">
        <f t="shared" ca="1" si="349"/>
        <v>70.141500000000036</v>
      </c>
      <c r="U811" s="311">
        <f t="shared" ca="1" si="350"/>
        <v>0</v>
      </c>
      <c r="V811" s="306">
        <f t="shared" ca="1" si="351"/>
        <v>1.2262626236192822</v>
      </c>
      <c r="W811" s="304">
        <f t="shared" ca="1" si="352"/>
        <v>54.681731499503798</v>
      </c>
      <c r="Y811" s="314" t="str">
        <f t="shared" ca="1" si="370"/>
        <v/>
      </c>
      <c r="Z811" s="315" t="str">
        <f t="shared" ca="1" si="371"/>
        <v/>
      </c>
      <c r="AA811" s="316" t="str">
        <f t="shared" ca="1" si="372"/>
        <v/>
      </c>
      <c r="AC811" s="310" t="e">
        <f t="shared" ca="1" si="373"/>
        <v>#N/A</v>
      </c>
      <c r="AD811" s="323" t="e">
        <f t="shared" ca="1" si="374"/>
        <v>#N/A</v>
      </c>
      <c r="AE811" s="324" t="e">
        <f t="shared" ca="1" si="353"/>
        <v>#N/A</v>
      </c>
      <c r="AG811" s="306">
        <f t="shared" ca="1" si="375"/>
        <v>2.117720069808132</v>
      </c>
      <c r="AH811" s="304">
        <f t="shared" ca="1" si="376"/>
        <v>-7.6477598831024052</v>
      </c>
    </row>
    <row r="812" spans="1:34" x14ac:dyDescent="0.2">
      <c r="A812" s="347">
        <f t="shared" ca="1" si="354"/>
        <v>1E-4</v>
      </c>
      <c r="B812" s="304">
        <f t="shared" ca="1" si="355"/>
        <v>36.726100000001118</v>
      </c>
      <c r="D812" s="306">
        <f t="shared" ca="1" si="356"/>
        <v>-0.72777642154207978</v>
      </c>
      <c r="E812" s="307">
        <f t="shared" ca="1" si="357"/>
        <v>-2.1969123242739563</v>
      </c>
      <c r="F812" s="304">
        <f t="shared" ca="1" si="358"/>
        <v>2.3143211273069673</v>
      </c>
      <c r="G812" s="306">
        <f t="shared" ca="1" si="359"/>
        <v>12.438668408308985</v>
      </c>
      <c r="H812" s="307">
        <f t="shared" ca="1" si="360"/>
        <v>-130.11878965487219</v>
      </c>
      <c r="I812" s="304">
        <f t="shared" ca="1" si="361"/>
        <v>130.71197302856666</v>
      </c>
      <c r="J812" s="306">
        <f t="shared" ca="1" si="362"/>
        <v>889.84792314375909</v>
      </c>
      <c r="K812" s="307">
        <f t="shared" ca="1" si="363"/>
        <v>-10.314834341966609</v>
      </c>
      <c r="L812" s="304">
        <f t="shared" ca="1" si="348"/>
        <v>889.90770427655229</v>
      </c>
      <c r="M812" s="306">
        <f t="shared" ca="1" si="364"/>
        <v>-1.475491219731236</v>
      </c>
      <c r="N812" s="304">
        <f t="shared" ca="1" si="365"/>
        <v>-84.539419599209793</v>
      </c>
      <c r="P812" s="310">
        <f t="shared" ca="1" si="366"/>
        <v>23</v>
      </c>
      <c r="Q812" s="304">
        <f t="shared" ca="1" si="367"/>
        <v>0</v>
      </c>
      <c r="R812" s="306">
        <f t="shared" ca="1" si="368"/>
        <v>0</v>
      </c>
      <c r="S812" s="307">
        <f t="shared" ca="1" si="369"/>
        <v>7.150000000000003</v>
      </c>
      <c r="T812" s="304">
        <f t="shared" ca="1" si="349"/>
        <v>70.141500000000036</v>
      </c>
      <c r="U812" s="311">
        <f t="shared" ca="1" si="350"/>
        <v>0</v>
      </c>
      <c r="V812" s="306">
        <f t="shared" ca="1" si="351"/>
        <v>1.2262642192174811</v>
      </c>
      <c r="W812" s="304">
        <f t="shared" ca="1" si="352"/>
        <v>54.681979832936101</v>
      </c>
      <c r="Y812" s="314" t="str">
        <f t="shared" ca="1" si="370"/>
        <v/>
      </c>
      <c r="Z812" s="315" t="str">
        <f t="shared" ca="1" si="371"/>
        <v/>
      </c>
      <c r="AA812" s="316" t="str">
        <f t="shared" ca="1" si="372"/>
        <v/>
      </c>
      <c r="AC812" s="310" t="e">
        <f t="shared" ca="1" si="373"/>
        <v>#N/A</v>
      </c>
      <c r="AD812" s="323" t="e">
        <f t="shared" ca="1" si="374"/>
        <v>#N/A</v>
      </c>
      <c r="AE812" s="324" t="e">
        <f t="shared" ca="1" si="353"/>
        <v>#N/A</v>
      </c>
      <c r="AG812" s="306">
        <f t="shared" ca="1" si="375"/>
        <v>2.1176860043280072</v>
      </c>
      <c r="AH812" s="304">
        <f t="shared" ca="1" si="376"/>
        <v>-7.6477946153152132</v>
      </c>
    </row>
    <row r="813" spans="1:34" x14ac:dyDescent="0.2">
      <c r="A813" s="347">
        <f t="shared" ca="1" si="354"/>
        <v>1E-4</v>
      </c>
      <c r="B813" s="304">
        <f t="shared" ca="1" si="355"/>
        <v>36.726200000001121</v>
      </c>
      <c r="D813" s="306">
        <f t="shared" ca="1" si="356"/>
        <v>-0.72777428945363953</v>
      </c>
      <c r="E813" s="307">
        <f t="shared" ca="1" si="357"/>
        <v>-2.1968772301716104</v>
      </c>
      <c r="F813" s="304">
        <f t="shared" ca="1" si="358"/>
        <v>2.3142871431255538</v>
      </c>
      <c r="G813" s="306">
        <f t="shared" ca="1" si="359"/>
        <v>12.438595630880039</v>
      </c>
      <c r="H813" s="307">
        <f t="shared" ca="1" si="360"/>
        <v>-130.11900934259521</v>
      </c>
      <c r="I813" s="304">
        <f t="shared" ca="1" si="361"/>
        <v>130.71218479379391</v>
      </c>
      <c r="J813" s="306">
        <f t="shared" ca="1" si="362"/>
        <v>889.84792314375909</v>
      </c>
      <c r="K813" s="307">
        <f t="shared" ca="1" si="363"/>
        <v>-10.327846231916482</v>
      </c>
      <c r="L813" s="304">
        <f t="shared" ca="1" si="348"/>
        <v>889.9078551912279</v>
      </c>
      <c r="M813" s="306">
        <f t="shared" ca="1" si="364"/>
        <v>-1.4754919339174357</v>
      </c>
      <c r="N813" s="304">
        <f t="shared" ca="1" si="365"/>
        <v>-84.539460519064832</v>
      </c>
      <c r="P813" s="310">
        <f t="shared" ca="1" si="366"/>
        <v>23</v>
      </c>
      <c r="Q813" s="304">
        <f t="shared" ca="1" si="367"/>
        <v>0</v>
      </c>
      <c r="R813" s="306">
        <f t="shared" ca="1" si="368"/>
        <v>0</v>
      </c>
      <c r="S813" s="307">
        <f t="shared" ca="1" si="369"/>
        <v>7.150000000000003</v>
      </c>
      <c r="T813" s="304">
        <f t="shared" ca="1" si="349"/>
        <v>70.141500000000036</v>
      </c>
      <c r="U813" s="311">
        <f t="shared" ca="1" si="350"/>
        <v>0</v>
      </c>
      <c r="V813" s="306">
        <f t="shared" ca="1" si="351"/>
        <v>1.2262658148204513</v>
      </c>
      <c r="W813" s="304">
        <f t="shared" ca="1" si="352"/>
        <v>54.68222816447917</v>
      </c>
      <c r="Y813" s="314" t="str">
        <f t="shared" ca="1" si="370"/>
        <v/>
      </c>
      <c r="Z813" s="315" t="str">
        <f t="shared" ca="1" si="371"/>
        <v/>
      </c>
      <c r="AA813" s="316" t="str">
        <f t="shared" ca="1" si="372"/>
        <v/>
      </c>
      <c r="AC813" s="310" t="e">
        <f t="shared" ca="1" si="373"/>
        <v>#N/A</v>
      </c>
      <c r="AD813" s="323" t="e">
        <f t="shared" ca="1" si="374"/>
        <v>#N/A</v>
      </c>
      <c r="AE813" s="324" t="e">
        <f t="shared" ca="1" si="353"/>
        <v>#N/A</v>
      </c>
      <c r="AG813" s="306">
        <f t="shared" ca="1" si="375"/>
        <v>2.1176519391010746</v>
      </c>
      <c r="AH813" s="304">
        <f t="shared" ca="1" si="376"/>
        <v>-7.6478293472637873</v>
      </c>
    </row>
    <row r="814" spans="1:34" x14ac:dyDescent="0.2">
      <c r="A814" s="347">
        <f t="shared" ca="1" si="354"/>
        <v>1E-4</v>
      </c>
      <c r="B814" s="304">
        <f t="shared" ca="1" si="355"/>
        <v>36.726300000001125</v>
      </c>
      <c r="D814" s="306">
        <f t="shared" ca="1" si="356"/>
        <v>-0.72777215733972767</v>
      </c>
      <c r="E814" s="307">
        <f t="shared" ca="1" si="357"/>
        <v>-2.1968421363361808</v>
      </c>
      <c r="F814" s="304">
        <f t="shared" ca="1" si="358"/>
        <v>2.3142531592245987</v>
      </c>
      <c r="G814" s="306">
        <f t="shared" ca="1" si="359"/>
        <v>12.438522853664304</v>
      </c>
      <c r="H814" s="307">
        <f t="shared" ca="1" si="360"/>
        <v>-130.11922902680885</v>
      </c>
      <c r="I814" s="304">
        <f t="shared" ca="1" si="361"/>
        <v>130.71239655561467</v>
      </c>
      <c r="J814" s="306">
        <f t="shared" ca="1" si="362"/>
        <v>889.84792314375909</v>
      </c>
      <c r="K814" s="307">
        <f t="shared" ca="1" si="363"/>
        <v>-10.340858143834952</v>
      </c>
      <c r="L814" s="304">
        <f t="shared" ca="1" si="348"/>
        <v>889.90800629638807</v>
      </c>
      <c r="M814" s="306">
        <f t="shared" ca="1" si="364"/>
        <v>-1.4754926480971426</v>
      </c>
      <c r="N814" s="304">
        <f t="shared" ca="1" si="365"/>
        <v>-84.539501438547845</v>
      </c>
      <c r="P814" s="310">
        <f t="shared" ca="1" si="366"/>
        <v>23</v>
      </c>
      <c r="Q814" s="304">
        <f t="shared" ca="1" si="367"/>
        <v>0</v>
      </c>
      <c r="R814" s="306">
        <f t="shared" ca="1" si="368"/>
        <v>0</v>
      </c>
      <c r="S814" s="307">
        <f t="shared" ca="1" si="369"/>
        <v>7.150000000000003</v>
      </c>
      <c r="T814" s="304">
        <f t="shared" ca="1" si="349"/>
        <v>70.141500000000036</v>
      </c>
      <c r="U814" s="311">
        <f t="shared" ca="1" si="350"/>
        <v>0</v>
      </c>
      <c r="V814" s="306">
        <f t="shared" ca="1" si="351"/>
        <v>1.2262674104281921</v>
      </c>
      <c r="W814" s="304">
        <f t="shared" ca="1" si="352"/>
        <v>54.682476494132928</v>
      </c>
      <c r="Y814" s="314" t="str">
        <f t="shared" ca="1" si="370"/>
        <v/>
      </c>
      <c r="Z814" s="315" t="str">
        <f t="shared" ca="1" si="371"/>
        <v/>
      </c>
      <c r="AA814" s="316" t="str">
        <f t="shared" ca="1" si="372"/>
        <v/>
      </c>
      <c r="AC814" s="310" t="e">
        <f t="shared" ca="1" si="373"/>
        <v>#N/A</v>
      </c>
      <c r="AD814" s="323" t="e">
        <f t="shared" ca="1" si="374"/>
        <v>#N/A</v>
      </c>
      <c r="AE814" s="324" t="e">
        <f t="shared" ca="1" si="353"/>
        <v>#N/A</v>
      </c>
      <c r="AG814" s="306">
        <f t="shared" ca="1" si="375"/>
        <v>2.117617874127327</v>
      </c>
      <c r="AH814" s="304">
        <f t="shared" ca="1" si="376"/>
        <v>-7.6478640789481327</v>
      </c>
    </row>
    <row r="815" spans="1:34" x14ac:dyDescent="0.2">
      <c r="A815" s="347">
        <f t="shared" ca="1" si="354"/>
        <v>1E-4</v>
      </c>
      <c r="B815" s="304">
        <f t="shared" ca="1" si="355"/>
        <v>36.726400000001128</v>
      </c>
      <c r="D815" s="306">
        <f t="shared" ca="1" si="356"/>
        <v>-0.72777002520034606</v>
      </c>
      <c r="E815" s="307">
        <f t="shared" ca="1" si="357"/>
        <v>-2.1968070427676798</v>
      </c>
      <c r="F815" s="304">
        <f t="shared" ca="1" si="358"/>
        <v>2.3142191756041153</v>
      </c>
      <c r="G815" s="306">
        <f t="shared" ca="1" si="359"/>
        <v>12.438450076661784</v>
      </c>
      <c r="H815" s="307">
        <f t="shared" ca="1" si="360"/>
        <v>-130.11944870751313</v>
      </c>
      <c r="I815" s="304">
        <f t="shared" ca="1" si="361"/>
        <v>130.71260831402896</v>
      </c>
      <c r="J815" s="306">
        <f t="shared" ca="1" si="362"/>
        <v>889.84792314375909</v>
      </c>
      <c r="K815" s="307">
        <f t="shared" ca="1" si="363"/>
        <v>-10.353870077721668</v>
      </c>
      <c r="L815" s="304">
        <f t="shared" ca="1" si="348"/>
        <v>889.9081575920336</v>
      </c>
      <c r="M815" s="306">
        <f t="shared" ca="1" si="364"/>
        <v>-1.475493362270357</v>
      </c>
      <c r="N815" s="304">
        <f t="shared" ca="1" si="365"/>
        <v>-84.539542357658874</v>
      </c>
      <c r="P815" s="310">
        <f t="shared" ca="1" si="366"/>
        <v>23</v>
      </c>
      <c r="Q815" s="304">
        <f t="shared" ca="1" si="367"/>
        <v>0</v>
      </c>
      <c r="R815" s="306">
        <f t="shared" ca="1" si="368"/>
        <v>0</v>
      </c>
      <c r="S815" s="307">
        <f t="shared" ca="1" si="369"/>
        <v>7.150000000000003</v>
      </c>
      <c r="T815" s="304">
        <f t="shared" ca="1" si="349"/>
        <v>70.141500000000036</v>
      </c>
      <c r="U815" s="311">
        <f t="shared" ca="1" si="350"/>
        <v>0</v>
      </c>
      <c r="V815" s="306">
        <f t="shared" ca="1" si="351"/>
        <v>1.2262690060407047</v>
      </c>
      <c r="W815" s="304">
        <f t="shared" ca="1" si="352"/>
        <v>54.682724821897473</v>
      </c>
      <c r="Y815" s="314" t="str">
        <f t="shared" ca="1" si="370"/>
        <v/>
      </c>
      <c r="Z815" s="315" t="str">
        <f t="shared" ca="1" si="371"/>
        <v/>
      </c>
      <c r="AA815" s="316" t="str">
        <f t="shared" ca="1" si="372"/>
        <v/>
      </c>
      <c r="AC815" s="310" t="e">
        <f t="shared" ca="1" si="373"/>
        <v>#N/A</v>
      </c>
      <c r="AD815" s="323" t="e">
        <f t="shared" ca="1" si="374"/>
        <v>#N/A</v>
      </c>
      <c r="AE815" s="324" t="e">
        <f t="shared" ca="1" si="353"/>
        <v>#N/A</v>
      </c>
      <c r="AG815" s="306">
        <f t="shared" ca="1" si="375"/>
        <v>2.1175838094067787</v>
      </c>
      <c r="AH815" s="304">
        <f t="shared" ca="1" si="376"/>
        <v>-7.6478988103682388</v>
      </c>
    </row>
    <row r="816" spans="1:34" x14ac:dyDescent="0.2">
      <c r="A816" s="347">
        <f t="shared" ca="1" si="354"/>
        <v>1E-4</v>
      </c>
      <c r="B816" s="304">
        <f t="shared" ca="1" si="355"/>
        <v>36.726500000001131</v>
      </c>
      <c r="D816" s="306">
        <f t="shared" ca="1" si="356"/>
        <v>-0.72776789303549561</v>
      </c>
      <c r="E816" s="307">
        <f t="shared" ca="1" si="357"/>
        <v>-2.1967719494660933</v>
      </c>
      <c r="F816" s="304">
        <f t="shared" ca="1" si="358"/>
        <v>2.3141851922640906</v>
      </c>
      <c r="G816" s="306">
        <f t="shared" ca="1" si="359"/>
        <v>12.43837729987248</v>
      </c>
      <c r="H816" s="307">
        <f t="shared" ca="1" si="360"/>
        <v>-130.11966838470806</v>
      </c>
      <c r="I816" s="304">
        <f t="shared" ca="1" si="361"/>
        <v>130.71282006903675</v>
      </c>
      <c r="J816" s="306">
        <f t="shared" ca="1" si="362"/>
        <v>889.84792314375909</v>
      </c>
      <c r="K816" s="307">
        <f t="shared" ca="1" si="363"/>
        <v>-10.366882033576278</v>
      </c>
      <c r="L816" s="304">
        <f t="shared" ca="1" si="348"/>
        <v>889.9083090781653</v>
      </c>
      <c r="M816" s="306">
        <f t="shared" ca="1" si="364"/>
        <v>-1.4754940764370787</v>
      </c>
      <c r="N816" s="304">
        <f t="shared" ca="1" si="365"/>
        <v>-84.539583276397906</v>
      </c>
      <c r="P816" s="310">
        <f t="shared" ca="1" si="366"/>
        <v>23</v>
      </c>
      <c r="Q816" s="304">
        <f t="shared" ca="1" si="367"/>
        <v>0</v>
      </c>
      <c r="R816" s="306">
        <f t="shared" ca="1" si="368"/>
        <v>0</v>
      </c>
      <c r="S816" s="307">
        <f t="shared" ca="1" si="369"/>
        <v>7.150000000000003</v>
      </c>
      <c r="T816" s="304">
        <f t="shared" ca="1" si="349"/>
        <v>70.141500000000036</v>
      </c>
      <c r="U816" s="311">
        <f t="shared" ca="1" si="350"/>
        <v>0</v>
      </c>
      <c r="V816" s="306">
        <f t="shared" ca="1" si="351"/>
        <v>1.2262706016579883</v>
      </c>
      <c r="W816" s="304">
        <f t="shared" ca="1" si="352"/>
        <v>54.682973147772692</v>
      </c>
      <c r="Y816" s="314" t="str">
        <f t="shared" ca="1" si="370"/>
        <v/>
      </c>
      <c r="Z816" s="315" t="str">
        <f t="shared" ca="1" si="371"/>
        <v/>
      </c>
      <c r="AA816" s="316" t="str">
        <f t="shared" ca="1" si="372"/>
        <v/>
      </c>
      <c r="AC816" s="310" t="e">
        <f t="shared" ca="1" si="373"/>
        <v>#N/A</v>
      </c>
      <c r="AD816" s="323" t="e">
        <f t="shared" ca="1" si="374"/>
        <v>#N/A</v>
      </c>
      <c r="AE816" s="324" t="e">
        <f t="shared" ca="1" si="353"/>
        <v>#N/A</v>
      </c>
      <c r="AG816" s="306">
        <f t="shared" ca="1" si="375"/>
        <v>2.1175497449394145</v>
      </c>
      <c r="AH816" s="304">
        <f t="shared" ca="1" si="376"/>
        <v>-7.647933541524119</v>
      </c>
    </row>
    <row r="817" spans="1:34" x14ac:dyDescent="0.2">
      <c r="A817" s="347">
        <f t="shared" ca="1" si="354"/>
        <v>1E-4</v>
      </c>
      <c r="B817" s="304">
        <f t="shared" ca="1" si="355"/>
        <v>36.726600000001135</v>
      </c>
      <c r="D817" s="306">
        <f t="shared" ca="1" si="356"/>
        <v>-0.72776576084517586</v>
      </c>
      <c r="E817" s="307">
        <f t="shared" ca="1" si="357"/>
        <v>-2.1967368564314347</v>
      </c>
      <c r="F817" s="304">
        <f t="shared" ca="1" si="358"/>
        <v>2.3141512092045367</v>
      </c>
      <c r="G817" s="306">
        <f t="shared" ca="1" si="359"/>
        <v>12.438304523296395</v>
      </c>
      <c r="H817" s="307">
        <f t="shared" ca="1" si="360"/>
        <v>-130.11988805839371</v>
      </c>
      <c r="I817" s="304">
        <f t="shared" ca="1" si="361"/>
        <v>130.71303182063818</v>
      </c>
      <c r="J817" s="306">
        <f t="shared" ca="1" si="362"/>
        <v>889.84792314375909</v>
      </c>
      <c r="K817" s="307">
        <f t="shared" ca="1" si="363"/>
        <v>-10.379894011398433</v>
      </c>
      <c r="L817" s="304">
        <f t="shared" ca="1" si="348"/>
        <v>889.90846075478419</v>
      </c>
      <c r="M817" s="306">
        <f t="shared" ca="1" si="364"/>
        <v>-1.4754947905973081</v>
      </c>
      <c r="N817" s="304">
        <f t="shared" ca="1" si="365"/>
        <v>-84.53962419476494</v>
      </c>
      <c r="P817" s="310">
        <f t="shared" ca="1" si="366"/>
        <v>23</v>
      </c>
      <c r="Q817" s="304">
        <f t="shared" ca="1" si="367"/>
        <v>0</v>
      </c>
      <c r="R817" s="306">
        <f t="shared" ca="1" si="368"/>
        <v>0</v>
      </c>
      <c r="S817" s="307">
        <f t="shared" ca="1" si="369"/>
        <v>7.150000000000003</v>
      </c>
      <c r="T817" s="304">
        <f t="shared" ca="1" si="349"/>
        <v>70.141500000000036</v>
      </c>
      <c r="U817" s="311">
        <f t="shared" ca="1" si="350"/>
        <v>0</v>
      </c>
      <c r="V817" s="306">
        <f t="shared" ca="1" si="351"/>
        <v>1.226272197280043</v>
      </c>
      <c r="W817" s="304">
        <f t="shared" ca="1" si="352"/>
        <v>54.683221471758692</v>
      </c>
      <c r="Y817" s="314" t="str">
        <f t="shared" ca="1" si="370"/>
        <v/>
      </c>
      <c r="Z817" s="315" t="str">
        <f t="shared" ca="1" si="371"/>
        <v/>
      </c>
      <c r="AA817" s="316" t="str">
        <f t="shared" ca="1" si="372"/>
        <v/>
      </c>
      <c r="AC817" s="310" t="e">
        <f t="shared" ca="1" si="373"/>
        <v>#N/A</v>
      </c>
      <c r="AD817" s="323" t="e">
        <f t="shared" ca="1" si="374"/>
        <v>#N/A</v>
      </c>
      <c r="AE817" s="324" t="e">
        <f t="shared" ca="1" si="353"/>
        <v>#N/A</v>
      </c>
      <c r="AG817" s="306">
        <f t="shared" ca="1" si="375"/>
        <v>2.1175156807252495</v>
      </c>
      <c r="AH817" s="304">
        <f t="shared" ca="1" si="376"/>
        <v>-7.6479682724157581</v>
      </c>
    </row>
    <row r="818" spans="1:34" x14ac:dyDescent="0.2">
      <c r="A818" s="347">
        <f t="shared" ca="1" si="354"/>
        <v>1E-4</v>
      </c>
      <c r="B818" s="304">
        <f t="shared" ca="1" si="355"/>
        <v>36.726700000001138</v>
      </c>
      <c r="D818" s="306">
        <f t="shared" ca="1" si="356"/>
        <v>-0.72776362862938804</v>
      </c>
      <c r="E818" s="307">
        <f t="shared" ca="1" si="357"/>
        <v>-2.1967017636636923</v>
      </c>
      <c r="F818" s="304">
        <f t="shared" ca="1" si="358"/>
        <v>2.3141172264254442</v>
      </c>
      <c r="G818" s="306">
        <f t="shared" ca="1" si="359"/>
        <v>12.438231746933532</v>
      </c>
      <c r="H818" s="307">
        <f t="shared" ca="1" si="360"/>
        <v>-130.12010772857008</v>
      </c>
      <c r="I818" s="304">
        <f t="shared" ca="1" si="361"/>
        <v>130.71324356883318</v>
      </c>
      <c r="J818" s="306">
        <f t="shared" ca="1" si="362"/>
        <v>889.84792314375909</v>
      </c>
      <c r="K818" s="307">
        <f t="shared" ca="1" si="363"/>
        <v>-10.392906011187781</v>
      </c>
      <c r="L818" s="304">
        <f t="shared" ca="1" si="348"/>
        <v>889.90861262189094</v>
      </c>
      <c r="M818" s="306">
        <f t="shared" ca="1" si="364"/>
        <v>-1.4754955047510452</v>
      </c>
      <c r="N818" s="304">
        <f t="shared" ca="1" si="365"/>
        <v>-84.539665112759991</v>
      </c>
      <c r="P818" s="310">
        <f t="shared" ca="1" si="366"/>
        <v>23</v>
      </c>
      <c r="Q818" s="304">
        <f t="shared" ca="1" si="367"/>
        <v>0</v>
      </c>
      <c r="R818" s="306">
        <f t="shared" ca="1" si="368"/>
        <v>0</v>
      </c>
      <c r="S818" s="307">
        <f t="shared" ca="1" si="369"/>
        <v>7.150000000000003</v>
      </c>
      <c r="T818" s="304">
        <f t="shared" ca="1" si="349"/>
        <v>70.141500000000036</v>
      </c>
      <c r="U818" s="311">
        <f t="shared" ca="1" si="350"/>
        <v>0</v>
      </c>
      <c r="V818" s="306">
        <f t="shared" ca="1" si="351"/>
        <v>1.2262737929068686</v>
      </c>
      <c r="W818" s="304">
        <f t="shared" ca="1" si="352"/>
        <v>54.683469793855387</v>
      </c>
      <c r="Y818" s="314" t="str">
        <f t="shared" ca="1" si="370"/>
        <v/>
      </c>
      <c r="Z818" s="315" t="str">
        <f t="shared" ca="1" si="371"/>
        <v/>
      </c>
      <c r="AA818" s="316" t="str">
        <f t="shared" ca="1" si="372"/>
        <v/>
      </c>
      <c r="AC818" s="310" t="e">
        <f t="shared" ca="1" si="373"/>
        <v>#N/A</v>
      </c>
      <c r="AD818" s="323" t="e">
        <f t="shared" ca="1" si="374"/>
        <v>#N/A</v>
      </c>
      <c r="AE818" s="324" t="e">
        <f t="shared" ca="1" si="353"/>
        <v>#N/A</v>
      </c>
      <c r="AG818" s="306">
        <f t="shared" ca="1" si="375"/>
        <v>2.1174816167642696</v>
      </c>
      <c r="AH818" s="304">
        <f t="shared" ca="1" si="376"/>
        <v>-7.6480030030431703</v>
      </c>
    </row>
    <row r="819" spans="1:34" x14ac:dyDescent="0.2">
      <c r="A819" s="347">
        <f t="shared" ca="1" si="354"/>
        <v>1E-4</v>
      </c>
      <c r="B819" s="304">
        <f t="shared" ca="1" si="355"/>
        <v>36.726800000001141</v>
      </c>
      <c r="D819" s="306">
        <f t="shared" ca="1" si="356"/>
        <v>-0.72776149638813226</v>
      </c>
      <c r="E819" s="307">
        <f t="shared" ca="1" si="357"/>
        <v>-2.196666671162876</v>
      </c>
      <c r="F819" s="304">
        <f t="shared" ca="1" si="358"/>
        <v>2.3140832439268224</v>
      </c>
      <c r="G819" s="306">
        <f t="shared" ca="1" si="359"/>
        <v>12.438158970783894</v>
      </c>
      <c r="H819" s="307">
        <f t="shared" ca="1" si="360"/>
        <v>-130.12032739523718</v>
      </c>
      <c r="I819" s="304">
        <f t="shared" ca="1" si="361"/>
        <v>130.71345531362181</v>
      </c>
      <c r="J819" s="306">
        <f t="shared" ca="1" si="362"/>
        <v>889.84792314375909</v>
      </c>
      <c r="K819" s="307">
        <f t="shared" ca="1" si="363"/>
        <v>-10.405918032943971</v>
      </c>
      <c r="L819" s="304">
        <f t="shared" ca="1" si="348"/>
        <v>889.90876467948658</v>
      </c>
      <c r="M819" s="306">
        <f t="shared" ca="1" si="364"/>
        <v>-1.4754962188982901</v>
      </c>
      <c r="N819" s="304">
        <f t="shared" ca="1" si="365"/>
        <v>-84.539706030383073</v>
      </c>
      <c r="P819" s="310">
        <f t="shared" ca="1" si="366"/>
        <v>23</v>
      </c>
      <c r="Q819" s="304">
        <f t="shared" ca="1" si="367"/>
        <v>0</v>
      </c>
      <c r="R819" s="306">
        <f t="shared" ca="1" si="368"/>
        <v>0</v>
      </c>
      <c r="S819" s="307">
        <f t="shared" ca="1" si="369"/>
        <v>7.150000000000003</v>
      </c>
      <c r="T819" s="304">
        <f t="shared" ca="1" si="349"/>
        <v>70.141500000000036</v>
      </c>
      <c r="U819" s="311">
        <f t="shared" ca="1" si="350"/>
        <v>0</v>
      </c>
      <c r="V819" s="306">
        <f t="shared" ca="1" si="351"/>
        <v>1.2262753885384652</v>
      </c>
      <c r="W819" s="304">
        <f t="shared" ca="1" si="352"/>
        <v>54.683718114062792</v>
      </c>
      <c r="Y819" s="314" t="str">
        <f t="shared" ca="1" si="370"/>
        <v/>
      </c>
      <c r="Z819" s="315" t="str">
        <f t="shared" ca="1" si="371"/>
        <v/>
      </c>
      <c r="AA819" s="316" t="str">
        <f t="shared" ca="1" si="372"/>
        <v/>
      </c>
      <c r="AC819" s="310" t="e">
        <f t="shared" ca="1" si="373"/>
        <v>#N/A</v>
      </c>
      <c r="AD819" s="323" t="e">
        <f t="shared" ca="1" si="374"/>
        <v>#N/A</v>
      </c>
      <c r="AE819" s="324" t="e">
        <f t="shared" ca="1" si="353"/>
        <v>#N/A</v>
      </c>
      <c r="AG819" s="306">
        <f t="shared" ca="1" si="375"/>
        <v>2.1174475530564854</v>
      </c>
      <c r="AH819" s="304">
        <f t="shared" ca="1" si="376"/>
        <v>-7.648037733406345</v>
      </c>
    </row>
    <row r="820" spans="1:34" x14ac:dyDescent="0.2">
      <c r="A820" s="347">
        <f t="shared" ca="1" si="354"/>
        <v>1E-4</v>
      </c>
      <c r="B820" s="304">
        <f t="shared" ca="1" si="355"/>
        <v>36.726900000001145</v>
      </c>
      <c r="D820" s="306">
        <f t="shared" ca="1" si="356"/>
        <v>-0.72775936412140796</v>
      </c>
      <c r="E820" s="307">
        <f t="shared" ca="1" si="357"/>
        <v>-2.1966315789289856</v>
      </c>
      <c r="F820" s="304">
        <f t="shared" ca="1" si="358"/>
        <v>2.3140492617086705</v>
      </c>
      <c r="G820" s="306">
        <f t="shared" ca="1" si="359"/>
        <v>12.438086194847482</v>
      </c>
      <c r="H820" s="307">
        <f t="shared" ca="1" si="360"/>
        <v>-130.12054705839509</v>
      </c>
      <c r="I820" s="304">
        <f t="shared" ca="1" si="361"/>
        <v>130.71366705500412</v>
      </c>
      <c r="J820" s="306">
        <f t="shared" ca="1" si="362"/>
        <v>889.84792314375909</v>
      </c>
      <c r="K820" s="307">
        <f t="shared" ca="1" si="363"/>
        <v>-10.418930076666653</v>
      </c>
      <c r="L820" s="304">
        <f t="shared" ca="1" si="348"/>
        <v>889.90891692757179</v>
      </c>
      <c r="M820" s="306">
        <f t="shared" ca="1" si="364"/>
        <v>-1.4754969330390428</v>
      </c>
      <c r="N820" s="304">
        <f t="shared" ca="1" si="365"/>
        <v>-84.539746947634185</v>
      </c>
      <c r="P820" s="310">
        <f t="shared" ca="1" si="366"/>
        <v>23</v>
      </c>
      <c r="Q820" s="304">
        <f t="shared" ca="1" si="367"/>
        <v>0</v>
      </c>
      <c r="R820" s="306">
        <f t="shared" ca="1" si="368"/>
        <v>0</v>
      </c>
      <c r="S820" s="307">
        <f t="shared" ca="1" si="369"/>
        <v>7.150000000000003</v>
      </c>
      <c r="T820" s="304">
        <f t="shared" ca="1" si="349"/>
        <v>70.141500000000036</v>
      </c>
      <c r="U820" s="311">
        <f t="shared" ca="1" si="350"/>
        <v>0</v>
      </c>
      <c r="V820" s="306">
        <f t="shared" ca="1" si="351"/>
        <v>1.2262769841748331</v>
      </c>
      <c r="W820" s="304">
        <f t="shared" ca="1" si="352"/>
        <v>54.68396643238097</v>
      </c>
      <c r="Y820" s="314" t="str">
        <f t="shared" ca="1" si="370"/>
        <v/>
      </c>
      <c r="Z820" s="315" t="str">
        <f t="shared" ca="1" si="371"/>
        <v/>
      </c>
      <c r="AA820" s="316" t="str">
        <f t="shared" ca="1" si="372"/>
        <v/>
      </c>
      <c r="AC820" s="310" t="e">
        <f t="shared" ca="1" si="373"/>
        <v>#N/A</v>
      </c>
      <c r="AD820" s="323" t="e">
        <f t="shared" ca="1" si="374"/>
        <v>#N/A</v>
      </c>
      <c r="AE820" s="324" t="e">
        <f t="shared" ca="1" si="353"/>
        <v>#N/A</v>
      </c>
      <c r="AG820" s="306">
        <f t="shared" ca="1" si="375"/>
        <v>2.1174134896018986</v>
      </c>
      <c r="AH820" s="304">
        <f t="shared" ca="1" si="376"/>
        <v>-7.6480724635052821</v>
      </c>
    </row>
    <row r="821" spans="1:34" x14ac:dyDescent="0.2">
      <c r="A821" s="347">
        <f t="shared" ca="1" si="354"/>
        <v>1E-4</v>
      </c>
      <c r="B821" s="304">
        <f t="shared" ca="1" si="355"/>
        <v>36.727000000001148</v>
      </c>
      <c r="D821" s="306">
        <f t="shared" ca="1" si="356"/>
        <v>-0.72775723182921748</v>
      </c>
      <c r="E821" s="307">
        <f t="shared" ca="1" si="357"/>
        <v>-2.1965964869620107</v>
      </c>
      <c r="F821" s="304">
        <f t="shared" ca="1" si="358"/>
        <v>2.3140152797709814</v>
      </c>
      <c r="G821" s="306">
        <f t="shared" ca="1" si="359"/>
        <v>12.438013419124299</v>
      </c>
      <c r="H821" s="307">
        <f t="shared" ca="1" si="360"/>
        <v>-130.1207667180438</v>
      </c>
      <c r="I821" s="304">
        <f t="shared" ca="1" si="361"/>
        <v>130.7138787929801</v>
      </c>
      <c r="J821" s="306">
        <f t="shared" ca="1" si="362"/>
        <v>889.84792314375909</v>
      </c>
      <c r="K821" s="307">
        <f t="shared" ca="1" si="363"/>
        <v>-10.431942142355474</v>
      </c>
      <c r="L821" s="304">
        <f t="shared" ca="1" si="348"/>
        <v>889.90906936614761</v>
      </c>
      <c r="M821" s="306">
        <f t="shared" ca="1" si="364"/>
        <v>-1.4754976471733032</v>
      </c>
      <c r="N821" s="304">
        <f t="shared" ca="1" si="365"/>
        <v>-84.539787864513315</v>
      </c>
      <c r="P821" s="310">
        <f t="shared" ca="1" si="366"/>
        <v>23</v>
      </c>
      <c r="Q821" s="304">
        <f t="shared" ca="1" si="367"/>
        <v>0</v>
      </c>
      <c r="R821" s="306">
        <f t="shared" ca="1" si="368"/>
        <v>0</v>
      </c>
      <c r="S821" s="307">
        <f t="shared" ca="1" si="369"/>
        <v>7.150000000000003</v>
      </c>
      <c r="T821" s="304">
        <f t="shared" ca="1" si="349"/>
        <v>70.141500000000036</v>
      </c>
      <c r="U821" s="311">
        <f t="shared" ca="1" si="350"/>
        <v>0</v>
      </c>
      <c r="V821" s="306">
        <f t="shared" ca="1" si="351"/>
        <v>1.2262785798159721</v>
      </c>
      <c r="W821" s="304">
        <f t="shared" ca="1" si="352"/>
        <v>54.68421474880985</v>
      </c>
      <c r="Y821" s="314" t="str">
        <f t="shared" ca="1" si="370"/>
        <v/>
      </c>
      <c r="Z821" s="315" t="str">
        <f t="shared" ca="1" si="371"/>
        <v/>
      </c>
      <c r="AA821" s="316" t="str">
        <f t="shared" ca="1" si="372"/>
        <v/>
      </c>
      <c r="AC821" s="310" t="e">
        <f t="shared" ca="1" si="373"/>
        <v>#N/A</v>
      </c>
      <c r="AD821" s="323" t="e">
        <f t="shared" ca="1" si="374"/>
        <v>#N/A</v>
      </c>
      <c r="AE821" s="324" t="e">
        <f t="shared" ca="1" si="353"/>
        <v>#N/A</v>
      </c>
      <c r="AG821" s="306">
        <f t="shared" ca="1" si="375"/>
        <v>2.1173794264004968</v>
      </c>
      <c r="AH821" s="304">
        <f t="shared" ca="1" si="376"/>
        <v>-7.6481071933399924</v>
      </c>
    </row>
    <row r="822" spans="1:34" x14ac:dyDescent="0.2">
      <c r="A822" s="347">
        <f t="shared" ca="1" si="354"/>
        <v>1E-4</v>
      </c>
      <c r="B822" s="304">
        <f t="shared" ca="1" si="355"/>
        <v>36.727100000001151</v>
      </c>
      <c r="D822" s="306">
        <f t="shared" ca="1" si="356"/>
        <v>-0.72775509951156292</v>
      </c>
      <c r="E822" s="307">
        <f t="shared" ca="1" si="357"/>
        <v>-2.1965613952619609</v>
      </c>
      <c r="F822" s="304">
        <f t="shared" ca="1" si="358"/>
        <v>2.3139812981137635</v>
      </c>
      <c r="G822" s="306">
        <f t="shared" ca="1" si="359"/>
        <v>12.437940643614349</v>
      </c>
      <c r="H822" s="307">
        <f t="shared" ca="1" si="360"/>
        <v>-130.12098637418333</v>
      </c>
      <c r="I822" s="304">
        <f t="shared" ca="1" si="361"/>
        <v>130.71409052754976</v>
      </c>
      <c r="J822" s="306">
        <f t="shared" ca="1" si="362"/>
        <v>889.84792314375909</v>
      </c>
      <c r="K822" s="307">
        <f t="shared" ca="1" si="363"/>
        <v>-10.444954230010085</v>
      </c>
      <c r="L822" s="304">
        <f t="shared" ca="1" si="348"/>
        <v>889.90922199521469</v>
      </c>
      <c r="M822" s="306">
        <f t="shared" ca="1" si="364"/>
        <v>-1.4754983613010719</v>
      </c>
      <c r="N822" s="304">
        <f t="shared" ca="1" si="365"/>
        <v>-84.539828781020489</v>
      </c>
      <c r="P822" s="310">
        <f t="shared" ca="1" si="366"/>
        <v>23</v>
      </c>
      <c r="Q822" s="304">
        <f t="shared" ca="1" si="367"/>
        <v>0</v>
      </c>
      <c r="R822" s="306">
        <f t="shared" ca="1" si="368"/>
        <v>0</v>
      </c>
      <c r="S822" s="307">
        <f t="shared" ca="1" si="369"/>
        <v>7.150000000000003</v>
      </c>
      <c r="T822" s="304">
        <f t="shared" ca="1" si="349"/>
        <v>70.141500000000036</v>
      </c>
      <c r="U822" s="311">
        <f t="shared" ca="1" si="350"/>
        <v>0</v>
      </c>
      <c r="V822" s="306">
        <f t="shared" ca="1" si="351"/>
        <v>1.2262801754618815</v>
      </c>
      <c r="W822" s="304">
        <f t="shared" ca="1" si="352"/>
        <v>54.684463063349405</v>
      </c>
      <c r="Y822" s="314" t="str">
        <f t="shared" ca="1" si="370"/>
        <v/>
      </c>
      <c r="Z822" s="315" t="str">
        <f t="shared" ca="1" si="371"/>
        <v/>
      </c>
      <c r="AA822" s="316" t="str">
        <f t="shared" ca="1" si="372"/>
        <v/>
      </c>
      <c r="AC822" s="310" t="e">
        <f t="shared" ca="1" si="373"/>
        <v>#N/A</v>
      </c>
      <c r="AD822" s="323" t="e">
        <f t="shared" ca="1" si="374"/>
        <v>#N/A</v>
      </c>
      <c r="AE822" s="324" t="e">
        <f t="shared" ca="1" si="353"/>
        <v>#N/A</v>
      </c>
      <c r="AG822" s="306">
        <f t="shared" ca="1" si="375"/>
        <v>2.1173453634522961</v>
      </c>
      <c r="AH822" s="304">
        <f t="shared" ca="1" si="376"/>
        <v>-7.6481419229104652</v>
      </c>
    </row>
    <row r="823" spans="1:34" x14ac:dyDescent="0.2">
      <c r="A823" s="347">
        <f t="shared" ca="1" si="354"/>
        <v>1E-4</v>
      </c>
      <c r="B823" s="304">
        <f t="shared" ca="1" si="355"/>
        <v>36.727200000001154</v>
      </c>
      <c r="D823" s="306">
        <f t="shared" ca="1" si="356"/>
        <v>-0.72775296716843985</v>
      </c>
      <c r="E823" s="307">
        <f t="shared" ca="1" si="357"/>
        <v>-2.1965263038288407</v>
      </c>
      <c r="F823" s="304">
        <f t="shared" ca="1" si="358"/>
        <v>2.3139473167370204</v>
      </c>
      <c r="G823" s="306">
        <f t="shared" ca="1" si="359"/>
        <v>12.437867868317632</v>
      </c>
      <c r="H823" s="307">
        <f t="shared" ca="1" si="360"/>
        <v>-130.12120602681372</v>
      </c>
      <c r="I823" s="304">
        <f t="shared" ca="1" si="361"/>
        <v>130.71430225871319</v>
      </c>
      <c r="J823" s="306">
        <f t="shared" ca="1" si="362"/>
        <v>889.84792314375909</v>
      </c>
      <c r="K823" s="307">
        <f t="shared" ca="1" si="363"/>
        <v>-10.457966339630135</v>
      </c>
      <c r="L823" s="304">
        <f t="shared" ca="1" si="348"/>
        <v>889.9093748147742</v>
      </c>
      <c r="M823" s="306">
        <f t="shared" ca="1" si="364"/>
        <v>-1.4754990754223487</v>
      </c>
      <c r="N823" s="304">
        <f t="shared" ca="1" si="365"/>
        <v>-84.539869697155723</v>
      </c>
      <c r="P823" s="310">
        <f t="shared" ca="1" si="366"/>
        <v>23</v>
      </c>
      <c r="Q823" s="304">
        <f t="shared" ca="1" si="367"/>
        <v>0</v>
      </c>
      <c r="R823" s="306">
        <f t="shared" ca="1" si="368"/>
        <v>0</v>
      </c>
      <c r="S823" s="307">
        <f t="shared" ca="1" si="369"/>
        <v>7.150000000000003</v>
      </c>
      <c r="T823" s="304">
        <f t="shared" ca="1" si="349"/>
        <v>70.141500000000036</v>
      </c>
      <c r="U823" s="311">
        <f t="shared" ca="1" si="350"/>
        <v>0</v>
      </c>
      <c r="V823" s="306">
        <f t="shared" ca="1" si="351"/>
        <v>1.2262817711125622</v>
      </c>
      <c r="W823" s="304">
        <f t="shared" ca="1" si="352"/>
        <v>54.68471137599974</v>
      </c>
      <c r="Y823" s="314" t="str">
        <f t="shared" ca="1" si="370"/>
        <v/>
      </c>
      <c r="Z823" s="315" t="str">
        <f t="shared" ca="1" si="371"/>
        <v/>
      </c>
      <c r="AA823" s="316" t="str">
        <f t="shared" ca="1" si="372"/>
        <v/>
      </c>
      <c r="AC823" s="310" t="e">
        <f t="shared" ca="1" si="373"/>
        <v>#N/A</v>
      </c>
      <c r="AD823" s="323" t="e">
        <f t="shared" ca="1" si="374"/>
        <v>#N/A</v>
      </c>
      <c r="AE823" s="324" t="e">
        <f t="shared" ca="1" si="353"/>
        <v>#N/A</v>
      </c>
      <c r="AG823" s="306">
        <f t="shared" ca="1" si="375"/>
        <v>2.117311300757291</v>
      </c>
      <c r="AH823" s="304">
        <f t="shared" ca="1" si="376"/>
        <v>-7.648176652216697</v>
      </c>
    </row>
    <row r="824" spans="1:34" x14ac:dyDescent="0.2">
      <c r="A824" s="347">
        <f t="shared" ca="1" si="354"/>
        <v>1E-4</v>
      </c>
      <c r="B824" s="304">
        <f t="shared" ca="1" si="355"/>
        <v>36.727300000001158</v>
      </c>
      <c r="D824" s="306">
        <f t="shared" ca="1" si="356"/>
        <v>-0.72775083479985259</v>
      </c>
      <c r="E824" s="307">
        <f t="shared" ca="1" si="357"/>
        <v>-2.1964912126626368</v>
      </c>
      <c r="F824" s="304">
        <f t="shared" ca="1" si="358"/>
        <v>2.3139133356407418</v>
      </c>
      <c r="G824" s="306">
        <f t="shared" ca="1" si="359"/>
        <v>12.437795093234152</v>
      </c>
      <c r="H824" s="307">
        <f t="shared" ca="1" si="360"/>
        <v>-130.121425675935</v>
      </c>
      <c r="I824" s="304">
        <f t="shared" ca="1" si="361"/>
        <v>130.71451398647037</v>
      </c>
      <c r="J824" s="306">
        <f t="shared" ca="1" si="362"/>
        <v>889.84792314375909</v>
      </c>
      <c r="K824" s="307">
        <f t="shared" ca="1" si="363"/>
        <v>-10.470978471215272</v>
      </c>
      <c r="L824" s="304">
        <f t="shared" ca="1" si="348"/>
        <v>889.9095278248268</v>
      </c>
      <c r="M824" s="306">
        <f t="shared" ca="1" si="364"/>
        <v>-1.4754997895371336</v>
      </c>
      <c r="N824" s="304">
        <f t="shared" ca="1" si="365"/>
        <v>-84.539910612918973</v>
      </c>
      <c r="P824" s="310">
        <f t="shared" ca="1" si="366"/>
        <v>23</v>
      </c>
      <c r="Q824" s="304">
        <f t="shared" ca="1" si="367"/>
        <v>0</v>
      </c>
      <c r="R824" s="306">
        <f t="shared" ca="1" si="368"/>
        <v>0</v>
      </c>
      <c r="S824" s="307">
        <f t="shared" ca="1" si="369"/>
        <v>7.150000000000003</v>
      </c>
      <c r="T824" s="304">
        <f t="shared" ca="1" si="349"/>
        <v>70.141500000000036</v>
      </c>
      <c r="U824" s="311">
        <f t="shared" ca="1" si="350"/>
        <v>0</v>
      </c>
      <c r="V824" s="306">
        <f t="shared" ca="1" si="351"/>
        <v>1.2262833667680137</v>
      </c>
      <c r="W824" s="304">
        <f t="shared" ca="1" si="352"/>
        <v>54.684959686760777</v>
      </c>
      <c r="Y824" s="314" t="str">
        <f t="shared" ca="1" si="370"/>
        <v/>
      </c>
      <c r="Z824" s="315" t="str">
        <f t="shared" ca="1" si="371"/>
        <v/>
      </c>
      <c r="AA824" s="316" t="str">
        <f t="shared" ca="1" si="372"/>
        <v/>
      </c>
      <c r="AC824" s="310" t="e">
        <f t="shared" ca="1" si="373"/>
        <v>#N/A</v>
      </c>
      <c r="AD824" s="323" t="e">
        <f t="shared" ca="1" si="374"/>
        <v>#N/A</v>
      </c>
      <c r="AE824" s="324" t="e">
        <f t="shared" ca="1" si="353"/>
        <v>#N/A</v>
      </c>
      <c r="AG824" s="306">
        <f t="shared" ca="1" si="375"/>
        <v>2.1172772383154763</v>
      </c>
      <c r="AH824" s="304">
        <f t="shared" ca="1" si="376"/>
        <v>-7.6482113812587018</v>
      </c>
    </row>
    <row r="825" spans="1:34" x14ac:dyDescent="0.2">
      <c r="A825" s="347">
        <f t="shared" ca="1" si="354"/>
        <v>1E-4</v>
      </c>
      <c r="B825" s="304">
        <f t="shared" ca="1" si="355"/>
        <v>36.727400000001161</v>
      </c>
      <c r="D825" s="306">
        <f t="shared" ca="1" si="356"/>
        <v>-0.72774870240580158</v>
      </c>
      <c r="E825" s="307">
        <f t="shared" ca="1" si="357"/>
        <v>-2.196456121763358</v>
      </c>
      <c r="F825" s="304">
        <f t="shared" ca="1" si="358"/>
        <v>2.3138793548249357</v>
      </c>
      <c r="G825" s="306">
        <f t="shared" ca="1" si="359"/>
        <v>12.437722318363912</v>
      </c>
      <c r="H825" s="307">
        <f t="shared" ca="1" si="360"/>
        <v>-130.12164532154716</v>
      </c>
      <c r="I825" s="304">
        <f t="shared" ca="1" si="361"/>
        <v>130.71472571082128</v>
      </c>
      <c r="J825" s="306">
        <f t="shared" ca="1" si="362"/>
        <v>889.84792314375909</v>
      </c>
      <c r="K825" s="307">
        <f t="shared" ca="1" si="363"/>
        <v>-10.483990624765147</v>
      </c>
      <c r="L825" s="304">
        <f t="shared" ca="1" si="348"/>
        <v>889.90968102537317</v>
      </c>
      <c r="M825" s="306">
        <f t="shared" ca="1" si="364"/>
        <v>-1.4755005036454267</v>
      </c>
      <c r="N825" s="304">
        <f t="shared" ca="1" si="365"/>
        <v>-84.539951528310297</v>
      </c>
      <c r="P825" s="310">
        <f t="shared" ca="1" si="366"/>
        <v>23</v>
      </c>
      <c r="Q825" s="304">
        <f t="shared" ca="1" si="367"/>
        <v>0</v>
      </c>
      <c r="R825" s="306">
        <f t="shared" ca="1" si="368"/>
        <v>0</v>
      </c>
      <c r="S825" s="307">
        <f t="shared" ca="1" si="369"/>
        <v>7.150000000000003</v>
      </c>
      <c r="T825" s="304">
        <f t="shared" ca="1" si="349"/>
        <v>70.141500000000036</v>
      </c>
      <c r="U825" s="311">
        <f t="shared" ca="1" si="350"/>
        <v>0</v>
      </c>
      <c r="V825" s="306">
        <f t="shared" ca="1" si="351"/>
        <v>1.2262849624282364</v>
      </c>
      <c r="W825" s="304">
        <f t="shared" ca="1" si="352"/>
        <v>54.68520799563251</v>
      </c>
      <c r="Y825" s="314" t="str">
        <f t="shared" ca="1" si="370"/>
        <v/>
      </c>
      <c r="Z825" s="315" t="str">
        <f t="shared" ca="1" si="371"/>
        <v/>
      </c>
      <c r="AA825" s="316" t="str">
        <f t="shared" ca="1" si="372"/>
        <v/>
      </c>
      <c r="AC825" s="310" t="e">
        <f t="shared" ca="1" si="373"/>
        <v>#N/A</v>
      </c>
      <c r="AD825" s="323" t="e">
        <f t="shared" ca="1" si="374"/>
        <v>#N/A</v>
      </c>
      <c r="AE825" s="324" t="e">
        <f t="shared" ca="1" si="353"/>
        <v>#N/A</v>
      </c>
      <c r="AG825" s="306">
        <f t="shared" ca="1" si="375"/>
        <v>2.1172431761268573</v>
      </c>
      <c r="AH825" s="304">
        <f t="shared" ca="1" si="376"/>
        <v>-7.6482461100364691</v>
      </c>
    </row>
    <row r="826" spans="1:34" x14ac:dyDescent="0.2">
      <c r="A826" s="347">
        <f t="shared" ca="1" si="354"/>
        <v>1E-4</v>
      </c>
      <c r="B826" s="304">
        <f t="shared" ca="1" si="355"/>
        <v>36.727500000001164</v>
      </c>
      <c r="D826" s="306">
        <f t="shared" ca="1" si="356"/>
        <v>-0.72774656998628606</v>
      </c>
      <c r="E826" s="307">
        <f t="shared" ca="1" si="357"/>
        <v>-2.1964210311310062</v>
      </c>
      <c r="F826" s="304">
        <f t="shared" ca="1" si="358"/>
        <v>2.3138453742896039</v>
      </c>
      <c r="G826" s="306">
        <f t="shared" ca="1" si="359"/>
        <v>12.437649543706913</v>
      </c>
      <c r="H826" s="307">
        <f t="shared" ca="1" si="360"/>
        <v>-130.12186496365027</v>
      </c>
      <c r="I826" s="304">
        <f t="shared" ca="1" si="361"/>
        <v>130.71493743176603</v>
      </c>
      <c r="J826" s="306">
        <f t="shared" ca="1" si="362"/>
        <v>889.84792314375909</v>
      </c>
      <c r="K826" s="307">
        <f t="shared" ca="1" si="363"/>
        <v>-10.497002800279407</v>
      </c>
      <c r="L826" s="304">
        <f t="shared" ca="1" si="348"/>
        <v>889.90983441641458</v>
      </c>
      <c r="M826" s="306">
        <f t="shared" ca="1" si="364"/>
        <v>-1.4755012177472284</v>
      </c>
      <c r="N826" s="304">
        <f t="shared" ca="1" si="365"/>
        <v>-84.539992443329666</v>
      </c>
      <c r="P826" s="310">
        <f t="shared" ca="1" si="366"/>
        <v>23</v>
      </c>
      <c r="Q826" s="304">
        <f t="shared" ca="1" si="367"/>
        <v>0</v>
      </c>
      <c r="R826" s="306">
        <f t="shared" ca="1" si="368"/>
        <v>0</v>
      </c>
      <c r="S826" s="307">
        <f t="shared" ca="1" si="369"/>
        <v>7.150000000000003</v>
      </c>
      <c r="T826" s="304">
        <f t="shared" ca="1" si="349"/>
        <v>70.141500000000036</v>
      </c>
      <c r="U826" s="311">
        <f t="shared" ca="1" si="350"/>
        <v>0</v>
      </c>
      <c r="V826" s="306">
        <f t="shared" ca="1" si="351"/>
        <v>1.2262865580932296</v>
      </c>
      <c r="W826" s="304">
        <f t="shared" ca="1" si="352"/>
        <v>54.685456302614966</v>
      </c>
      <c r="Y826" s="314" t="str">
        <f t="shared" ca="1" si="370"/>
        <v/>
      </c>
      <c r="Z826" s="315" t="str">
        <f t="shared" ca="1" si="371"/>
        <v/>
      </c>
      <c r="AA826" s="316" t="str">
        <f t="shared" ca="1" si="372"/>
        <v/>
      </c>
      <c r="AC826" s="310" t="e">
        <f t="shared" ca="1" si="373"/>
        <v>#N/A</v>
      </c>
      <c r="AD826" s="323" t="e">
        <f t="shared" ca="1" si="374"/>
        <v>#N/A</v>
      </c>
      <c r="AE826" s="324" t="e">
        <f t="shared" ca="1" si="353"/>
        <v>#N/A</v>
      </c>
      <c r="AG826" s="306">
        <f t="shared" ca="1" si="375"/>
        <v>2.1172091141914384</v>
      </c>
      <c r="AH826" s="304">
        <f t="shared" ca="1" si="376"/>
        <v>-7.6482808385499981</v>
      </c>
    </row>
    <row r="827" spans="1:34" x14ac:dyDescent="0.2">
      <c r="A827" s="347">
        <f t="shared" ca="1" si="354"/>
        <v>1E-4</v>
      </c>
      <c r="B827" s="304">
        <f t="shared" ca="1" si="355"/>
        <v>36.727600000001168</v>
      </c>
      <c r="D827" s="306">
        <f t="shared" ca="1" si="356"/>
        <v>-0.72774443754130613</v>
      </c>
      <c r="E827" s="307">
        <f t="shared" ca="1" si="357"/>
        <v>-2.1963859407655768</v>
      </c>
      <c r="F827" s="304">
        <f t="shared" ca="1" si="358"/>
        <v>2.3138113940347429</v>
      </c>
      <c r="G827" s="306">
        <f t="shared" ca="1" si="359"/>
        <v>12.437576769263158</v>
      </c>
      <c r="H827" s="307">
        <f t="shared" ca="1" si="360"/>
        <v>-130.12208460224434</v>
      </c>
      <c r="I827" s="304">
        <f t="shared" ca="1" si="361"/>
        <v>130.71514914930461</v>
      </c>
      <c r="J827" s="306">
        <f t="shared" ca="1" si="362"/>
        <v>889.84792314375909</v>
      </c>
      <c r="K827" s="307">
        <f t="shared" ca="1" si="363"/>
        <v>-10.510014997757702</v>
      </c>
      <c r="L827" s="304">
        <f t="shared" ca="1" si="348"/>
        <v>889.90998799795159</v>
      </c>
      <c r="M827" s="306">
        <f t="shared" ca="1" si="364"/>
        <v>-1.4755019318425384</v>
      </c>
      <c r="N827" s="304">
        <f t="shared" ca="1" si="365"/>
        <v>-84.540033357977109</v>
      </c>
      <c r="P827" s="310">
        <f t="shared" ca="1" si="366"/>
        <v>23</v>
      </c>
      <c r="Q827" s="304">
        <f t="shared" ca="1" si="367"/>
        <v>0</v>
      </c>
      <c r="R827" s="306">
        <f t="shared" ca="1" si="368"/>
        <v>0</v>
      </c>
      <c r="S827" s="307">
        <f t="shared" ca="1" si="369"/>
        <v>7.150000000000003</v>
      </c>
      <c r="T827" s="304">
        <f t="shared" ca="1" si="349"/>
        <v>70.141500000000036</v>
      </c>
      <c r="U827" s="311">
        <f t="shared" ca="1" si="350"/>
        <v>0</v>
      </c>
      <c r="V827" s="306">
        <f t="shared" ca="1" si="351"/>
        <v>1.2262881537629939</v>
      </c>
      <c r="W827" s="304">
        <f t="shared" ca="1" si="352"/>
        <v>54.685704607708125</v>
      </c>
      <c r="Y827" s="314" t="str">
        <f t="shared" ca="1" si="370"/>
        <v/>
      </c>
      <c r="Z827" s="315" t="str">
        <f t="shared" ca="1" si="371"/>
        <v/>
      </c>
      <c r="AA827" s="316" t="str">
        <f t="shared" ca="1" si="372"/>
        <v/>
      </c>
      <c r="AC827" s="310" t="e">
        <f t="shared" ca="1" si="373"/>
        <v>#N/A</v>
      </c>
      <c r="AD827" s="323" t="e">
        <f t="shared" ca="1" si="374"/>
        <v>#N/A</v>
      </c>
      <c r="AE827" s="324" t="e">
        <f t="shared" ca="1" si="353"/>
        <v>#N/A</v>
      </c>
      <c r="AG827" s="306">
        <f t="shared" ca="1" si="375"/>
        <v>2.1171750525092117</v>
      </c>
      <c r="AH827" s="304">
        <f t="shared" ca="1" si="376"/>
        <v>-7.648315566799293</v>
      </c>
    </row>
    <row r="828" spans="1:34" x14ac:dyDescent="0.2">
      <c r="A828" s="347">
        <f t="shared" ca="1" si="354"/>
        <v>1E-4</v>
      </c>
      <c r="B828" s="304">
        <f t="shared" ca="1" si="355"/>
        <v>36.727700000001171</v>
      </c>
      <c r="D828" s="306">
        <f t="shared" ca="1" si="356"/>
        <v>-0.72774230507086424</v>
      </c>
      <c r="E828" s="307">
        <f t="shared" ca="1" si="357"/>
        <v>-2.1963508506670744</v>
      </c>
      <c r="F828" s="304">
        <f t="shared" ca="1" si="358"/>
        <v>2.313777414060358</v>
      </c>
      <c r="G828" s="306">
        <f t="shared" ca="1" si="359"/>
        <v>12.437503995032651</v>
      </c>
      <c r="H828" s="307">
        <f t="shared" ca="1" si="360"/>
        <v>-130.12230423732942</v>
      </c>
      <c r="I828" s="304">
        <f t="shared" ca="1" si="361"/>
        <v>130.71536086343704</v>
      </c>
      <c r="J828" s="306">
        <f t="shared" ca="1" si="362"/>
        <v>889.84792314375909</v>
      </c>
      <c r="K828" s="307">
        <f t="shared" ca="1" si="363"/>
        <v>-10.523027217199681</v>
      </c>
      <c r="L828" s="304">
        <f t="shared" ca="1" si="348"/>
        <v>889.91014176998522</v>
      </c>
      <c r="M828" s="306">
        <f t="shared" ca="1" si="364"/>
        <v>-1.4755026459313569</v>
      </c>
      <c r="N828" s="304">
        <f t="shared" ca="1" si="365"/>
        <v>-84.540074272252596</v>
      </c>
      <c r="P828" s="310">
        <f t="shared" ca="1" si="366"/>
        <v>23</v>
      </c>
      <c r="Q828" s="304">
        <f t="shared" ca="1" si="367"/>
        <v>0</v>
      </c>
      <c r="R828" s="306">
        <f t="shared" ca="1" si="368"/>
        <v>0</v>
      </c>
      <c r="S828" s="307">
        <f t="shared" ca="1" si="369"/>
        <v>7.150000000000003</v>
      </c>
      <c r="T828" s="304">
        <f t="shared" ca="1" si="349"/>
        <v>70.141500000000036</v>
      </c>
      <c r="U828" s="311">
        <f t="shared" ca="1" si="350"/>
        <v>0</v>
      </c>
      <c r="V828" s="306">
        <f t="shared" ca="1" si="351"/>
        <v>1.2262897494375291</v>
      </c>
      <c r="W828" s="304">
        <f t="shared" ca="1" si="352"/>
        <v>54.685952910912</v>
      </c>
      <c r="Y828" s="314" t="str">
        <f t="shared" ca="1" si="370"/>
        <v/>
      </c>
      <c r="Z828" s="315" t="str">
        <f t="shared" ca="1" si="371"/>
        <v/>
      </c>
      <c r="AA828" s="316" t="str">
        <f t="shared" ca="1" si="372"/>
        <v/>
      </c>
      <c r="AC828" s="310" t="e">
        <f t="shared" ca="1" si="373"/>
        <v>#N/A</v>
      </c>
      <c r="AD828" s="323" t="e">
        <f t="shared" ca="1" si="374"/>
        <v>#N/A</v>
      </c>
      <c r="AE828" s="324" t="e">
        <f t="shared" ca="1" si="353"/>
        <v>#N/A</v>
      </c>
      <c r="AG828" s="306">
        <f t="shared" ca="1" si="375"/>
        <v>2.1171409910801851</v>
      </c>
      <c r="AH828" s="304">
        <f t="shared" ca="1" si="376"/>
        <v>-7.6483502947843496</v>
      </c>
    </row>
    <row r="829" spans="1:34" x14ac:dyDescent="0.2">
      <c r="A829" s="347">
        <f t="shared" ca="1" si="354"/>
        <v>1E-4</v>
      </c>
      <c r="B829" s="304">
        <f t="shared" ca="1" si="355"/>
        <v>36.727800000001174</v>
      </c>
      <c r="D829" s="306">
        <f t="shared" ca="1" si="356"/>
        <v>-0.72774017257496038</v>
      </c>
      <c r="E829" s="307">
        <f t="shared" ca="1" si="357"/>
        <v>-2.1963157608354944</v>
      </c>
      <c r="F829" s="304">
        <f t="shared" ca="1" si="358"/>
        <v>2.3137434343664447</v>
      </c>
      <c r="G829" s="306">
        <f t="shared" ca="1" si="359"/>
        <v>12.437431221015395</v>
      </c>
      <c r="H829" s="307">
        <f t="shared" ca="1" si="360"/>
        <v>-130.12252386890549</v>
      </c>
      <c r="I829" s="304">
        <f t="shared" ca="1" si="361"/>
        <v>130.71557257416336</v>
      </c>
      <c r="J829" s="306">
        <f t="shared" ca="1" si="362"/>
        <v>889.84792314375909</v>
      </c>
      <c r="K829" s="307">
        <f t="shared" ca="1" si="363"/>
        <v>-10.536039458604993</v>
      </c>
      <c r="L829" s="304">
        <f t="shared" ca="1" si="348"/>
        <v>889.91029573251637</v>
      </c>
      <c r="M829" s="306">
        <f t="shared" ca="1" si="364"/>
        <v>-1.475503360013684</v>
      </c>
      <c r="N829" s="304">
        <f t="shared" ca="1" si="365"/>
        <v>-84.540115186156171</v>
      </c>
      <c r="P829" s="310">
        <f t="shared" ca="1" si="366"/>
        <v>23</v>
      </c>
      <c r="Q829" s="304">
        <f t="shared" ca="1" si="367"/>
        <v>0</v>
      </c>
      <c r="R829" s="306">
        <f t="shared" ca="1" si="368"/>
        <v>0</v>
      </c>
      <c r="S829" s="307">
        <f t="shared" ca="1" si="369"/>
        <v>7.150000000000003</v>
      </c>
      <c r="T829" s="304">
        <f t="shared" ca="1" si="349"/>
        <v>70.141500000000036</v>
      </c>
      <c r="U829" s="311">
        <f t="shared" ca="1" si="350"/>
        <v>0</v>
      </c>
      <c r="V829" s="306">
        <f t="shared" ca="1" si="351"/>
        <v>1.2262913451168345</v>
      </c>
      <c r="W829" s="304">
        <f t="shared" ca="1" si="352"/>
        <v>54.686201212226564</v>
      </c>
      <c r="Y829" s="314" t="str">
        <f t="shared" ca="1" si="370"/>
        <v/>
      </c>
      <c r="Z829" s="315" t="str">
        <f t="shared" ca="1" si="371"/>
        <v/>
      </c>
      <c r="AA829" s="316" t="str">
        <f t="shared" ca="1" si="372"/>
        <v/>
      </c>
      <c r="AC829" s="310" t="e">
        <f t="shared" ca="1" si="373"/>
        <v>#N/A</v>
      </c>
      <c r="AD829" s="323" t="e">
        <f t="shared" ca="1" si="374"/>
        <v>#N/A</v>
      </c>
      <c r="AE829" s="324" t="e">
        <f t="shared" ca="1" si="353"/>
        <v>#N/A</v>
      </c>
      <c r="AG829" s="306">
        <f t="shared" ca="1" si="375"/>
        <v>2.117106929904355</v>
      </c>
      <c r="AH829" s="304">
        <f t="shared" ca="1" si="376"/>
        <v>-7.6483850225051713</v>
      </c>
    </row>
    <row r="830" spans="1:34" x14ac:dyDescent="0.2">
      <c r="A830" s="347">
        <f t="shared" ca="1" si="354"/>
        <v>1E-4</v>
      </c>
      <c r="B830" s="304">
        <f t="shared" ca="1" si="355"/>
        <v>36.727900000001178</v>
      </c>
      <c r="D830" s="306">
        <f t="shared" ca="1" si="356"/>
        <v>-0.72773804005359533</v>
      </c>
      <c r="E830" s="307">
        <f t="shared" ca="1" si="357"/>
        <v>-2.196280671270844</v>
      </c>
      <c r="F830" s="304">
        <f t="shared" ca="1" si="358"/>
        <v>2.3137094549530106</v>
      </c>
      <c r="G830" s="306">
        <f t="shared" ca="1" si="359"/>
        <v>12.437358447211389</v>
      </c>
      <c r="H830" s="307">
        <f t="shared" ca="1" si="360"/>
        <v>-130.12274349697262</v>
      </c>
      <c r="I830" s="304">
        <f t="shared" ca="1" si="361"/>
        <v>130.71578428148359</v>
      </c>
      <c r="J830" s="306">
        <f t="shared" ca="1" si="362"/>
        <v>889.84792314375909</v>
      </c>
      <c r="K830" s="307">
        <f t="shared" ca="1" si="363"/>
        <v>-10.549051721973287</v>
      </c>
      <c r="L830" s="304">
        <f t="shared" ca="1" si="348"/>
        <v>889.91044988554563</v>
      </c>
      <c r="M830" s="306">
        <f t="shared" ca="1" si="364"/>
        <v>-1.47550407408952</v>
      </c>
      <c r="N830" s="304">
        <f t="shared" ca="1" si="365"/>
        <v>-84.54015609968782</v>
      </c>
      <c r="P830" s="310">
        <f t="shared" ca="1" si="366"/>
        <v>23</v>
      </c>
      <c r="Q830" s="304">
        <f t="shared" ca="1" si="367"/>
        <v>0</v>
      </c>
      <c r="R830" s="306">
        <f t="shared" ca="1" si="368"/>
        <v>0</v>
      </c>
      <c r="S830" s="307">
        <f t="shared" ca="1" si="369"/>
        <v>7.150000000000003</v>
      </c>
      <c r="T830" s="304">
        <f t="shared" ca="1" si="349"/>
        <v>70.141500000000036</v>
      </c>
      <c r="U830" s="311">
        <f t="shared" ca="1" si="350"/>
        <v>0</v>
      </c>
      <c r="V830" s="306">
        <f t="shared" ca="1" si="351"/>
        <v>1.2262929408009109</v>
      </c>
      <c r="W830" s="304">
        <f t="shared" ca="1" si="352"/>
        <v>54.686449511651858</v>
      </c>
      <c r="Y830" s="314" t="str">
        <f t="shared" ca="1" si="370"/>
        <v/>
      </c>
      <c r="Z830" s="315" t="str">
        <f t="shared" ca="1" si="371"/>
        <v/>
      </c>
      <c r="AA830" s="316" t="str">
        <f t="shared" ca="1" si="372"/>
        <v/>
      </c>
      <c r="AC830" s="310" t="e">
        <f t="shared" ca="1" si="373"/>
        <v>#N/A</v>
      </c>
      <c r="AD830" s="323" t="e">
        <f t="shared" ca="1" si="374"/>
        <v>#N/A</v>
      </c>
      <c r="AE830" s="324" t="e">
        <f t="shared" ca="1" si="353"/>
        <v>#N/A</v>
      </c>
      <c r="AG830" s="306">
        <f t="shared" ca="1" si="375"/>
        <v>2.117072868981726</v>
      </c>
      <c r="AH830" s="304">
        <f t="shared" ca="1" si="376"/>
        <v>-7.6484197499617537</v>
      </c>
    </row>
    <row r="831" spans="1:34" x14ac:dyDescent="0.2">
      <c r="A831" s="347">
        <f t="shared" ca="1" si="354"/>
        <v>1E-4</v>
      </c>
      <c r="B831" s="304">
        <f t="shared" ca="1" si="355"/>
        <v>36.728000000001181</v>
      </c>
      <c r="D831" s="306">
        <f t="shared" ca="1" si="356"/>
        <v>-0.72773590750676731</v>
      </c>
      <c r="E831" s="307">
        <f t="shared" ca="1" si="357"/>
        <v>-2.1962455819731135</v>
      </c>
      <c r="F831" s="304">
        <f t="shared" ca="1" si="358"/>
        <v>2.3136754758200464</v>
      </c>
      <c r="G831" s="306">
        <f t="shared" ca="1" si="359"/>
        <v>12.437285673620639</v>
      </c>
      <c r="H831" s="307">
        <f t="shared" ca="1" si="360"/>
        <v>-130.1229631215308</v>
      </c>
      <c r="I831" s="304">
        <f t="shared" ca="1" si="361"/>
        <v>130.71599598539774</v>
      </c>
      <c r="J831" s="306">
        <f t="shared" ca="1" si="362"/>
        <v>889.84792314375909</v>
      </c>
      <c r="K831" s="307">
        <f t="shared" ca="1" si="363"/>
        <v>-10.562064007304212</v>
      </c>
      <c r="L831" s="304">
        <f t="shared" ca="1" si="348"/>
        <v>889.91060422907412</v>
      </c>
      <c r="M831" s="306">
        <f t="shared" ca="1" si="364"/>
        <v>-1.4755047881588645</v>
      </c>
      <c r="N831" s="304">
        <f t="shared" ca="1" si="365"/>
        <v>-84.540197012847543</v>
      </c>
      <c r="P831" s="310">
        <f t="shared" ca="1" si="366"/>
        <v>23</v>
      </c>
      <c r="Q831" s="304">
        <f t="shared" ca="1" si="367"/>
        <v>0</v>
      </c>
      <c r="R831" s="306">
        <f t="shared" ca="1" si="368"/>
        <v>0</v>
      </c>
      <c r="S831" s="307">
        <f t="shared" ca="1" si="369"/>
        <v>7.150000000000003</v>
      </c>
      <c r="T831" s="304">
        <f t="shared" ca="1" si="349"/>
        <v>70.141500000000036</v>
      </c>
      <c r="U831" s="311">
        <f t="shared" ca="1" si="350"/>
        <v>0</v>
      </c>
      <c r="V831" s="306">
        <f t="shared" ca="1" si="351"/>
        <v>1.2262945364897579</v>
      </c>
      <c r="W831" s="304">
        <f t="shared" ca="1" si="352"/>
        <v>54.686697809187834</v>
      </c>
      <c r="Y831" s="314" t="str">
        <f t="shared" ca="1" si="370"/>
        <v/>
      </c>
      <c r="Z831" s="315" t="str">
        <f t="shared" ca="1" si="371"/>
        <v/>
      </c>
      <c r="AA831" s="316" t="str">
        <f t="shared" ca="1" si="372"/>
        <v/>
      </c>
      <c r="AC831" s="310" t="e">
        <f t="shared" ca="1" si="373"/>
        <v>#N/A</v>
      </c>
      <c r="AD831" s="323" t="e">
        <f t="shared" ca="1" si="374"/>
        <v>#N/A</v>
      </c>
      <c r="AE831" s="324" t="e">
        <f t="shared" ca="1" si="353"/>
        <v>#N/A</v>
      </c>
      <c r="AG831" s="306">
        <f t="shared" ca="1" si="375"/>
        <v>2.11703880831229</v>
      </c>
      <c r="AH831" s="304">
        <f t="shared" ca="1" si="376"/>
        <v>-7.648454477154103</v>
      </c>
    </row>
    <row r="832" spans="1:34" x14ac:dyDescent="0.2">
      <c r="A832" s="347">
        <f t="shared" ca="1" si="354"/>
        <v>1E-4</v>
      </c>
      <c r="B832" s="304">
        <f t="shared" ca="1" si="355"/>
        <v>36.728100000001184</v>
      </c>
      <c r="D832" s="306">
        <f t="shared" ca="1" si="356"/>
        <v>-0.72773377493448066</v>
      </c>
      <c r="E832" s="307">
        <f t="shared" ca="1" si="357"/>
        <v>-2.1962104929423125</v>
      </c>
      <c r="F832" s="304">
        <f t="shared" ca="1" si="358"/>
        <v>2.3136414969675627</v>
      </c>
      <c r="G832" s="306">
        <f t="shared" ca="1" si="359"/>
        <v>12.437212900243146</v>
      </c>
      <c r="H832" s="307">
        <f t="shared" ca="1" si="360"/>
        <v>-130.1231827425801</v>
      </c>
      <c r="I832" s="304">
        <f t="shared" ca="1" si="361"/>
        <v>130.71620768590583</v>
      </c>
      <c r="J832" s="306">
        <f t="shared" ca="1" si="362"/>
        <v>889.84792314375909</v>
      </c>
      <c r="K832" s="307">
        <f t="shared" ca="1" si="363"/>
        <v>-10.575076314597418</v>
      </c>
      <c r="L832" s="304">
        <f t="shared" ca="1" si="348"/>
        <v>889.91075876310265</v>
      </c>
      <c r="M832" s="306">
        <f t="shared" ca="1" si="364"/>
        <v>-1.4755055022217183</v>
      </c>
      <c r="N832" s="304">
        <f t="shared" ca="1" si="365"/>
        <v>-84.540237925635367</v>
      </c>
      <c r="P832" s="310">
        <f t="shared" ca="1" si="366"/>
        <v>23</v>
      </c>
      <c r="Q832" s="304">
        <f t="shared" ca="1" si="367"/>
        <v>0</v>
      </c>
      <c r="R832" s="306">
        <f t="shared" ca="1" si="368"/>
        <v>0</v>
      </c>
      <c r="S832" s="307">
        <f t="shared" ca="1" si="369"/>
        <v>7.150000000000003</v>
      </c>
      <c r="T832" s="304">
        <f t="shared" ca="1" si="349"/>
        <v>70.141500000000036</v>
      </c>
      <c r="U832" s="311">
        <f t="shared" ca="1" si="350"/>
        <v>0</v>
      </c>
      <c r="V832" s="306">
        <f t="shared" ca="1" si="351"/>
        <v>1.2262961321833761</v>
      </c>
      <c r="W832" s="304">
        <f t="shared" ca="1" si="352"/>
        <v>54.686946104834512</v>
      </c>
      <c r="Y832" s="314" t="str">
        <f t="shared" ca="1" si="370"/>
        <v/>
      </c>
      <c r="Z832" s="315" t="str">
        <f t="shared" ca="1" si="371"/>
        <v/>
      </c>
      <c r="AA832" s="316" t="str">
        <f t="shared" ca="1" si="372"/>
        <v/>
      </c>
      <c r="AC832" s="310" t="e">
        <f t="shared" ca="1" si="373"/>
        <v>#N/A</v>
      </c>
      <c r="AD832" s="323" t="e">
        <f t="shared" ca="1" si="374"/>
        <v>#N/A</v>
      </c>
      <c r="AE832" s="324" t="e">
        <f t="shared" ca="1" si="353"/>
        <v>#N/A</v>
      </c>
      <c r="AG832" s="306">
        <f t="shared" ca="1" si="375"/>
        <v>2.1170047478960585</v>
      </c>
      <c r="AH832" s="304">
        <f t="shared" ca="1" si="376"/>
        <v>-7.6484892040822112</v>
      </c>
    </row>
    <row r="833" spans="1:34" x14ac:dyDescent="0.2">
      <c r="A833" s="347">
        <f t="shared" ca="1" si="354"/>
        <v>1E-4</v>
      </c>
      <c r="B833" s="304">
        <f t="shared" ca="1" si="355"/>
        <v>36.728200000001188</v>
      </c>
      <c r="D833" s="306">
        <f t="shared" ca="1" si="356"/>
        <v>-0.72773164233673149</v>
      </c>
      <c r="E833" s="307">
        <f t="shared" ca="1" si="357"/>
        <v>-2.1961754041784376</v>
      </c>
      <c r="F833" s="304">
        <f t="shared" ca="1" si="358"/>
        <v>2.3136075183955556</v>
      </c>
      <c r="G833" s="306">
        <f t="shared" ca="1" si="359"/>
        <v>12.437140127078912</v>
      </c>
      <c r="H833" s="307">
        <f t="shared" ca="1" si="360"/>
        <v>-130.12340236012051</v>
      </c>
      <c r="I833" s="304">
        <f t="shared" ca="1" si="361"/>
        <v>130.71641938300795</v>
      </c>
      <c r="J833" s="306">
        <f t="shared" ca="1" si="362"/>
        <v>889.84792314375909</v>
      </c>
      <c r="K833" s="307">
        <f t="shared" ca="1" si="363"/>
        <v>-10.588088643852553</v>
      </c>
      <c r="L833" s="304">
        <f t="shared" ca="1" si="348"/>
        <v>889.91091348763189</v>
      </c>
      <c r="M833" s="306">
        <f t="shared" ca="1" si="364"/>
        <v>-1.4755062162780808</v>
      </c>
      <c r="N833" s="304">
        <f t="shared" ca="1" si="365"/>
        <v>-84.540278838051279</v>
      </c>
      <c r="P833" s="310">
        <f t="shared" ca="1" si="366"/>
        <v>23</v>
      </c>
      <c r="Q833" s="304">
        <f t="shared" ca="1" si="367"/>
        <v>0</v>
      </c>
      <c r="R833" s="306">
        <f t="shared" ca="1" si="368"/>
        <v>0</v>
      </c>
      <c r="S833" s="307">
        <f t="shared" ca="1" si="369"/>
        <v>7.150000000000003</v>
      </c>
      <c r="T833" s="304">
        <f t="shared" ca="1" si="349"/>
        <v>70.141500000000036</v>
      </c>
      <c r="U833" s="311">
        <f t="shared" ca="1" si="350"/>
        <v>0</v>
      </c>
      <c r="V833" s="306">
        <f t="shared" ca="1" si="351"/>
        <v>1.2262977278817644</v>
      </c>
      <c r="W833" s="304">
        <f t="shared" ca="1" si="352"/>
        <v>54.687194398591892</v>
      </c>
      <c r="Y833" s="314" t="str">
        <f t="shared" ca="1" si="370"/>
        <v/>
      </c>
      <c r="Z833" s="315" t="str">
        <f t="shared" ca="1" si="371"/>
        <v/>
      </c>
      <c r="AA833" s="316" t="str">
        <f t="shared" ca="1" si="372"/>
        <v/>
      </c>
      <c r="AC833" s="310" t="e">
        <f t="shared" ca="1" si="373"/>
        <v>#N/A</v>
      </c>
      <c r="AD833" s="323" t="e">
        <f t="shared" ca="1" si="374"/>
        <v>#N/A</v>
      </c>
      <c r="AE833" s="324" t="e">
        <f t="shared" ca="1" si="353"/>
        <v>#N/A</v>
      </c>
      <c r="AG833" s="306">
        <f t="shared" ca="1" si="375"/>
        <v>2.1169706877330263</v>
      </c>
      <c r="AH833" s="304">
        <f t="shared" ca="1" si="376"/>
        <v>-7.6485239307460819</v>
      </c>
    </row>
    <row r="834" spans="1:34" x14ac:dyDescent="0.2">
      <c r="A834" s="347">
        <f t="shared" ca="1" si="354"/>
        <v>1E-4</v>
      </c>
      <c r="B834" s="304">
        <f t="shared" ca="1" si="355"/>
        <v>36.728300000001191</v>
      </c>
      <c r="D834" s="306">
        <f t="shared" ca="1" si="356"/>
        <v>-0.72772950971352468</v>
      </c>
      <c r="E834" s="307">
        <f t="shared" ca="1" si="357"/>
        <v>-2.1961403156814887</v>
      </c>
      <c r="F834" s="304">
        <f t="shared" ca="1" si="358"/>
        <v>2.3135735401040263</v>
      </c>
      <c r="G834" s="306">
        <f t="shared" ca="1" si="359"/>
        <v>12.43706735412794</v>
      </c>
      <c r="H834" s="307">
        <f t="shared" ca="1" si="360"/>
        <v>-130.12362197415209</v>
      </c>
      <c r="I834" s="304">
        <f t="shared" ca="1" si="361"/>
        <v>130.71663107670403</v>
      </c>
      <c r="J834" s="306">
        <f t="shared" ca="1" si="362"/>
        <v>889.84792314375909</v>
      </c>
      <c r="K834" s="307">
        <f t="shared" ca="1" si="363"/>
        <v>-10.601100995069267</v>
      </c>
      <c r="L834" s="304">
        <f t="shared" ca="1" si="348"/>
        <v>889.91106840266298</v>
      </c>
      <c r="M834" s="306">
        <f t="shared" ca="1" si="364"/>
        <v>-1.4755069303279524</v>
      </c>
      <c r="N834" s="304">
        <f t="shared" ca="1" si="365"/>
        <v>-84.540319750095279</v>
      </c>
      <c r="P834" s="310">
        <f t="shared" ca="1" si="366"/>
        <v>23</v>
      </c>
      <c r="Q834" s="304">
        <f t="shared" ca="1" si="367"/>
        <v>0</v>
      </c>
      <c r="R834" s="306">
        <f t="shared" ca="1" si="368"/>
        <v>0</v>
      </c>
      <c r="S834" s="307">
        <f t="shared" ca="1" si="369"/>
        <v>7.150000000000003</v>
      </c>
      <c r="T834" s="304">
        <f t="shared" ca="1" si="349"/>
        <v>70.141500000000036</v>
      </c>
      <c r="U834" s="311">
        <f t="shared" ca="1" si="350"/>
        <v>0</v>
      </c>
      <c r="V834" s="306">
        <f t="shared" ca="1" si="351"/>
        <v>1.2262993235849238</v>
      </c>
      <c r="W834" s="304">
        <f t="shared" ca="1" si="352"/>
        <v>54.687442690459982</v>
      </c>
      <c r="Y834" s="314" t="str">
        <f t="shared" ca="1" si="370"/>
        <v/>
      </c>
      <c r="Z834" s="315" t="str">
        <f t="shared" ca="1" si="371"/>
        <v/>
      </c>
      <c r="AA834" s="316" t="str">
        <f t="shared" ca="1" si="372"/>
        <v/>
      </c>
      <c r="AC834" s="310" t="e">
        <f t="shared" ca="1" si="373"/>
        <v>#N/A</v>
      </c>
      <c r="AD834" s="323" t="e">
        <f t="shared" ca="1" si="374"/>
        <v>#N/A</v>
      </c>
      <c r="AE834" s="324" t="e">
        <f t="shared" ca="1" si="353"/>
        <v>#N/A</v>
      </c>
      <c r="AG834" s="306">
        <f t="shared" ca="1" si="375"/>
        <v>2.1169366278231925</v>
      </c>
      <c r="AH834" s="304">
        <f t="shared" ca="1" si="376"/>
        <v>-7.648558657145716</v>
      </c>
    </row>
    <row r="835" spans="1:34" x14ac:dyDescent="0.2">
      <c r="A835" s="347">
        <f t="shared" ca="1" si="354"/>
        <v>1E-4</v>
      </c>
      <c r="B835" s="304">
        <f t="shared" ca="1" si="355"/>
        <v>36.728400000001194</v>
      </c>
      <c r="D835" s="306">
        <f t="shared" ca="1" si="356"/>
        <v>-0.72772737706485802</v>
      </c>
      <c r="E835" s="307">
        <f t="shared" ca="1" si="357"/>
        <v>-2.1961052274514641</v>
      </c>
      <c r="F835" s="304">
        <f t="shared" ca="1" si="358"/>
        <v>2.3135395620929726</v>
      </c>
      <c r="G835" s="306">
        <f t="shared" ca="1" si="359"/>
        <v>12.436994581390234</v>
      </c>
      <c r="H835" s="307">
        <f t="shared" ca="1" si="360"/>
        <v>-130.12384158467484</v>
      </c>
      <c r="I835" s="304">
        <f t="shared" ca="1" si="361"/>
        <v>130.7168427669942</v>
      </c>
      <c r="J835" s="306">
        <f t="shared" ca="1" si="362"/>
        <v>889.84792314375909</v>
      </c>
      <c r="K835" s="307">
        <f t="shared" ca="1" si="363"/>
        <v>-10.614113368247208</v>
      </c>
      <c r="L835" s="304">
        <f t="shared" ca="1" si="348"/>
        <v>889.91122350819649</v>
      </c>
      <c r="M835" s="306">
        <f t="shared" ca="1" si="364"/>
        <v>-1.4755076443713333</v>
      </c>
      <c r="N835" s="304">
        <f t="shared" ca="1" si="365"/>
        <v>-84.540360661767394</v>
      </c>
      <c r="P835" s="310">
        <f t="shared" ca="1" si="366"/>
        <v>23</v>
      </c>
      <c r="Q835" s="304">
        <f t="shared" ca="1" si="367"/>
        <v>0</v>
      </c>
      <c r="R835" s="306">
        <f t="shared" ca="1" si="368"/>
        <v>0</v>
      </c>
      <c r="S835" s="307">
        <f t="shared" ca="1" si="369"/>
        <v>7.150000000000003</v>
      </c>
      <c r="T835" s="304">
        <f t="shared" ca="1" si="349"/>
        <v>70.141500000000036</v>
      </c>
      <c r="U835" s="311">
        <f t="shared" ca="1" si="350"/>
        <v>0</v>
      </c>
      <c r="V835" s="306">
        <f t="shared" ca="1" si="351"/>
        <v>1.2263009192928531</v>
      </c>
      <c r="W835" s="304">
        <f t="shared" ca="1" si="352"/>
        <v>54.687690980438767</v>
      </c>
      <c r="Y835" s="314" t="str">
        <f t="shared" ca="1" si="370"/>
        <v/>
      </c>
      <c r="Z835" s="315" t="str">
        <f t="shared" ca="1" si="371"/>
        <v/>
      </c>
      <c r="AA835" s="316" t="str">
        <f t="shared" ca="1" si="372"/>
        <v/>
      </c>
      <c r="AC835" s="310" t="e">
        <f t="shared" ca="1" si="373"/>
        <v>#N/A</v>
      </c>
      <c r="AD835" s="323" t="e">
        <f t="shared" ca="1" si="374"/>
        <v>#N/A</v>
      </c>
      <c r="AE835" s="324" t="e">
        <f t="shared" ca="1" si="353"/>
        <v>#N/A</v>
      </c>
      <c r="AG835" s="306">
        <f t="shared" ca="1" si="375"/>
        <v>2.1169025681665552</v>
      </c>
      <c r="AH835" s="304">
        <f t="shared" ca="1" si="376"/>
        <v>-7.6485933832811135</v>
      </c>
    </row>
    <row r="836" spans="1:34" x14ac:dyDescent="0.2">
      <c r="A836" s="347">
        <f t="shared" ca="1" si="354"/>
        <v>1E-4</v>
      </c>
      <c r="B836" s="304">
        <f t="shared" ca="1" si="355"/>
        <v>36.728500000001198</v>
      </c>
      <c r="D836" s="306">
        <f t="shared" ca="1" si="356"/>
        <v>-0.72772524439073261</v>
      </c>
      <c r="E836" s="307">
        <f t="shared" ca="1" si="357"/>
        <v>-2.1960701394883664</v>
      </c>
      <c r="F836" s="304">
        <f t="shared" ca="1" si="358"/>
        <v>2.3135055843623986</v>
      </c>
      <c r="G836" s="306">
        <f t="shared" ca="1" si="359"/>
        <v>12.436921808865796</v>
      </c>
      <c r="H836" s="307">
        <f t="shared" ca="1" si="360"/>
        <v>-130.12406119168878</v>
      </c>
      <c r="I836" s="304">
        <f t="shared" ca="1" si="361"/>
        <v>130.7170544538784</v>
      </c>
      <c r="J836" s="306">
        <f t="shared" ca="1" si="362"/>
        <v>889.84792314375909</v>
      </c>
      <c r="K836" s="307">
        <f t="shared" ca="1" si="363"/>
        <v>-10.627125763386026</v>
      </c>
      <c r="L836" s="304">
        <f t="shared" ref="L836:L899" ca="1" si="377">SQRT(pos_x^2+pos_z^2)</f>
        <v>889.91137880423366</v>
      </c>
      <c r="M836" s="306">
        <f t="shared" ca="1" si="364"/>
        <v>-1.4755083584082234</v>
      </c>
      <c r="N836" s="304">
        <f t="shared" ca="1" si="365"/>
        <v>-84.540401573067612</v>
      </c>
      <c r="P836" s="310">
        <f t="shared" ca="1" si="366"/>
        <v>23</v>
      </c>
      <c r="Q836" s="304">
        <f t="shared" ca="1" si="367"/>
        <v>0</v>
      </c>
      <c r="R836" s="306">
        <f t="shared" ca="1" si="368"/>
        <v>0</v>
      </c>
      <c r="S836" s="307">
        <f t="shared" ca="1" si="369"/>
        <v>7.150000000000003</v>
      </c>
      <c r="T836" s="304">
        <f t="shared" ref="T836:T899" ca="1" si="378">m*g</f>
        <v>70.141500000000036</v>
      </c>
      <c r="U836" s="311">
        <f t="shared" ref="U836:U899" ca="1" si="379">IF(pos_xz&lt;L_rampe,Poids*COS(Beta),0)</f>
        <v>0</v>
      </c>
      <c r="V836" s="306">
        <f t="shared" ref="V836:V899" ca="1" si="380">Rho_moyen*(20000-Alt_rampe-pos_z)/(20000+Alt_rampe+pos_z)</f>
        <v>1.2263025150055533</v>
      </c>
      <c r="W836" s="304">
        <f t="shared" ref="W836:W899" ca="1" si="381">1/2*Rho*Sref*Cx*vit_xz^2</f>
        <v>54.687939268528226</v>
      </c>
      <c r="Y836" s="314" t="str">
        <f t="shared" ca="1" si="370"/>
        <v/>
      </c>
      <c r="Z836" s="315" t="str">
        <f t="shared" ca="1" si="371"/>
        <v/>
      </c>
      <c r="AA836" s="316" t="str">
        <f t="shared" ca="1" si="372"/>
        <v/>
      </c>
      <c r="AC836" s="310" t="e">
        <f t="shared" ca="1" si="373"/>
        <v>#N/A</v>
      </c>
      <c r="AD836" s="323" t="e">
        <f t="shared" ca="1" si="374"/>
        <v>#N/A</v>
      </c>
      <c r="AE836" s="324" t="e">
        <f t="shared" ref="AE836:AE899" ca="1" si="382">IF(t&lt;T_para, pos_z, NA())</f>
        <v>#N/A</v>
      </c>
      <c r="AG836" s="306">
        <f t="shared" ca="1" si="375"/>
        <v>2.1168685087631243</v>
      </c>
      <c r="AH836" s="304">
        <f t="shared" ca="1" si="376"/>
        <v>-7.6486281091522716</v>
      </c>
    </row>
    <row r="837" spans="1:34" x14ac:dyDescent="0.2">
      <c r="A837" s="347">
        <f t="shared" ref="A837:A900" ca="1" si="383">IF(B836+0.01&lt;=T_ini+ROUNDUP(Temps_fin_propu,0), 0.01, IF(K836&gt;0, 0.1, 0.0001))</f>
        <v>1E-4</v>
      </c>
      <c r="B837" s="304">
        <f t="shared" ref="B837:B900" ca="1" si="384">B836+pas</f>
        <v>36.728600000001201</v>
      </c>
      <c r="D837" s="306">
        <f t="shared" ref="D837:D900" ca="1" si="385">IF(AND(L836&lt;L_rampe,Poussee&lt;Poids*SIN(M836)),0,(-W836+Poussee)/m*COS(M836)-U836/m*SIN(M836))</f>
        <v>-0.72772311169114934</v>
      </c>
      <c r="E837" s="307">
        <f t="shared" ref="E837:E900" ca="1" si="386">IF(AND(L836&lt;L_rampe,Poussee&lt;Poids*SIN(M836)),0,(-W836+Poussee)/m*SIN(M836)+U836/m*COS(M836)-Poids/m)</f>
        <v>-2.1960350517921992</v>
      </c>
      <c r="F837" s="304">
        <f t="shared" ref="F837:F900" ca="1" si="387">SQRT(acc_x^2+acc_z^2)</f>
        <v>2.3134716069123078</v>
      </c>
      <c r="G837" s="306">
        <f t="shared" ref="G837:G900" ca="1" si="388">G836+acc_x*pas</f>
        <v>12.436849036554626</v>
      </c>
      <c r="H837" s="307">
        <f t="shared" ref="H837:H900" ca="1" si="389">H836+acc_z*pas</f>
        <v>-130.12428079519395</v>
      </c>
      <c r="I837" s="304">
        <f t="shared" ref="I837:I900" ca="1" si="390">SQRT(vit_x^2+vit_z^2)</f>
        <v>130.71726613735666</v>
      </c>
      <c r="J837" s="306">
        <f t="shared" ref="J837:J900" ca="1" si="391">J836+0.5*(vit_x+G836)*pas*(K836&gt;=0)</f>
        <v>889.84792314375909</v>
      </c>
      <c r="K837" s="307">
        <f t="shared" ref="K837:K900" ca="1" si="392">K836+0.5*(vit_z+H836)*pas</f>
        <v>-10.640138180485369</v>
      </c>
      <c r="L837" s="304">
        <f t="shared" ca="1" si="377"/>
        <v>889.91153429077497</v>
      </c>
      <c r="M837" s="306">
        <f t="shared" ref="M837:M900" ca="1" si="393">IF(AND(L836&gt;L_rampe,G837&gt;0),ATAN2(G837,H837),$M$4)</f>
        <v>-1.4755090724386226</v>
      </c>
      <c r="N837" s="304">
        <f t="shared" ref="N837:N900" ca="1" si="394">DEGREES(Beta)</f>
        <v>-84.540442483995932</v>
      </c>
      <c r="P837" s="310">
        <f t="shared" ref="P837:P900" ca="1" si="395">MATCH(t-pas/2-T_ini,CdP_t)</f>
        <v>23</v>
      </c>
      <c r="Q837" s="304">
        <f t="shared" ref="Q837:Q900" ca="1" si="396">(INDEX(CdP,2,i_P+1)-INDEX(CdP,2,i_P+0))/(INDEX(CdP,1,i_P+1)-INDEX(CdP,1,i_P+0))*(t-pas/2-T_ini-INDEX(CdP,1,i_P+0))+INDEX(CdP,2,i_P+0)</f>
        <v>0</v>
      </c>
      <c r="R837" s="306">
        <f t="shared" ref="R837:R900" ca="1" si="397">Poussee/(g*ISP)</f>
        <v>0</v>
      </c>
      <c r="S837" s="307">
        <f t="shared" ref="S837:S900" ca="1" si="398">S836-Débit*pas</f>
        <v>7.150000000000003</v>
      </c>
      <c r="T837" s="304">
        <f t="shared" ca="1" si="378"/>
        <v>70.141500000000036</v>
      </c>
      <c r="U837" s="311">
        <f t="shared" ca="1" si="379"/>
        <v>0</v>
      </c>
      <c r="V837" s="306">
        <f t="shared" ca="1" si="380"/>
        <v>1.2263041107230244</v>
      </c>
      <c r="W837" s="304">
        <f t="shared" ca="1" si="381"/>
        <v>54.68818755472838</v>
      </c>
      <c r="Y837" s="314" t="str">
        <f t="shared" ref="Y837:Y900" ca="1" si="399">IF(AND(pos_z&lt;=0,K836&gt;0),"Impact balistique","") &amp; IF(AND(H838&lt;0,vit_z&gt;=0),"Apogée","") &amp; IF(AND(Poussee=0,Q836&gt;0),"Fin de propulsion","") &amp; IF(AND(L838&gt;L_rampe,pos_xz&lt;=L_rampe),"Sortie de rampe","")</f>
        <v/>
      </c>
      <c r="Z837" s="315" t="str">
        <f t="shared" ref="Z837:Z900" ca="1" si="400">IF(ABS(t-T_para)&lt;pas/2,"Para","")</f>
        <v/>
      </c>
      <c r="AA837" s="316" t="str">
        <f t="shared" ref="AA837:AA900" ca="1" si="401">IF(ABS(t-T_satellite)&lt;pas/2,"Satellite","")</f>
        <v/>
      </c>
      <c r="AC837" s="310" t="e">
        <f t="shared" ref="AC837:AC900" ca="1" si="402">IF(ABS(t-ROUND(t,0))&lt;0.001,t,NA())</f>
        <v>#N/A</v>
      </c>
      <c r="AD837" s="323" t="e">
        <f t="shared" ref="AD837:AD900" ca="1" si="403">IF(ABS(t-ROUND(t,0))&lt;0.001,pos_x,NA())</f>
        <v>#N/A</v>
      </c>
      <c r="AE837" s="324" t="e">
        <f t="shared" ca="1" si="382"/>
        <v>#N/A</v>
      </c>
      <c r="AG837" s="306">
        <f t="shared" ref="AG837:AG900" ca="1" si="404">IF(AND(L836&lt;L_rampe,Poussee&lt;Poids*SIN(M836)),0,(-W836+Poussee)/m-Poids*SIN(M836)/m)</f>
        <v>2.1168344496128944</v>
      </c>
      <c r="AH837" s="304">
        <f t="shared" ref="AH837:AH900" ca="1" si="405">IF(AND(L836&lt;L_rampe,Poussee&lt;Poids*SIN(M836)), g*SIN(M836), (-W836+Poussee)/m)</f>
        <v>-7.6486628347591887</v>
      </c>
    </row>
    <row r="838" spans="1:34" x14ac:dyDescent="0.2">
      <c r="A838" s="347">
        <f t="shared" ca="1" si="383"/>
        <v>1E-4</v>
      </c>
      <c r="B838" s="304">
        <f t="shared" ca="1" si="384"/>
        <v>36.728700000001204</v>
      </c>
      <c r="D838" s="306">
        <f t="shared" ca="1" si="385"/>
        <v>-0.72772097896610988</v>
      </c>
      <c r="E838" s="307">
        <f t="shared" ca="1" si="386"/>
        <v>-2.1959999643629589</v>
      </c>
      <c r="F838" s="304">
        <f t="shared" ca="1" si="387"/>
        <v>2.3134376297426975</v>
      </c>
      <c r="G838" s="306">
        <f t="shared" ca="1" si="388"/>
        <v>12.43677626445673</v>
      </c>
      <c r="H838" s="307">
        <f t="shared" ca="1" si="389"/>
        <v>-130.12450039519038</v>
      </c>
      <c r="I838" s="304">
        <f t="shared" ca="1" si="390"/>
        <v>130.71747781742906</v>
      </c>
      <c r="J838" s="306">
        <f t="shared" ca="1" si="391"/>
        <v>889.84792314375909</v>
      </c>
      <c r="K838" s="307">
        <f t="shared" ca="1" si="392"/>
        <v>-10.653150619544888</v>
      </c>
      <c r="L838" s="304">
        <f t="shared" ca="1" si="377"/>
        <v>889.91168996782153</v>
      </c>
      <c r="M838" s="306">
        <f t="shared" ca="1" si="393"/>
        <v>-1.4755097864625315</v>
      </c>
      <c r="N838" s="304">
        <f t="shared" ca="1" si="394"/>
        <v>-84.540483394552382</v>
      </c>
      <c r="P838" s="310">
        <f t="shared" ca="1" si="395"/>
        <v>23</v>
      </c>
      <c r="Q838" s="304">
        <f t="shared" ca="1" si="396"/>
        <v>0</v>
      </c>
      <c r="R838" s="306">
        <f t="shared" ca="1" si="397"/>
        <v>0</v>
      </c>
      <c r="S838" s="307">
        <f t="shared" ca="1" si="398"/>
        <v>7.150000000000003</v>
      </c>
      <c r="T838" s="304">
        <f t="shared" ca="1" si="378"/>
        <v>70.141500000000036</v>
      </c>
      <c r="U838" s="311">
        <f t="shared" ca="1" si="379"/>
        <v>0</v>
      </c>
      <c r="V838" s="306">
        <f t="shared" ca="1" si="380"/>
        <v>1.2263057064452658</v>
      </c>
      <c r="W838" s="304">
        <f t="shared" ca="1" si="381"/>
        <v>54.688435839039244</v>
      </c>
      <c r="Y838" s="314" t="str">
        <f t="shared" ca="1" si="399"/>
        <v/>
      </c>
      <c r="Z838" s="315" t="str">
        <f t="shared" ca="1" si="400"/>
        <v/>
      </c>
      <c r="AA838" s="316" t="str">
        <f t="shared" ca="1" si="401"/>
        <v/>
      </c>
      <c r="AC838" s="310" t="e">
        <f t="shared" ca="1" si="402"/>
        <v>#N/A</v>
      </c>
      <c r="AD838" s="323" t="e">
        <f t="shared" ca="1" si="403"/>
        <v>#N/A</v>
      </c>
      <c r="AE838" s="324" t="e">
        <f t="shared" ca="1" si="382"/>
        <v>#N/A</v>
      </c>
      <c r="AG838" s="306">
        <f t="shared" ca="1" si="404"/>
        <v>2.1168003907158655</v>
      </c>
      <c r="AH838" s="304">
        <f t="shared" ca="1" si="405"/>
        <v>-7.6486975601018683</v>
      </c>
    </row>
    <row r="839" spans="1:34" x14ac:dyDescent="0.2">
      <c r="A839" s="347">
        <f t="shared" ca="1" si="383"/>
        <v>1E-4</v>
      </c>
      <c r="B839" s="304">
        <f t="shared" ca="1" si="384"/>
        <v>36.728800000001208</v>
      </c>
      <c r="D839" s="306">
        <f t="shared" ca="1" si="385"/>
        <v>-0.72771884621561223</v>
      </c>
      <c r="E839" s="307">
        <f t="shared" ca="1" si="386"/>
        <v>-2.1959648772006428</v>
      </c>
      <c r="F839" s="304">
        <f t="shared" ca="1" si="387"/>
        <v>2.3134036528535646</v>
      </c>
      <c r="G839" s="306">
        <f t="shared" ca="1" si="388"/>
        <v>12.436703492572109</v>
      </c>
      <c r="H839" s="307">
        <f t="shared" ca="1" si="389"/>
        <v>-130.12471999167809</v>
      </c>
      <c r="I839" s="304">
        <f t="shared" ca="1" si="390"/>
        <v>130.71768949409557</v>
      </c>
      <c r="J839" s="306">
        <f t="shared" ca="1" si="391"/>
        <v>889.84792314375909</v>
      </c>
      <c r="K839" s="307">
        <f t="shared" ca="1" si="392"/>
        <v>-10.666163080564232</v>
      </c>
      <c r="L839" s="304">
        <f t="shared" ca="1" si="377"/>
        <v>889.91184583537404</v>
      </c>
      <c r="M839" s="306">
        <f t="shared" ca="1" si="393"/>
        <v>-1.4755105004799498</v>
      </c>
      <c r="N839" s="304">
        <f t="shared" ca="1" si="394"/>
        <v>-84.540524304736948</v>
      </c>
      <c r="P839" s="310">
        <f t="shared" ca="1" si="395"/>
        <v>23</v>
      </c>
      <c r="Q839" s="304">
        <f t="shared" ca="1" si="396"/>
        <v>0</v>
      </c>
      <c r="R839" s="306">
        <f t="shared" ca="1" si="397"/>
        <v>0</v>
      </c>
      <c r="S839" s="307">
        <f t="shared" ca="1" si="398"/>
        <v>7.150000000000003</v>
      </c>
      <c r="T839" s="304">
        <f t="shared" ca="1" si="378"/>
        <v>70.141500000000036</v>
      </c>
      <c r="U839" s="311">
        <f t="shared" ca="1" si="379"/>
        <v>0</v>
      </c>
      <c r="V839" s="306">
        <f t="shared" ca="1" si="380"/>
        <v>1.2263073021722775</v>
      </c>
      <c r="W839" s="304">
        <f t="shared" ca="1" si="381"/>
        <v>54.68868412146076</v>
      </c>
      <c r="Y839" s="314" t="str">
        <f t="shared" ca="1" si="399"/>
        <v/>
      </c>
      <c r="Z839" s="315" t="str">
        <f t="shared" ca="1" si="400"/>
        <v/>
      </c>
      <c r="AA839" s="316" t="str">
        <f t="shared" ca="1" si="401"/>
        <v/>
      </c>
      <c r="AC839" s="310" t="e">
        <f t="shared" ca="1" si="402"/>
        <v>#N/A</v>
      </c>
      <c r="AD839" s="323" t="e">
        <f t="shared" ca="1" si="403"/>
        <v>#N/A</v>
      </c>
      <c r="AE839" s="324" t="e">
        <f t="shared" ca="1" si="382"/>
        <v>#N/A</v>
      </c>
      <c r="AG839" s="306">
        <f t="shared" ca="1" si="404"/>
        <v>2.1167663320720376</v>
      </c>
      <c r="AH839" s="304">
        <f t="shared" ca="1" si="405"/>
        <v>-7.6487322851803103</v>
      </c>
    </row>
    <row r="840" spans="1:34" x14ac:dyDescent="0.2">
      <c r="A840" s="347">
        <f t="shared" ca="1" si="383"/>
        <v>1E-4</v>
      </c>
      <c r="B840" s="304">
        <f t="shared" ca="1" si="384"/>
        <v>36.728900000001211</v>
      </c>
      <c r="D840" s="306">
        <f t="shared" ca="1" si="385"/>
        <v>-0.7277167134396586</v>
      </c>
      <c r="E840" s="307">
        <f t="shared" ca="1" si="386"/>
        <v>-2.195929790305259</v>
      </c>
      <c r="F840" s="304">
        <f t="shared" ca="1" si="387"/>
        <v>2.3133696762449181</v>
      </c>
      <c r="G840" s="306">
        <f t="shared" ca="1" si="388"/>
        <v>12.436630720900766</v>
      </c>
      <c r="H840" s="307">
        <f t="shared" ca="1" si="389"/>
        <v>-130.12493958465711</v>
      </c>
      <c r="I840" s="304">
        <f t="shared" ca="1" si="390"/>
        <v>130.71790116735625</v>
      </c>
      <c r="J840" s="306">
        <f t="shared" ca="1" si="391"/>
        <v>889.84792314375909</v>
      </c>
      <c r="K840" s="307">
        <f t="shared" ca="1" si="392"/>
        <v>-10.679175563543049</v>
      </c>
      <c r="L840" s="304">
        <f t="shared" ca="1" si="377"/>
        <v>889.91200189343351</v>
      </c>
      <c r="M840" s="306">
        <f t="shared" ca="1" si="393"/>
        <v>-1.4755112144908777</v>
      </c>
      <c r="N840" s="304">
        <f t="shared" ca="1" si="394"/>
        <v>-84.540565214549645</v>
      </c>
      <c r="P840" s="310">
        <f t="shared" ca="1" si="395"/>
        <v>23</v>
      </c>
      <c r="Q840" s="304">
        <f t="shared" ca="1" si="396"/>
        <v>0</v>
      </c>
      <c r="R840" s="306">
        <f t="shared" ca="1" si="397"/>
        <v>0</v>
      </c>
      <c r="S840" s="307">
        <f t="shared" ca="1" si="398"/>
        <v>7.150000000000003</v>
      </c>
      <c r="T840" s="304">
        <f t="shared" ca="1" si="378"/>
        <v>70.141500000000036</v>
      </c>
      <c r="U840" s="311">
        <f t="shared" ca="1" si="379"/>
        <v>0</v>
      </c>
      <c r="V840" s="306">
        <f t="shared" ca="1" si="380"/>
        <v>1.2263088979040595</v>
      </c>
      <c r="W840" s="304">
        <f t="shared" ca="1" si="381"/>
        <v>54.688932401992965</v>
      </c>
      <c r="Y840" s="314" t="str">
        <f t="shared" ca="1" si="399"/>
        <v/>
      </c>
      <c r="Z840" s="315" t="str">
        <f t="shared" ca="1" si="400"/>
        <v/>
      </c>
      <c r="AA840" s="316" t="str">
        <f t="shared" ca="1" si="401"/>
        <v/>
      </c>
      <c r="AC840" s="310" t="e">
        <f t="shared" ca="1" si="402"/>
        <v>#N/A</v>
      </c>
      <c r="AD840" s="323" t="e">
        <f t="shared" ca="1" si="403"/>
        <v>#N/A</v>
      </c>
      <c r="AE840" s="324" t="e">
        <f t="shared" ca="1" si="382"/>
        <v>#N/A</v>
      </c>
      <c r="AG840" s="306">
        <f t="shared" ca="1" si="404"/>
        <v>2.1167322736814151</v>
      </c>
      <c r="AH840" s="304">
        <f t="shared" ca="1" si="405"/>
        <v>-7.6487670099945086</v>
      </c>
    </row>
    <row r="841" spans="1:34" x14ac:dyDescent="0.2">
      <c r="A841" s="347">
        <f t="shared" ca="1" si="383"/>
        <v>1E-4</v>
      </c>
      <c r="B841" s="304">
        <f t="shared" ca="1" si="384"/>
        <v>36.729000000001214</v>
      </c>
      <c r="D841" s="306">
        <f t="shared" ca="1" si="385"/>
        <v>-0.72771458063824912</v>
      </c>
      <c r="E841" s="307">
        <f t="shared" ca="1" si="386"/>
        <v>-2.1958947036768039</v>
      </c>
      <c r="F841" s="304">
        <f t="shared" ca="1" si="387"/>
        <v>2.3133356999167547</v>
      </c>
      <c r="G841" s="306">
        <f t="shared" ca="1" si="388"/>
        <v>12.436557949442703</v>
      </c>
      <c r="H841" s="307">
        <f t="shared" ca="1" si="389"/>
        <v>-130.12515917412748</v>
      </c>
      <c r="I841" s="304">
        <f t="shared" ca="1" si="390"/>
        <v>130.71811283721112</v>
      </c>
      <c r="J841" s="306">
        <f t="shared" ca="1" si="391"/>
        <v>889.84792314375909</v>
      </c>
      <c r="K841" s="307">
        <f t="shared" ca="1" si="392"/>
        <v>-10.692188068480988</v>
      </c>
      <c r="L841" s="304">
        <f t="shared" ca="1" si="377"/>
        <v>889.91215814200064</v>
      </c>
      <c r="M841" s="306">
        <f t="shared" ca="1" si="393"/>
        <v>-1.4755119284953153</v>
      </c>
      <c r="N841" s="304">
        <f t="shared" ca="1" si="394"/>
        <v>-84.540606123990472</v>
      </c>
      <c r="P841" s="310">
        <f t="shared" ca="1" si="395"/>
        <v>23</v>
      </c>
      <c r="Q841" s="304">
        <f t="shared" ca="1" si="396"/>
        <v>0</v>
      </c>
      <c r="R841" s="306">
        <f t="shared" ca="1" si="397"/>
        <v>0</v>
      </c>
      <c r="S841" s="307">
        <f t="shared" ca="1" si="398"/>
        <v>7.150000000000003</v>
      </c>
      <c r="T841" s="304">
        <f t="shared" ca="1" si="378"/>
        <v>70.141500000000036</v>
      </c>
      <c r="U841" s="311">
        <f t="shared" ca="1" si="379"/>
        <v>0</v>
      </c>
      <c r="V841" s="306">
        <f t="shared" ca="1" si="380"/>
        <v>1.2263104936406126</v>
      </c>
      <c r="W841" s="304">
        <f t="shared" ca="1" si="381"/>
        <v>54.689180680635893</v>
      </c>
      <c r="Y841" s="314" t="str">
        <f t="shared" ca="1" si="399"/>
        <v/>
      </c>
      <c r="Z841" s="315" t="str">
        <f t="shared" ca="1" si="400"/>
        <v/>
      </c>
      <c r="AA841" s="316" t="str">
        <f t="shared" ca="1" si="401"/>
        <v/>
      </c>
      <c r="AC841" s="310" t="e">
        <f t="shared" ca="1" si="402"/>
        <v>#N/A</v>
      </c>
      <c r="AD841" s="323" t="e">
        <f t="shared" ca="1" si="403"/>
        <v>#N/A</v>
      </c>
      <c r="AE841" s="324" t="e">
        <f t="shared" ca="1" si="382"/>
        <v>#N/A</v>
      </c>
      <c r="AG841" s="306">
        <f t="shared" ca="1" si="404"/>
        <v>2.1166982155439973</v>
      </c>
      <c r="AH841" s="304">
        <f t="shared" ca="1" si="405"/>
        <v>-7.6488017345444677</v>
      </c>
    </row>
    <row r="842" spans="1:34" x14ac:dyDescent="0.2">
      <c r="A842" s="347">
        <f t="shared" ca="1" si="383"/>
        <v>1E-4</v>
      </c>
      <c r="B842" s="304">
        <f t="shared" ca="1" si="384"/>
        <v>36.729100000001218</v>
      </c>
      <c r="D842" s="306">
        <f t="shared" ca="1" si="385"/>
        <v>-0.72771244781138511</v>
      </c>
      <c r="E842" s="307">
        <f t="shared" ca="1" si="386"/>
        <v>-2.1958596173152714</v>
      </c>
      <c r="F842" s="304">
        <f t="shared" ca="1" si="387"/>
        <v>2.3133017238690692</v>
      </c>
      <c r="G842" s="306">
        <f t="shared" ca="1" si="388"/>
        <v>12.436485178197922</v>
      </c>
      <c r="H842" s="307">
        <f t="shared" ca="1" si="389"/>
        <v>-130.12537876008921</v>
      </c>
      <c r="I842" s="304">
        <f t="shared" ca="1" si="390"/>
        <v>130.7183245036602</v>
      </c>
      <c r="J842" s="306">
        <f t="shared" ca="1" si="391"/>
        <v>889.84792314375909</v>
      </c>
      <c r="K842" s="307">
        <f t="shared" ca="1" si="392"/>
        <v>-10.705200595377699</v>
      </c>
      <c r="L842" s="304">
        <f t="shared" ca="1" si="377"/>
        <v>889.91231458107643</v>
      </c>
      <c r="M842" s="306">
        <f t="shared" ca="1" si="393"/>
        <v>-1.4755126424932627</v>
      </c>
      <c r="N842" s="304">
        <f t="shared" ca="1" si="394"/>
        <v>-84.540647033059443</v>
      </c>
      <c r="P842" s="310">
        <f t="shared" ca="1" si="395"/>
        <v>23</v>
      </c>
      <c r="Q842" s="304">
        <f t="shared" ca="1" si="396"/>
        <v>0</v>
      </c>
      <c r="R842" s="306">
        <f t="shared" ca="1" si="397"/>
        <v>0</v>
      </c>
      <c r="S842" s="307">
        <f t="shared" ca="1" si="398"/>
        <v>7.150000000000003</v>
      </c>
      <c r="T842" s="304">
        <f t="shared" ca="1" si="378"/>
        <v>70.141500000000036</v>
      </c>
      <c r="U842" s="311">
        <f t="shared" ca="1" si="379"/>
        <v>0</v>
      </c>
      <c r="V842" s="306">
        <f t="shared" ca="1" si="380"/>
        <v>1.2263120893819355</v>
      </c>
      <c r="W842" s="304">
        <f t="shared" ca="1" si="381"/>
        <v>54.689428957389467</v>
      </c>
      <c r="Y842" s="314" t="str">
        <f t="shared" ca="1" si="399"/>
        <v/>
      </c>
      <c r="Z842" s="315" t="str">
        <f t="shared" ca="1" si="400"/>
        <v/>
      </c>
      <c r="AA842" s="316" t="str">
        <f t="shared" ca="1" si="401"/>
        <v/>
      </c>
      <c r="AC842" s="310" t="e">
        <f t="shared" ca="1" si="402"/>
        <v>#N/A</v>
      </c>
      <c r="AD842" s="323" t="e">
        <f t="shared" ca="1" si="403"/>
        <v>#N/A</v>
      </c>
      <c r="AE842" s="324" t="e">
        <f t="shared" ca="1" si="382"/>
        <v>#N/A</v>
      </c>
      <c r="AG842" s="306">
        <f t="shared" ca="1" si="404"/>
        <v>2.1166641576597778</v>
      </c>
      <c r="AH842" s="304">
        <f t="shared" ca="1" si="405"/>
        <v>-7.6488364588301918</v>
      </c>
    </row>
    <row r="843" spans="1:34" x14ac:dyDescent="0.2">
      <c r="A843" s="347">
        <f t="shared" ca="1" si="383"/>
        <v>1E-4</v>
      </c>
      <c r="B843" s="304">
        <f t="shared" ca="1" si="384"/>
        <v>36.729200000001221</v>
      </c>
      <c r="D843" s="306">
        <f t="shared" ca="1" si="385"/>
        <v>-0.72771031495906546</v>
      </c>
      <c r="E843" s="307">
        <f t="shared" ca="1" si="386"/>
        <v>-2.1958245312206728</v>
      </c>
      <c r="F843" s="304">
        <f t="shared" ca="1" si="387"/>
        <v>2.3132677481018726</v>
      </c>
      <c r="G843" s="306">
        <f t="shared" ca="1" si="388"/>
        <v>12.436412407166426</v>
      </c>
      <c r="H843" s="307">
        <f t="shared" ca="1" si="389"/>
        <v>-130.12559834254233</v>
      </c>
      <c r="I843" s="304">
        <f t="shared" ca="1" si="390"/>
        <v>130.71853616670353</v>
      </c>
      <c r="J843" s="306">
        <f t="shared" ca="1" si="391"/>
        <v>889.84792314375909</v>
      </c>
      <c r="K843" s="307">
        <f t="shared" ca="1" si="392"/>
        <v>-10.718213144232831</v>
      </c>
      <c r="L843" s="304">
        <f t="shared" ca="1" si="377"/>
        <v>889.91247121066158</v>
      </c>
      <c r="M843" s="306">
        <f t="shared" ca="1" si="393"/>
        <v>-1.4755133564847198</v>
      </c>
      <c r="N843" s="304">
        <f t="shared" ca="1" si="394"/>
        <v>-84.540687941756545</v>
      </c>
      <c r="P843" s="310">
        <f t="shared" ca="1" si="395"/>
        <v>23</v>
      </c>
      <c r="Q843" s="304">
        <f t="shared" ca="1" si="396"/>
        <v>0</v>
      </c>
      <c r="R843" s="306">
        <f t="shared" ca="1" si="397"/>
        <v>0</v>
      </c>
      <c r="S843" s="307">
        <f t="shared" ca="1" si="398"/>
        <v>7.150000000000003</v>
      </c>
      <c r="T843" s="304">
        <f t="shared" ca="1" si="378"/>
        <v>70.141500000000036</v>
      </c>
      <c r="U843" s="311">
        <f t="shared" ca="1" si="379"/>
        <v>0</v>
      </c>
      <c r="V843" s="306">
        <f t="shared" ca="1" si="380"/>
        <v>1.2263136851280287</v>
      </c>
      <c r="W843" s="304">
        <f t="shared" ca="1" si="381"/>
        <v>54.689677232253743</v>
      </c>
      <c r="Y843" s="314" t="str">
        <f t="shared" ca="1" si="399"/>
        <v/>
      </c>
      <c r="Z843" s="315" t="str">
        <f t="shared" ca="1" si="400"/>
        <v/>
      </c>
      <c r="AA843" s="316" t="str">
        <f t="shared" ca="1" si="401"/>
        <v/>
      </c>
      <c r="AC843" s="310" t="e">
        <f t="shared" ca="1" si="402"/>
        <v>#N/A</v>
      </c>
      <c r="AD843" s="323" t="e">
        <f t="shared" ca="1" si="403"/>
        <v>#N/A</v>
      </c>
      <c r="AE843" s="324" t="e">
        <f t="shared" ca="1" si="382"/>
        <v>#N/A</v>
      </c>
      <c r="AG843" s="306">
        <f t="shared" ca="1" si="404"/>
        <v>2.1166301000287691</v>
      </c>
      <c r="AH843" s="304">
        <f t="shared" ca="1" si="405"/>
        <v>-7.6488711828516704</v>
      </c>
    </row>
    <row r="844" spans="1:34" x14ac:dyDescent="0.2">
      <c r="A844" s="347">
        <f t="shared" ca="1" si="383"/>
        <v>1E-4</v>
      </c>
      <c r="B844" s="304">
        <f t="shared" ca="1" si="384"/>
        <v>36.729300000001224</v>
      </c>
      <c r="D844" s="306">
        <f t="shared" ca="1" si="385"/>
        <v>-0.72770818208129373</v>
      </c>
      <c r="E844" s="307">
        <f t="shared" ca="1" si="386"/>
        <v>-2.1957894453930011</v>
      </c>
      <c r="F844" s="304">
        <f t="shared" ca="1" si="387"/>
        <v>2.3132337726151597</v>
      </c>
      <c r="G844" s="306">
        <f t="shared" ca="1" si="388"/>
        <v>12.436339636348217</v>
      </c>
      <c r="H844" s="307">
        <f t="shared" ca="1" si="389"/>
        <v>-130.12581792148688</v>
      </c>
      <c r="I844" s="304">
        <f t="shared" ca="1" si="390"/>
        <v>130.71874782634112</v>
      </c>
      <c r="J844" s="306">
        <f t="shared" ca="1" si="391"/>
        <v>889.84792314375909</v>
      </c>
      <c r="K844" s="307">
        <f t="shared" ca="1" si="392"/>
        <v>-10.731225715046032</v>
      </c>
      <c r="L844" s="304">
        <f t="shared" ca="1" si="377"/>
        <v>889.91262803075711</v>
      </c>
      <c r="M844" s="306">
        <f t="shared" ca="1" si="393"/>
        <v>-1.475514070469687</v>
      </c>
      <c r="N844" s="304">
        <f t="shared" ca="1" si="394"/>
        <v>-84.540728850081791</v>
      </c>
      <c r="P844" s="310">
        <f t="shared" ca="1" si="395"/>
        <v>23</v>
      </c>
      <c r="Q844" s="304">
        <f t="shared" ca="1" si="396"/>
        <v>0</v>
      </c>
      <c r="R844" s="306">
        <f t="shared" ca="1" si="397"/>
        <v>0</v>
      </c>
      <c r="S844" s="307">
        <f t="shared" ca="1" si="398"/>
        <v>7.150000000000003</v>
      </c>
      <c r="T844" s="304">
        <f t="shared" ca="1" si="378"/>
        <v>70.141500000000036</v>
      </c>
      <c r="U844" s="311">
        <f t="shared" ca="1" si="379"/>
        <v>0</v>
      </c>
      <c r="V844" s="306">
        <f t="shared" ca="1" si="380"/>
        <v>1.2263152808788926</v>
      </c>
      <c r="W844" s="304">
        <f t="shared" ca="1" si="381"/>
        <v>54.6899255052287</v>
      </c>
      <c r="Y844" s="314" t="str">
        <f t="shared" ca="1" si="399"/>
        <v/>
      </c>
      <c r="Z844" s="315" t="str">
        <f t="shared" ca="1" si="400"/>
        <v/>
      </c>
      <c r="AA844" s="316" t="str">
        <f t="shared" ca="1" si="401"/>
        <v/>
      </c>
      <c r="AC844" s="310" t="e">
        <f t="shared" ca="1" si="402"/>
        <v>#N/A</v>
      </c>
      <c r="AD844" s="323" t="e">
        <f t="shared" ca="1" si="403"/>
        <v>#N/A</v>
      </c>
      <c r="AE844" s="324" t="e">
        <f t="shared" ca="1" si="382"/>
        <v>#N/A</v>
      </c>
      <c r="AG844" s="306">
        <f t="shared" ca="1" si="404"/>
        <v>2.1165960426509596</v>
      </c>
      <c r="AH844" s="304">
        <f t="shared" ca="1" si="405"/>
        <v>-7.6489059066089116</v>
      </c>
    </row>
    <row r="845" spans="1:34" x14ac:dyDescent="0.2">
      <c r="A845" s="347">
        <f t="shared" ca="1" si="383"/>
        <v>1E-4</v>
      </c>
      <c r="B845" s="304">
        <f t="shared" ca="1" si="384"/>
        <v>36.729400000001228</v>
      </c>
      <c r="D845" s="306">
        <f t="shared" ca="1" si="385"/>
        <v>-0.72770604917806747</v>
      </c>
      <c r="E845" s="307">
        <f t="shared" ca="1" si="386"/>
        <v>-2.1957543598322573</v>
      </c>
      <c r="F845" s="304">
        <f t="shared" ca="1" si="387"/>
        <v>2.3131997974089309</v>
      </c>
      <c r="G845" s="306">
        <f t="shared" ca="1" si="388"/>
        <v>12.436266865743299</v>
      </c>
      <c r="H845" s="307">
        <f t="shared" ca="1" si="389"/>
        <v>-130.12603749692286</v>
      </c>
      <c r="I845" s="304">
        <f t="shared" ca="1" si="390"/>
        <v>130.71895948257301</v>
      </c>
      <c r="J845" s="306">
        <f t="shared" ca="1" si="391"/>
        <v>889.84792314375909</v>
      </c>
      <c r="K845" s="307">
        <f t="shared" ca="1" si="392"/>
        <v>-10.744238307816952</v>
      </c>
      <c r="L845" s="304">
        <f t="shared" ca="1" si="377"/>
        <v>889.9127850413638</v>
      </c>
      <c r="M845" s="306">
        <f t="shared" ca="1" si="393"/>
        <v>-1.4755147844481642</v>
      </c>
      <c r="N845" s="304">
        <f t="shared" ca="1" si="394"/>
        <v>-84.540769758035211</v>
      </c>
      <c r="P845" s="310">
        <f t="shared" ca="1" si="395"/>
        <v>23</v>
      </c>
      <c r="Q845" s="304">
        <f t="shared" ca="1" si="396"/>
        <v>0</v>
      </c>
      <c r="R845" s="306">
        <f t="shared" ca="1" si="397"/>
        <v>0</v>
      </c>
      <c r="S845" s="307">
        <f t="shared" ca="1" si="398"/>
        <v>7.150000000000003</v>
      </c>
      <c r="T845" s="304">
        <f t="shared" ca="1" si="378"/>
        <v>70.141500000000036</v>
      </c>
      <c r="U845" s="311">
        <f t="shared" ca="1" si="379"/>
        <v>0</v>
      </c>
      <c r="V845" s="306">
        <f t="shared" ca="1" si="380"/>
        <v>1.2263168766345267</v>
      </c>
      <c r="W845" s="304">
        <f t="shared" ca="1" si="381"/>
        <v>54.690173776314346</v>
      </c>
      <c r="Y845" s="314" t="str">
        <f t="shared" ca="1" si="399"/>
        <v/>
      </c>
      <c r="Z845" s="315" t="str">
        <f t="shared" ca="1" si="400"/>
        <v/>
      </c>
      <c r="AA845" s="316" t="str">
        <f t="shared" ca="1" si="401"/>
        <v/>
      </c>
      <c r="AC845" s="310" t="e">
        <f t="shared" ca="1" si="402"/>
        <v>#N/A</v>
      </c>
      <c r="AD845" s="323" t="e">
        <f t="shared" ca="1" si="403"/>
        <v>#N/A</v>
      </c>
      <c r="AE845" s="324" t="e">
        <f t="shared" ca="1" si="382"/>
        <v>#N/A</v>
      </c>
      <c r="AG845" s="306">
        <f t="shared" ca="1" si="404"/>
        <v>2.1165619855263573</v>
      </c>
      <c r="AH845" s="304">
        <f t="shared" ca="1" si="405"/>
        <v>-7.6489406301019125</v>
      </c>
    </row>
    <row r="846" spans="1:34" x14ac:dyDescent="0.2">
      <c r="A846" s="347">
        <f t="shared" ca="1" si="383"/>
        <v>1E-4</v>
      </c>
      <c r="B846" s="304">
        <f t="shared" ca="1" si="384"/>
        <v>36.729500000001231</v>
      </c>
      <c r="D846" s="306">
        <f t="shared" ca="1" si="385"/>
        <v>-0.72770391624938802</v>
      </c>
      <c r="E846" s="307">
        <f t="shared" ca="1" si="386"/>
        <v>-2.1957192745384404</v>
      </c>
      <c r="F846" s="304">
        <f t="shared" ca="1" si="387"/>
        <v>2.3131658224831857</v>
      </c>
      <c r="G846" s="306">
        <f t="shared" ca="1" si="388"/>
        <v>12.436194095351674</v>
      </c>
      <c r="H846" s="307">
        <f t="shared" ca="1" si="389"/>
        <v>-130.12625706885032</v>
      </c>
      <c r="I846" s="304">
        <f t="shared" ca="1" si="390"/>
        <v>130.71917113539919</v>
      </c>
      <c r="J846" s="306">
        <f t="shared" ca="1" si="391"/>
        <v>889.84792314375909</v>
      </c>
      <c r="K846" s="307">
        <f t="shared" ca="1" si="392"/>
        <v>-10.757250922545241</v>
      </c>
      <c r="L846" s="304">
        <f t="shared" ca="1" si="377"/>
        <v>889.91294224248247</v>
      </c>
      <c r="M846" s="306">
        <f t="shared" ca="1" si="393"/>
        <v>-1.4755154984201515</v>
      </c>
      <c r="N846" s="304">
        <f t="shared" ca="1" si="394"/>
        <v>-84.540810665616775</v>
      </c>
      <c r="P846" s="310">
        <f t="shared" ca="1" si="395"/>
        <v>23</v>
      </c>
      <c r="Q846" s="304">
        <f t="shared" ca="1" si="396"/>
        <v>0</v>
      </c>
      <c r="R846" s="306">
        <f t="shared" ca="1" si="397"/>
        <v>0</v>
      </c>
      <c r="S846" s="307">
        <f t="shared" ca="1" si="398"/>
        <v>7.150000000000003</v>
      </c>
      <c r="T846" s="304">
        <f t="shared" ca="1" si="378"/>
        <v>70.141500000000036</v>
      </c>
      <c r="U846" s="311">
        <f t="shared" ca="1" si="379"/>
        <v>0</v>
      </c>
      <c r="V846" s="306">
        <f t="shared" ca="1" si="380"/>
        <v>1.2263184723949314</v>
      </c>
      <c r="W846" s="304">
        <f t="shared" ca="1" si="381"/>
        <v>54.690422045510672</v>
      </c>
      <c r="Y846" s="314" t="str">
        <f t="shared" ca="1" si="399"/>
        <v/>
      </c>
      <c r="Z846" s="315" t="str">
        <f t="shared" ca="1" si="400"/>
        <v/>
      </c>
      <c r="AA846" s="316" t="str">
        <f t="shared" ca="1" si="401"/>
        <v/>
      </c>
      <c r="AC846" s="310" t="e">
        <f t="shared" ca="1" si="402"/>
        <v>#N/A</v>
      </c>
      <c r="AD846" s="323" t="e">
        <f t="shared" ca="1" si="403"/>
        <v>#N/A</v>
      </c>
      <c r="AE846" s="324" t="e">
        <f t="shared" ca="1" si="382"/>
        <v>#N/A</v>
      </c>
      <c r="AG846" s="306">
        <f t="shared" ca="1" si="404"/>
        <v>2.1165279286549579</v>
      </c>
      <c r="AH846" s="304">
        <f t="shared" ca="1" si="405"/>
        <v>-7.6489753533306741</v>
      </c>
    </row>
    <row r="847" spans="1:34" x14ac:dyDescent="0.2">
      <c r="A847" s="347">
        <f t="shared" ca="1" si="383"/>
        <v>1E-4</v>
      </c>
      <c r="B847" s="304">
        <f t="shared" ca="1" si="384"/>
        <v>36.729600000001234</v>
      </c>
      <c r="D847" s="306">
        <f t="shared" ca="1" si="385"/>
        <v>-0.72770178329525681</v>
      </c>
      <c r="E847" s="307">
        <f t="shared" ca="1" si="386"/>
        <v>-2.195684189511554</v>
      </c>
      <c r="F847" s="304">
        <f t="shared" ca="1" si="387"/>
        <v>2.3131318478379277</v>
      </c>
      <c r="G847" s="306">
        <f t="shared" ca="1" si="388"/>
        <v>12.436121325173344</v>
      </c>
      <c r="H847" s="307">
        <f t="shared" ca="1" si="389"/>
        <v>-130.12647663726926</v>
      </c>
      <c r="I847" s="304">
        <f t="shared" ca="1" si="390"/>
        <v>130.71938278481969</v>
      </c>
      <c r="J847" s="306">
        <f t="shared" ca="1" si="391"/>
        <v>889.84792314375909</v>
      </c>
      <c r="K847" s="307">
        <f t="shared" ca="1" si="392"/>
        <v>-10.770263559230546</v>
      </c>
      <c r="L847" s="304">
        <f t="shared" ca="1" si="377"/>
        <v>889.91309963411402</v>
      </c>
      <c r="M847" s="306">
        <f t="shared" ca="1" si="393"/>
        <v>-1.4755162123856491</v>
      </c>
      <c r="N847" s="304">
        <f t="shared" ca="1" si="394"/>
        <v>-84.540851572826497</v>
      </c>
      <c r="P847" s="310">
        <f t="shared" ca="1" si="395"/>
        <v>23</v>
      </c>
      <c r="Q847" s="304">
        <f t="shared" ca="1" si="396"/>
        <v>0</v>
      </c>
      <c r="R847" s="306">
        <f t="shared" ca="1" si="397"/>
        <v>0</v>
      </c>
      <c r="S847" s="307">
        <f t="shared" ca="1" si="398"/>
        <v>7.150000000000003</v>
      </c>
      <c r="T847" s="304">
        <f t="shared" ca="1" si="378"/>
        <v>70.141500000000036</v>
      </c>
      <c r="U847" s="311">
        <f t="shared" ca="1" si="379"/>
        <v>0</v>
      </c>
      <c r="V847" s="306">
        <f t="shared" ca="1" si="380"/>
        <v>1.2263200681601061</v>
      </c>
      <c r="W847" s="304">
        <f t="shared" ca="1" si="381"/>
        <v>54.69067031281763</v>
      </c>
      <c r="Y847" s="314" t="str">
        <f t="shared" ca="1" si="399"/>
        <v/>
      </c>
      <c r="Z847" s="315" t="str">
        <f t="shared" ca="1" si="400"/>
        <v/>
      </c>
      <c r="AA847" s="316" t="str">
        <f t="shared" ca="1" si="401"/>
        <v/>
      </c>
      <c r="AC847" s="310" t="e">
        <f t="shared" ca="1" si="402"/>
        <v>#N/A</v>
      </c>
      <c r="AD847" s="323" t="e">
        <f t="shared" ca="1" si="403"/>
        <v>#N/A</v>
      </c>
      <c r="AE847" s="324" t="e">
        <f t="shared" ca="1" si="382"/>
        <v>#N/A</v>
      </c>
      <c r="AG847" s="306">
        <f t="shared" ca="1" si="404"/>
        <v>2.1164938720367621</v>
      </c>
      <c r="AH847" s="304">
        <f t="shared" ca="1" si="405"/>
        <v>-7.6490100762951956</v>
      </c>
    </row>
    <row r="848" spans="1:34" x14ac:dyDescent="0.2">
      <c r="A848" s="347">
        <f t="shared" ca="1" si="383"/>
        <v>1E-4</v>
      </c>
      <c r="B848" s="304">
        <f t="shared" ca="1" si="384"/>
        <v>36.729700000001237</v>
      </c>
      <c r="D848" s="306">
        <f t="shared" ca="1" si="385"/>
        <v>-0.7276996503156723</v>
      </c>
      <c r="E848" s="307">
        <f t="shared" ca="1" si="386"/>
        <v>-2.1956491047516016</v>
      </c>
      <c r="F848" s="304">
        <f t="shared" ca="1" si="387"/>
        <v>2.3130978734731613</v>
      </c>
      <c r="G848" s="306">
        <f t="shared" ca="1" si="388"/>
        <v>12.436048555208313</v>
      </c>
      <c r="H848" s="307">
        <f t="shared" ca="1" si="389"/>
        <v>-130.12669620217974</v>
      </c>
      <c r="I848" s="304">
        <f t="shared" ca="1" si="390"/>
        <v>130.71959443083458</v>
      </c>
      <c r="J848" s="306">
        <f t="shared" ca="1" si="391"/>
        <v>889.84792314375909</v>
      </c>
      <c r="K848" s="307">
        <f t="shared" ca="1" si="392"/>
        <v>-10.783276217872519</v>
      </c>
      <c r="L848" s="304">
        <f t="shared" ca="1" si="377"/>
        <v>889.91325721625935</v>
      </c>
      <c r="M848" s="306">
        <f t="shared" ca="1" si="393"/>
        <v>-1.475516926344657</v>
      </c>
      <c r="N848" s="304">
        <f t="shared" ca="1" si="394"/>
        <v>-84.540892479664393</v>
      </c>
      <c r="P848" s="310">
        <f t="shared" ca="1" si="395"/>
        <v>23</v>
      </c>
      <c r="Q848" s="304">
        <f t="shared" ca="1" si="396"/>
        <v>0</v>
      </c>
      <c r="R848" s="306">
        <f t="shared" ca="1" si="397"/>
        <v>0</v>
      </c>
      <c r="S848" s="307">
        <f t="shared" ca="1" si="398"/>
        <v>7.150000000000003</v>
      </c>
      <c r="T848" s="304">
        <f t="shared" ca="1" si="378"/>
        <v>70.141500000000036</v>
      </c>
      <c r="U848" s="311">
        <f t="shared" ca="1" si="379"/>
        <v>0</v>
      </c>
      <c r="V848" s="306">
        <f t="shared" ca="1" si="380"/>
        <v>1.2263216639300507</v>
      </c>
      <c r="W848" s="304">
        <f t="shared" ca="1" si="381"/>
        <v>54.690918578235255</v>
      </c>
      <c r="Y848" s="314" t="str">
        <f t="shared" ca="1" si="399"/>
        <v/>
      </c>
      <c r="Z848" s="315" t="str">
        <f t="shared" ca="1" si="400"/>
        <v/>
      </c>
      <c r="AA848" s="316" t="str">
        <f t="shared" ca="1" si="401"/>
        <v/>
      </c>
      <c r="AC848" s="310" t="e">
        <f t="shared" ca="1" si="402"/>
        <v>#N/A</v>
      </c>
      <c r="AD848" s="323" t="e">
        <f t="shared" ca="1" si="403"/>
        <v>#N/A</v>
      </c>
      <c r="AE848" s="324" t="e">
        <f t="shared" ca="1" si="382"/>
        <v>#N/A</v>
      </c>
      <c r="AG848" s="306">
        <f t="shared" ca="1" si="404"/>
        <v>2.1164598156717807</v>
      </c>
      <c r="AH848" s="304">
        <f t="shared" ca="1" si="405"/>
        <v>-7.6490447989954697</v>
      </c>
    </row>
    <row r="849" spans="1:34" x14ac:dyDescent="0.2">
      <c r="A849" s="347">
        <f t="shared" ca="1" si="383"/>
        <v>1E-4</v>
      </c>
      <c r="B849" s="304">
        <f t="shared" ca="1" si="384"/>
        <v>36.729800000001241</v>
      </c>
      <c r="D849" s="306">
        <f t="shared" ca="1" si="385"/>
        <v>-0.72769751731063637</v>
      </c>
      <c r="E849" s="307">
        <f t="shared" ca="1" si="386"/>
        <v>-2.1956140202585805</v>
      </c>
      <c r="F849" s="304">
        <f t="shared" ca="1" si="387"/>
        <v>2.3130638993888843</v>
      </c>
      <c r="G849" s="306">
        <f t="shared" ca="1" si="388"/>
        <v>12.435975785456582</v>
      </c>
      <c r="H849" s="307">
        <f t="shared" ca="1" si="389"/>
        <v>-130.12691576358176</v>
      </c>
      <c r="I849" s="304">
        <f t="shared" ca="1" si="390"/>
        <v>130.71980607344383</v>
      </c>
      <c r="J849" s="306">
        <f t="shared" ca="1" si="391"/>
        <v>889.84792314375909</v>
      </c>
      <c r="K849" s="307">
        <f t="shared" ca="1" si="392"/>
        <v>-10.796288898470808</v>
      </c>
      <c r="L849" s="304">
        <f t="shared" ca="1" si="377"/>
        <v>889.91341498891938</v>
      </c>
      <c r="M849" s="306">
        <f t="shared" ca="1" si="393"/>
        <v>-1.475517640297175</v>
      </c>
      <c r="N849" s="304">
        <f t="shared" ca="1" si="394"/>
        <v>-84.540933386130448</v>
      </c>
      <c r="P849" s="310">
        <f t="shared" ca="1" si="395"/>
        <v>23</v>
      </c>
      <c r="Q849" s="304">
        <f t="shared" ca="1" si="396"/>
        <v>0</v>
      </c>
      <c r="R849" s="306">
        <f t="shared" ca="1" si="397"/>
        <v>0</v>
      </c>
      <c r="S849" s="307">
        <f t="shared" ca="1" si="398"/>
        <v>7.150000000000003</v>
      </c>
      <c r="T849" s="304">
        <f t="shared" ca="1" si="378"/>
        <v>70.141500000000036</v>
      </c>
      <c r="U849" s="311">
        <f t="shared" ca="1" si="379"/>
        <v>0</v>
      </c>
      <c r="V849" s="306">
        <f t="shared" ca="1" si="380"/>
        <v>1.2263232597047657</v>
      </c>
      <c r="W849" s="304">
        <f t="shared" ca="1" si="381"/>
        <v>54.691166841763561</v>
      </c>
      <c r="Y849" s="314" t="str">
        <f t="shared" ca="1" si="399"/>
        <v/>
      </c>
      <c r="Z849" s="315" t="str">
        <f t="shared" ca="1" si="400"/>
        <v/>
      </c>
      <c r="AA849" s="316" t="str">
        <f t="shared" ca="1" si="401"/>
        <v/>
      </c>
      <c r="AC849" s="310" t="e">
        <f t="shared" ca="1" si="402"/>
        <v>#N/A</v>
      </c>
      <c r="AD849" s="323" t="e">
        <f t="shared" ca="1" si="403"/>
        <v>#N/A</v>
      </c>
      <c r="AE849" s="324" t="e">
        <f t="shared" ca="1" si="382"/>
        <v>#N/A</v>
      </c>
      <c r="AG849" s="306">
        <f t="shared" ca="1" si="404"/>
        <v>2.1164257595600073</v>
      </c>
      <c r="AH849" s="304">
        <f t="shared" ca="1" si="405"/>
        <v>-7.649079521431501</v>
      </c>
    </row>
    <row r="850" spans="1:34" x14ac:dyDescent="0.2">
      <c r="A850" s="347">
        <f t="shared" ca="1" si="383"/>
        <v>1E-4</v>
      </c>
      <c r="B850" s="304">
        <f t="shared" ca="1" si="384"/>
        <v>36.729900000001244</v>
      </c>
      <c r="D850" s="306">
        <f t="shared" ca="1" si="385"/>
        <v>-0.72769538428015224</v>
      </c>
      <c r="E850" s="307">
        <f t="shared" ca="1" si="386"/>
        <v>-2.1955789360324891</v>
      </c>
      <c r="F850" s="304">
        <f t="shared" ca="1" si="387"/>
        <v>2.3130299255850959</v>
      </c>
      <c r="G850" s="306">
        <f t="shared" ca="1" si="388"/>
        <v>12.435903015918154</v>
      </c>
      <c r="H850" s="307">
        <f t="shared" ca="1" si="389"/>
        <v>-130.12713532147538</v>
      </c>
      <c r="I850" s="304">
        <f t="shared" ca="1" si="390"/>
        <v>130.72001771264755</v>
      </c>
      <c r="J850" s="306">
        <f t="shared" ca="1" si="391"/>
        <v>889.84792314375909</v>
      </c>
      <c r="K850" s="307">
        <f t="shared" ca="1" si="392"/>
        <v>-10.80930160102506</v>
      </c>
      <c r="L850" s="304">
        <f t="shared" ca="1" si="377"/>
        <v>889.9135729520948</v>
      </c>
      <c r="M850" s="306">
        <f t="shared" ca="1" si="393"/>
        <v>-1.4755183542432038</v>
      </c>
      <c r="N850" s="304">
        <f t="shared" ca="1" si="394"/>
        <v>-84.540974292224703</v>
      </c>
      <c r="P850" s="310">
        <f t="shared" ca="1" si="395"/>
        <v>23</v>
      </c>
      <c r="Q850" s="304">
        <f t="shared" ca="1" si="396"/>
        <v>0</v>
      </c>
      <c r="R850" s="306">
        <f t="shared" ca="1" si="397"/>
        <v>0</v>
      </c>
      <c r="S850" s="307">
        <f t="shared" ca="1" si="398"/>
        <v>7.150000000000003</v>
      </c>
      <c r="T850" s="304">
        <f t="shared" ca="1" si="378"/>
        <v>70.141500000000036</v>
      </c>
      <c r="U850" s="311">
        <f t="shared" ca="1" si="379"/>
        <v>0</v>
      </c>
      <c r="V850" s="306">
        <f t="shared" ca="1" si="380"/>
        <v>1.226324855484251</v>
      </c>
      <c r="W850" s="304">
        <f t="shared" ca="1" si="381"/>
        <v>54.691415103402576</v>
      </c>
      <c r="Y850" s="314" t="str">
        <f t="shared" ca="1" si="399"/>
        <v/>
      </c>
      <c r="Z850" s="315" t="str">
        <f t="shared" ca="1" si="400"/>
        <v/>
      </c>
      <c r="AA850" s="316" t="str">
        <f t="shared" ca="1" si="401"/>
        <v/>
      </c>
      <c r="AC850" s="310" t="e">
        <f t="shared" ca="1" si="402"/>
        <v>#N/A</v>
      </c>
      <c r="AD850" s="323" t="e">
        <f t="shared" ca="1" si="403"/>
        <v>#N/A</v>
      </c>
      <c r="AE850" s="324" t="e">
        <f t="shared" ca="1" si="382"/>
        <v>#N/A</v>
      </c>
      <c r="AG850" s="306">
        <f t="shared" ca="1" si="404"/>
        <v>2.1163917037014413</v>
      </c>
      <c r="AH850" s="304">
        <f t="shared" ca="1" si="405"/>
        <v>-7.6491142436032922</v>
      </c>
    </row>
    <row r="851" spans="1:34" x14ac:dyDescent="0.2">
      <c r="A851" s="347">
        <f t="shared" ca="1" si="383"/>
        <v>1E-4</v>
      </c>
      <c r="B851" s="304">
        <f t="shared" ca="1" si="384"/>
        <v>36.730000000001247</v>
      </c>
      <c r="D851" s="306">
        <f t="shared" ca="1" si="385"/>
        <v>-0.72769325122421635</v>
      </c>
      <c r="E851" s="307">
        <f t="shared" ca="1" si="386"/>
        <v>-2.1955438520733219</v>
      </c>
      <c r="F851" s="304">
        <f t="shared" ca="1" si="387"/>
        <v>2.3129959520617911</v>
      </c>
      <c r="G851" s="306">
        <f t="shared" ca="1" si="388"/>
        <v>12.435830246593031</v>
      </c>
      <c r="H851" s="307">
        <f t="shared" ca="1" si="389"/>
        <v>-130.12735487586059</v>
      </c>
      <c r="I851" s="304">
        <f t="shared" ca="1" si="390"/>
        <v>130.72022934844568</v>
      </c>
      <c r="J851" s="306">
        <f t="shared" ca="1" si="391"/>
        <v>889.84792314375909</v>
      </c>
      <c r="K851" s="307">
        <f t="shared" ca="1" si="392"/>
        <v>-10.822314325534927</v>
      </c>
      <c r="L851" s="304">
        <f t="shared" ca="1" si="377"/>
        <v>889.9137311057865</v>
      </c>
      <c r="M851" s="306">
        <f t="shared" ca="1" si="393"/>
        <v>-1.475519068182743</v>
      </c>
      <c r="N851" s="304">
        <f t="shared" ca="1" si="394"/>
        <v>-84.541015197947132</v>
      </c>
      <c r="P851" s="310">
        <f t="shared" ca="1" si="395"/>
        <v>23</v>
      </c>
      <c r="Q851" s="304">
        <f t="shared" ca="1" si="396"/>
        <v>0</v>
      </c>
      <c r="R851" s="306">
        <f t="shared" ca="1" si="397"/>
        <v>0</v>
      </c>
      <c r="S851" s="307">
        <f t="shared" ca="1" si="398"/>
        <v>7.150000000000003</v>
      </c>
      <c r="T851" s="304">
        <f t="shared" ca="1" si="378"/>
        <v>70.141500000000036</v>
      </c>
      <c r="U851" s="311">
        <f t="shared" ca="1" si="379"/>
        <v>0</v>
      </c>
      <c r="V851" s="306">
        <f t="shared" ca="1" si="380"/>
        <v>1.2263264512685064</v>
      </c>
      <c r="W851" s="304">
        <f t="shared" ca="1" si="381"/>
        <v>54.69166336315223</v>
      </c>
      <c r="Y851" s="314" t="str">
        <f t="shared" ca="1" si="399"/>
        <v/>
      </c>
      <c r="Z851" s="315" t="str">
        <f t="shared" ca="1" si="400"/>
        <v/>
      </c>
      <c r="AA851" s="316" t="str">
        <f t="shared" ca="1" si="401"/>
        <v/>
      </c>
      <c r="AC851" s="310" t="e">
        <f t="shared" ca="1" si="402"/>
        <v>#N/A</v>
      </c>
      <c r="AD851" s="323" t="e">
        <f t="shared" ca="1" si="403"/>
        <v>#N/A</v>
      </c>
      <c r="AE851" s="324" t="e">
        <f t="shared" ca="1" si="382"/>
        <v>#N/A</v>
      </c>
      <c r="AG851" s="306">
        <f t="shared" ca="1" si="404"/>
        <v>2.1163576480960771</v>
      </c>
      <c r="AH851" s="304">
        <f t="shared" ca="1" si="405"/>
        <v>-7.6491489655108467</v>
      </c>
    </row>
    <row r="852" spans="1:34" x14ac:dyDescent="0.2">
      <c r="A852" s="347">
        <f t="shared" ca="1" si="383"/>
        <v>1E-4</v>
      </c>
      <c r="B852" s="304">
        <f t="shared" ca="1" si="384"/>
        <v>36.730100000001251</v>
      </c>
      <c r="D852" s="306">
        <f t="shared" ca="1" si="385"/>
        <v>-0.72769111814283083</v>
      </c>
      <c r="E852" s="307">
        <f t="shared" ca="1" si="386"/>
        <v>-2.1955087683810897</v>
      </c>
      <c r="F852" s="304">
        <f t="shared" ca="1" si="387"/>
        <v>2.3129619788189801</v>
      </c>
      <c r="G852" s="306">
        <f t="shared" ca="1" si="388"/>
        <v>12.435757477481218</v>
      </c>
      <c r="H852" s="307">
        <f t="shared" ca="1" si="389"/>
        <v>-130.12757442673743</v>
      </c>
      <c r="I852" s="304">
        <f t="shared" ca="1" si="390"/>
        <v>130.72044098083825</v>
      </c>
      <c r="J852" s="306">
        <f t="shared" ca="1" si="391"/>
        <v>889.84792314375909</v>
      </c>
      <c r="K852" s="307">
        <f t="shared" ca="1" si="392"/>
        <v>-10.835327072000057</v>
      </c>
      <c r="L852" s="304">
        <f t="shared" ca="1" si="377"/>
        <v>889.91388944999539</v>
      </c>
      <c r="M852" s="306">
        <f t="shared" ca="1" si="393"/>
        <v>-1.475519782115793</v>
      </c>
      <c r="N852" s="304">
        <f t="shared" ca="1" si="394"/>
        <v>-84.541056103297748</v>
      </c>
      <c r="P852" s="310">
        <f t="shared" ca="1" si="395"/>
        <v>23</v>
      </c>
      <c r="Q852" s="304">
        <f t="shared" ca="1" si="396"/>
        <v>0</v>
      </c>
      <c r="R852" s="306">
        <f t="shared" ca="1" si="397"/>
        <v>0</v>
      </c>
      <c r="S852" s="307">
        <f t="shared" ca="1" si="398"/>
        <v>7.150000000000003</v>
      </c>
      <c r="T852" s="304">
        <f t="shared" ca="1" si="378"/>
        <v>70.141500000000036</v>
      </c>
      <c r="U852" s="311">
        <f t="shared" ca="1" si="379"/>
        <v>0</v>
      </c>
      <c r="V852" s="306">
        <f t="shared" ca="1" si="380"/>
        <v>1.226328047057532</v>
      </c>
      <c r="W852" s="304">
        <f t="shared" ca="1" si="381"/>
        <v>54.691911621012522</v>
      </c>
      <c r="Y852" s="314" t="str">
        <f t="shared" ca="1" si="399"/>
        <v/>
      </c>
      <c r="Z852" s="315" t="str">
        <f t="shared" ca="1" si="400"/>
        <v/>
      </c>
      <c r="AA852" s="316" t="str">
        <f t="shared" ca="1" si="401"/>
        <v/>
      </c>
      <c r="AC852" s="310" t="e">
        <f t="shared" ca="1" si="402"/>
        <v>#N/A</v>
      </c>
      <c r="AD852" s="323" t="e">
        <f t="shared" ca="1" si="403"/>
        <v>#N/A</v>
      </c>
      <c r="AE852" s="324" t="e">
        <f t="shared" ca="1" si="382"/>
        <v>#N/A</v>
      </c>
      <c r="AG852" s="306">
        <f t="shared" ca="1" si="404"/>
        <v>2.1163235927439228</v>
      </c>
      <c r="AH852" s="304">
        <f t="shared" ca="1" si="405"/>
        <v>-7.6491836871541548</v>
      </c>
    </row>
    <row r="853" spans="1:34" x14ac:dyDescent="0.2">
      <c r="A853" s="347">
        <f t="shared" ca="1" si="383"/>
        <v>1E-4</v>
      </c>
      <c r="B853" s="304">
        <f t="shared" ca="1" si="384"/>
        <v>36.730200000001254</v>
      </c>
      <c r="D853" s="306">
        <f t="shared" ca="1" si="385"/>
        <v>-0.727688985035995</v>
      </c>
      <c r="E853" s="307">
        <f t="shared" ca="1" si="386"/>
        <v>-2.1954736849557932</v>
      </c>
      <c r="F853" s="304">
        <f t="shared" ca="1" si="387"/>
        <v>2.3129280058566644</v>
      </c>
      <c r="G853" s="306">
        <f t="shared" ca="1" si="388"/>
        <v>12.435684708582714</v>
      </c>
      <c r="H853" s="307">
        <f t="shared" ca="1" si="389"/>
        <v>-130.12779397410591</v>
      </c>
      <c r="I853" s="304">
        <f t="shared" ca="1" si="390"/>
        <v>130.72065260982532</v>
      </c>
      <c r="J853" s="306">
        <f t="shared" ca="1" si="391"/>
        <v>889.84792314375909</v>
      </c>
      <c r="K853" s="307">
        <f t="shared" ca="1" si="392"/>
        <v>-10.848339840420099</v>
      </c>
      <c r="L853" s="304">
        <f t="shared" ca="1" si="377"/>
        <v>889.91404798472229</v>
      </c>
      <c r="M853" s="306">
        <f t="shared" ca="1" si="393"/>
        <v>-1.4755204960423536</v>
      </c>
      <c r="N853" s="304">
        <f t="shared" ca="1" si="394"/>
        <v>-84.541097008276552</v>
      </c>
      <c r="P853" s="310">
        <f t="shared" ca="1" si="395"/>
        <v>23</v>
      </c>
      <c r="Q853" s="304">
        <f t="shared" ca="1" si="396"/>
        <v>0</v>
      </c>
      <c r="R853" s="306">
        <f t="shared" ca="1" si="397"/>
        <v>0</v>
      </c>
      <c r="S853" s="307">
        <f t="shared" ca="1" si="398"/>
        <v>7.150000000000003</v>
      </c>
      <c r="T853" s="304">
        <f t="shared" ca="1" si="378"/>
        <v>70.141500000000036</v>
      </c>
      <c r="U853" s="311">
        <f t="shared" ca="1" si="379"/>
        <v>0</v>
      </c>
      <c r="V853" s="306">
        <f t="shared" ca="1" si="380"/>
        <v>1.2263296428513275</v>
      </c>
      <c r="W853" s="304">
        <f t="shared" ca="1" si="381"/>
        <v>54.692159876983489</v>
      </c>
      <c r="Y853" s="314" t="str">
        <f t="shared" ca="1" si="399"/>
        <v/>
      </c>
      <c r="Z853" s="315" t="str">
        <f t="shared" ca="1" si="400"/>
        <v/>
      </c>
      <c r="AA853" s="316" t="str">
        <f t="shared" ca="1" si="401"/>
        <v/>
      </c>
      <c r="AC853" s="310" t="e">
        <f t="shared" ca="1" si="402"/>
        <v>#N/A</v>
      </c>
      <c r="AD853" s="323" t="e">
        <f t="shared" ca="1" si="403"/>
        <v>#N/A</v>
      </c>
      <c r="AE853" s="324" t="e">
        <f t="shared" ca="1" si="382"/>
        <v>#N/A</v>
      </c>
      <c r="AG853" s="306">
        <f t="shared" ca="1" si="404"/>
        <v>2.116289537644982</v>
      </c>
      <c r="AH853" s="304">
        <f t="shared" ca="1" si="405"/>
        <v>-7.6492184085332164</v>
      </c>
    </row>
    <row r="854" spans="1:34" x14ac:dyDescent="0.2">
      <c r="A854" s="347">
        <f t="shared" ca="1" si="383"/>
        <v>1E-4</v>
      </c>
      <c r="B854" s="304">
        <f t="shared" ca="1" si="384"/>
        <v>36.730300000001257</v>
      </c>
      <c r="D854" s="306">
        <f t="shared" ca="1" si="385"/>
        <v>-0.72768685190371241</v>
      </c>
      <c r="E854" s="307">
        <f t="shared" ca="1" si="386"/>
        <v>-2.1954386017974254</v>
      </c>
      <c r="F854" s="304">
        <f t="shared" ca="1" si="387"/>
        <v>2.312894033174838</v>
      </c>
      <c r="G854" s="306">
        <f t="shared" ca="1" si="388"/>
        <v>12.435611939897525</v>
      </c>
      <c r="H854" s="307">
        <f t="shared" ca="1" si="389"/>
        <v>-130.12801351796608</v>
      </c>
      <c r="I854" s="304">
        <f t="shared" ca="1" si="390"/>
        <v>130.72086423540691</v>
      </c>
      <c r="J854" s="306">
        <f t="shared" ca="1" si="391"/>
        <v>889.84792314375909</v>
      </c>
      <c r="K854" s="307">
        <f t="shared" ca="1" si="392"/>
        <v>-10.861352630794702</v>
      </c>
      <c r="L854" s="304">
        <f t="shared" ca="1" si="377"/>
        <v>889.91420670996808</v>
      </c>
      <c r="M854" s="306">
        <f t="shared" ca="1" si="393"/>
        <v>-1.4755212099624251</v>
      </c>
      <c r="N854" s="304">
        <f t="shared" ca="1" si="394"/>
        <v>-84.541137912883556</v>
      </c>
      <c r="P854" s="310">
        <f t="shared" ca="1" si="395"/>
        <v>23</v>
      </c>
      <c r="Q854" s="304">
        <f t="shared" ca="1" si="396"/>
        <v>0</v>
      </c>
      <c r="R854" s="306">
        <f t="shared" ca="1" si="397"/>
        <v>0</v>
      </c>
      <c r="S854" s="307">
        <f t="shared" ca="1" si="398"/>
        <v>7.150000000000003</v>
      </c>
      <c r="T854" s="304">
        <f t="shared" ca="1" si="378"/>
        <v>70.141500000000036</v>
      </c>
      <c r="U854" s="311">
        <f t="shared" ca="1" si="379"/>
        <v>0</v>
      </c>
      <c r="V854" s="306">
        <f t="shared" ca="1" si="380"/>
        <v>1.2263312386498932</v>
      </c>
      <c r="W854" s="304">
        <f t="shared" ca="1" si="381"/>
        <v>54.692408131065122</v>
      </c>
      <c r="Y854" s="314" t="str">
        <f t="shared" ca="1" si="399"/>
        <v/>
      </c>
      <c r="Z854" s="315" t="str">
        <f t="shared" ca="1" si="400"/>
        <v/>
      </c>
      <c r="AA854" s="316" t="str">
        <f t="shared" ca="1" si="401"/>
        <v/>
      </c>
      <c r="AC854" s="310" t="e">
        <f t="shared" ca="1" si="402"/>
        <v>#N/A</v>
      </c>
      <c r="AD854" s="323" t="e">
        <f t="shared" ca="1" si="403"/>
        <v>#N/A</v>
      </c>
      <c r="AE854" s="324" t="e">
        <f t="shared" ca="1" si="382"/>
        <v>#N/A</v>
      </c>
      <c r="AG854" s="306">
        <f t="shared" ca="1" si="404"/>
        <v>2.116255482799251</v>
      </c>
      <c r="AH854" s="304">
        <f t="shared" ca="1" si="405"/>
        <v>-7.6492531296480371</v>
      </c>
    </row>
    <row r="855" spans="1:34" x14ac:dyDescent="0.2">
      <c r="A855" s="347">
        <f t="shared" ca="1" si="383"/>
        <v>1E-4</v>
      </c>
      <c r="B855" s="304">
        <f t="shared" ca="1" si="384"/>
        <v>36.730400000001261</v>
      </c>
      <c r="D855" s="306">
        <f t="shared" ca="1" si="385"/>
        <v>-0.72768471874598095</v>
      </c>
      <c r="E855" s="307">
        <f t="shared" ca="1" si="386"/>
        <v>-2.1954035189059891</v>
      </c>
      <c r="F855" s="304">
        <f t="shared" ca="1" si="387"/>
        <v>2.3128600607735041</v>
      </c>
      <c r="G855" s="306">
        <f t="shared" ca="1" si="388"/>
        <v>12.435539171425651</v>
      </c>
      <c r="H855" s="307">
        <f t="shared" ca="1" si="389"/>
        <v>-130.12823305831796</v>
      </c>
      <c r="I855" s="304">
        <f t="shared" ca="1" si="390"/>
        <v>130.72107585758303</v>
      </c>
      <c r="J855" s="306">
        <f t="shared" ca="1" si="391"/>
        <v>889.84792314375909</v>
      </c>
      <c r="K855" s="307">
        <f t="shared" ca="1" si="392"/>
        <v>-10.874365443123516</v>
      </c>
      <c r="L855" s="304">
        <f t="shared" ca="1" si="377"/>
        <v>889.91436562573369</v>
      </c>
      <c r="M855" s="306">
        <f t="shared" ca="1" si="393"/>
        <v>-1.4755219238760073</v>
      </c>
      <c r="N855" s="304">
        <f t="shared" ca="1" si="394"/>
        <v>-84.541178817118762</v>
      </c>
      <c r="P855" s="310">
        <f t="shared" ca="1" si="395"/>
        <v>23</v>
      </c>
      <c r="Q855" s="304">
        <f t="shared" ca="1" si="396"/>
        <v>0</v>
      </c>
      <c r="R855" s="306">
        <f t="shared" ca="1" si="397"/>
        <v>0</v>
      </c>
      <c r="S855" s="307">
        <f t="shared" ca="1" si="398"/>
        <v>7.150000000000003</v>
      </c>
      <c r="T855" s="304">
        <f t="shared" ca="1" si="378"/>
        <v>70.141500000000036</v>
      </c>
      <c r="U855" s="311">
        <f t="shared" ca="1" si="379"/>
        <v>0</v>
      </c>
      <c r="V855" s="306">
        <f t="shared" ca="1" si="380"/>
        <v>1.2263328344532287</v>
      </c>
      <c r="W855" s="304">
        <f t="shared" ca="1" si="381"/>
        <v>54.692656383257415</v>
      </c>
      <c r="Y855" s="314" t="str">
        <f t="shared" ca="1" si="399"/>
        <v/>
      </c>
      <c r="Z855" s="315" t="str">
        <f t="shared" ca="1" si="400"/>
        <v/>
      </c>
      <c r="AA855" s="316" t="str">
        <f t="shared" ca="1" si="401"/>
        <v/>
      </c>
      <c r="AC855" s="310" t="e">
        <f t="shared" ca="1" si="402"/>
        <v>#N/A</v>
      </c>
      <c r="AD855" s="323" t="e">
        <f t="shared" ca="1" si="403"/>
        <v>#N/A</v>
      </c>
      <c r="AE855" s="324" t="e">
        <f t="shared" ca="1" si="382"/>
        <v>#N/A</v>
      </c>
      <c r="AG855" s="306">
        <f t="shared" ca="1" si="404"/>
        <v>2.1162214282067264</v>
      </c>
      <c r="AH855" s="304">
        <f t="shared" ca="1" si="405"/>
        <v>-7.6492878504986148</v>
      </c>
    </row>
    <row r="856" spans="1:34" x14ac:dyDescent="0.2">
      <c r="A856" s="347">
        <f t="shared" ca="1" si="383"/>
        <v>1E-4</v>
      </c>
      <c r="B856" s="304">
        <f t="shared" ca="1" si="384"/>
        <v>36.730500000001264</v>
      </c>
      <c r="D856" s="306">
        <f t="shared" ca="1" si="385"/>
        <v>-0.72768258556280319</v>
      </c>
      <c r="E856" s="307">
        <f t="shared" ca="1" si="386"/>
        <v>-2.195368436281484</v>
      </c>
      <c r="F856" s="304">
        <f t="shared" ca="1" si="387"/>
        <v>2.3128260886526628</v>
      </c>
      <c r="G856" s="306">
        <f t="shared" ca="1" si="388"/>
        <v>12.435466403167094</v>
      </c>
      <c r="H856" s="307">
        <f t="shared" ca="1" si="389"/>
        <v>-130.12845259516158</v>
      </c>
      <c r="I856" s="304">
        <f t="shared" ca="1" si="390"/>
        <v>130.72128747635372</v>
      </c>
      <c r="J856" s="306">
        <f t="shared" ca="1" si="391"/>
        <v>889.84792314375909</v>
      </c>
      <c r="K856" s="307">
        <f t="shared" ca="1" si="392"/>
        <v>-10.88737827740619</v>
      </c>
      <c r="L856" s="304">
        <f t="shared" ca="1" si="377"/>
        <v>889.9145247320198</v>
      </c>
      <c r="M856" s="306">
        <f t="shared" ca="1" si="393"/>
        <v>-1.4755226377831008</v>
      </c>
      <c r="N856" s="304">
        <f t="shared" ca="1" si="394"/>
        <v>-84.54121972098217</v>
      </c>
      <c r="P856" s="310">
        <f t="shared" ca="1" si="395"/>
        <v>23</v>
      </c>
      <c r="Q856" s="304">
        <f t="shared" ca="1" si="396"/>
        <v>0</v>
      </c>
      <c r="R856" s="306">
        <f t="shared" ca="1" si="397"/>
        <v>0</v>
      </c>
      <c r="S856" s="307">
        <f t="shared" ca="1" si="398"/>
        <v>7.150000000000003</v>
      </c>
      <c r="T856" s="304">
        <f t="shared" ca="1" si="378"/>
        <v>70.141500000000036</v>
      </c>
      <c r="U856" s="311">
        <f t="shared" ca="1" si="379"/>
        <v>0</v>
      </c>
      <c r="V856" s="306">
        <f t="shared" ca="1" si="380"/>
        <v>1.2263344302613344</v>
      </c>
      <c r="W856" s="304">
        <f t="shared" ca="1" si="381"/>
        <v>54.692904633560346</v>
      </c>
      <c r="Y856" s="314" t="str">
        <f t="shared" ca="1" si="399"/>
        <v/>
      </c>
      <c r="Z856" s="315" t="str">
        <f t="shared" ca="1" si="400"/>
        <v/>
      </c>
      <c r="AA856" s="316" t="str">
        <f t="shared" ca="1" si="401"/>
        <v/>
      </c>
      <c r="AC856" s="310" t="e">
        <f t="shared" ca="1" si="402"/>
        <v>#N/A</v>
      </c>
      <c r="AD856" s="323" t="e">
        <f t="shared" ca="1" si="403"/>
        <v>#N/A</v>
      </c>
      <c r="AE856" s="324" t="e">
        <f t="shared" ca="1" si="382"/>
        <v>#N/A</v>
      </c>
      <c r="AG856" s="306">
        <f t="shared" ca="1" si="404"/>
        <v>2.1161873738674117</v>
      </c>
      <c r="AH856" s="304">
        <f t="shared" ca="1" si="405"/>
        <v>-7.6493225710849497</v>
      </c>
    </row>
    <row r="857" spans="1:34" x14ac:dyDescent="0.2">
      <c r="A857" s="347">
        <f t="shared" ca="1" si="383"/>
        <v>1E-4</v>
      </c>
      <c r="B857" s="304">
        <f t="shared" ca="1" si="384"/>
        <v>36.730600000001267</v>
      </c>
      <c r="D857" s="306">
        <f t="shared" ca="1" si="385"/>
        <v>-0.727680452354177</v>
      </c>
      <c r="E857" s="307">
        <f t="shared" ca="1" si="386"/>
        <v>-2.1953333539239139</v>
      </c>
      <c r="F857" s="304">
        <f t="shared" ca="1" si="387"/>
        <v>2.3127921168123176</v>
      </c>
      <c r="G857" s="306">
        <f t="shared" ca="1" si="388"/>
        <v>12.435393635121859</v>
      </c>
      <c r="H857" s="307">
        <f t="shared" ca="1" si="389"/>
        <v>-130.12867212849696</v>
      </c>
      <c r="I857" s="304">
        <f t="shared" ca="1" si="390"/>
        <v>130.72149909171901</v>
      </c>
      <c r="J857" s="306">
        <f t="shared" ca="1" si="391"/>
        <v>889.84792314375909</v>
      </c>
      <c r="K857" s="307">
        <f t="shared" ca="1" si="392"/>
        <v>-10.900391133642373</v>
      </c>
      <c r="L857" s="304">
        <f t="shared" ca="1" si="377"/>
        <v>889.91468402882742</v>
      </c>
      <c r="M857" s="306">
        <f t="shared" ca="1" si="393"/>
        <v>-1.4755233516837052</v>
      </c>
      <c r="N857" s="304">
        <f t="shared" ca="1" si="394"/>
        <v>-84.541260624473793</v>
      </c>
      <c r="P857" s="310">
        <f t="shared" ca="1" si="395"/>
        <v>23</v>
      </c>
      <c r="Q857" s="304">
        <f t="shared" ca="1" si="396"/>
        <v>0</v>
      </c>
      <c r="R857" s="306">
        <f t="shared" ca="1" si="397"/>
        <v>0</v>
      </c>
      <c r="S857" s="307">
        <f t="shared" ca="1" si="398"/>
        <v>7.150000000000003</v>
      </c>
      <c r="T857" s="304">
        <f t="shared" ca="1" si="378"/>
        <v>70.141500000000036</v>
      </c>
      <c r="U857" s="311">
        <f t="shared" ca="1" si="379"/>
        <v>0</v>
      </c>
      <c r="V857" s="306">
        <f t="shared" ca="1" si="380"/>
        <v>1.2263360260742102</v>
      </c>
      <c r="W857" s="304">
        <f t="shared" ca="1" si="381"/>
        <v>54.693152881973958</v>
      </c>
      <c r="Y857" s="314" t="str">
        <f t="shared" ca="1" si="399"/>
        <v/>
      </c>
      <c r="Z857" s="315" t="str">
        <f t="shared" ca="1" si="400"/>
        <v/>
      </c>
      <c r="AA857" s="316" t="str">
        <f t="shared" ca="1" si="401"/>
        <v/>
      </c>
      <c r="AC857" s="310" t="e">
        <f t="shared" ca="1" si="402"/>
        <v>#N/A</v>
      </c>
      <c r="AD857" s="323" t="e">
        <f t="shared" ca="1" si="403"/>
        <v>#N/A</v>
      </c>
      <c r="AE857" s="324" t="e">
        <f t="shared" ca="1" si="382"/>
        <v>#N/A</v>
      </c>
      <c r="AG857" s="306">
        <f t="shared" ca="1" si="404"/>
        <v>2.1161533197813123</v>
      </c>
      <c r="AH857" s="304">
        <f t="shared" ca="1" si="405"/>
        <v>-7.6493572914070382</v>
      </c>
    </row>
    <row r="858" spans="1:34" x14ac:dyDescent="0.2">
      <c r="A858" s="347">
        <f t="shared" ca="1" si="383"/>
        <v>1E-4</v>
      </c>
      <c r="B858" s="304">
        <f t="shared" ca="1" si="384"/>
        <v>36.730700000001271</v>
      </c>
      <c r="D858" s="306">
        <f t="shared" ca="1" si="385"/>
        <v>-0.72767831912010561</v>
      </c>
      <c r="E858" s="307">
        <f t="shared" ca="1" si="386"/>
        <v>-2.1952982718332734</v>
      </c>
      <c r="F858" s="304">
        <f t="shared" ca="1" si="387"/>
        <v>2.3127581452524644</v>
      </c>
      <c r="G858" s="306">
        <f t="shared" ca="1" si="388"/>
        <v>12.435320867289947</v>
      </c>
      <c r="H858" s="307">
        <f t="shared" ca="1" si="389"/>
        <v>-130.12889165832414</v>
      </c>
      <c r="I858" s="304">
        <f t="shared" ca="1" si="390"/>
        <v>130.72171070367889</v>
      </c>
      <c r="J858" s="306">
        <f t="shared" ca="1" si="391"/>
        <v>889.84792314375909</v>
      </c>
      <c r="K858" s="307">
        <f t="shared" ca="1" si="392"/>
        <v>-10.913404011831714</v>
      </c>
      <c r="L858" s="304">
        <f t="shared" ca="1" si="377"/>
        <v>889.91484351615736</v>
      </c>
      <c r="M858" s="306">
        <f t="shared" ca="1" si="393"/>
        <v>-1.4755240655778208</v>
      </c>
      <c r="N858" s="304">
        <f t="shared" ca="1" si="394"/>
        <v>-84.541301527593646</v>
      </c>
      <c r="P858" s="310">
        <f t="shared" ca="1" si="395"/>
        <v>23</v>
      </c>
      <c r="Q858" s="304">
        <f t="shared" ca="1" si="396"/>
        <v>0</v>
      </c>
      <c r="R858" s="306">
        <f t="shared" ca="1" si="397"/>
        <v>0</v>
      </c>
      <c r="S858" s="307">
        <f t="shared" ca="1" si="398"/>
        <v>7.150000000000003</v>
      </c>
      <c r="T858" s="304">
        <f t="shared" ca="1" si="378"/>
        <v>70.141500000000036</v>
      </c>
      <c r="U858" s="311">
        <f t="shared" ca="1" si="379"/>
        <v>0</v>
      </c>
      <c r="V858" s="306">
        <f t="shared" ca="1" si="380"/>
        <v>1.2263376218918558</v>
      </c>
      <c r="W858" s="304">
        <f t="shared" ca="1" si="381"/>
        <v>54.693401128498195</v>
      </c>
      <c r="Y858" s="314" t="str">
        <f t="shared" ca="1" si="399"/>
        <v/>
      </c>
      <c r="Z858" s="315" t="str">
        <f t="shared" ca="1" si="400"/>
        <v/>
      </c>
      <c r="AA858" s="316" t="str">
        <f t="shared" ca="1" si="401"/>
        <v/>
      </c>
      <c r="AC858" s="310" t="e">
        <f t="shared" ca="1" si="402"/>
        <v>#N/A</v>
      </c>
      <c r="AD858" s="323" t="e">
        <f t="shared" ca="1" si="403"/>
        <v>#N/A</v>
      </c>
      <c r="AE858" s="324" t="e">
        <f t="shared" ca="1" si="382"/>
        <v>#N/A</v>
      </c>
      <c r="AG858" s="306">
        <f t="shared" ca="1" si="404"/>
        <v>2.1161192659484209</v>
      </c>
      <c r="AH858" s="304">
        <f t="shared" ca="1" si="405"/>
        <v>-7.6493920114648857</v>
      </c>
    </row>
    <row r="859" spans="1:34" x14ac:dyDescent="0.2">
      <c r="A859" s="347">
        <f t="shared" ca="1" si="383"/>
        <v>1E-4</v>
      </c>
      <c r="B859" s="304">
        <f t="shared" ca="1" si="384"/>
        <v>36.730800000001274</v>
      </c>
      <c r="D859" s="306">
        <f t="shared" ca="1" si="385"/>
        <v>-0.72767618586058802</v>
      </c>
      <c r="E859" s="307">
        <f t="shared" ca="1" si="386"/>
        <v>-2.1952631900095678</v>
      </c>
      <c r="F859" s="304">
        <f t="shared" ca="1" si="387"/>
        <v>2.3127241739731086</v>
      </c>
      <c r="G859" s="306">
        <f t="shared" ca="1" si="388"/>
        <v>12.435248099671361</v>
      </c>
      <c r="H859" s="307">
        <f t="shared" ca="1" si="389"/>
        <v>-130.12911118464314</v>
      </c>
      <c r="I859" s="304">
        <f t="shared" ca="1" si="390"/>
        <v>130.72192231223346</v>
      </c>
      <c r="J859" s="306">
        <f t="shared" ca="1" si="391"/>
        <v>889.84792314375909</v>
      </c>
      <c r="K859" s="307">
        <f t="shared" ca="1" si="392"/>
        <v>-10.926416911973863</v>
      </c>
      <c r="L859" s="304">
        <f t="shared" ca="1" si="377"/>
        <v>889.91500319401052</v>
      </c>
      <c r="M859" s="306">
        <f t="shared" ca="1" si="393"/>
        <v>-1.4755247794654478</v>
      </c>
      <c r="N859" s="304">
        <f t="shared" ca="1" si="394"/>
        <v>-84.541342430341714</v>
      </c>
      <c r="P859" s="310">
        <f t="shared" ca="1" si="395"/>
        <v>23</v>
      </c>
      <c r="Q859" s="304">
        <f t="shared" ca="1" si="396"/>
        <v>0</v>
      </c>
      <c r="R859" s="306">
        <f t="shared" ca="1" si="397"/>
        <v>0</v>
      </c>
      <c r="S859" s="307">
        <f t="shared" ca="1" si="398"/>
        <v>7.150000000000003</v>
      </c>
      <c r="T859" s="304">
        <f t="shared" ca="1" si="378"/>
        <v>70.141500000000036</v>
      </c>
      <c r="U859" s="311">
        <f t="shared" ca="1" si="379"/>
        <v>0</v>
      </c>
      <c r="V859" s="306">
        <f t="shared" ca="1" si="380"/>
        <v>1.2263392177142711</v>
      </c>
      <c r="W859" s="304">
        <f t="shared" ca="1" si="381"/>
        <v>54.693649373133105</v>
      </c>
      <c r="Y859" s="314" t="str">
        <f t="shared" ca="1" si="399"/>
        <v/>
      </c>
      <c r="Z859" s="315" t="str">
        <f t="shared" ca="1" si="400"/>
        <v/>
      </c>
      <c r="AA859" s="316" t="str">
        <f t="shared" ca="1" si="401"/>
        <v/>
      </c>
      <c r="AC859" s="310" t="e">
        <f t="shared" ca="1" si="402"/>
        <v>#N/A</v>
      </c>
      <c r="AD859" s="323" t="e">
        <f t="shared" ca="1" si="403"/>
        <v>#N/A</v>
      </c>
      <c r="AE859" s="324" t="e">
        <f t="shared" ca="1" si="382"/>
        <v>#N/A</v>
      </c>
      <c r="AG859" s="306">
        <f t="shared" ca="1" si="404"/>
        <v>2.1160852123687457</v>
      </c>
      <c r="AH859" s="304">
        <f t="shared" ca="1" si="405"/>
        <v>-7.6494267312584858</v>
      </c>
    </row>
    <row r="860" spans="1:34" x14ac:dyDescent="0.2">
      <c r="A860" s="347">
        <f t="shared" ca="1" si="383"/>
        <v>1E-4</v>
      </c>
      <c r="B860" s="304">
        <f t="shared" ca="1" si="384"/>
        <v>36.730900000001277</v>
      </c>
      <c r="D860" s="306">
        <f t="shared" ca="1" si="385"/>
        <v>-0.72767405257562434</v>
      </c>
      <c r="E860" s="307">
        <f t="shared" ca="1" si="386"/>
        <v>-2.1952281084527936</v>
      </c>
      <c r="F860" s="304">
        <f t="shared" ca="1" si="387"/>
        <v>2.3126902029742467</v>
      </c>
      <c r="G860" s="306">
        <f t="shared" ca="1" si="388"/>
        <v>12.435175332266104</v>
      </c>
      <c r="H860" s="307">
        <f t="shared" ca="1" si="389"/>
        <v>-130.12933070745399</v>
      </c>
      <c r="I860" s="304">
        <f t="shared" ca="1" si="390"/>
        <v>130.72213391738268</v>
      </c>
      <c r="J860" s="306">
        <f t="shared" ca="1" si="391"/>
        <v>889.84792314375909</v>
      </c>
      <c r="K860" s="307">
        <f t="shared" ca="1" si="392"/>
        <v>-10.939429834068468</v>
      </c>
      <c r="L860" s="304">
        <f t="shared" ca="1" si="377"/>
        <v>889.91516306238759</v>
      </c>
      <c r="M860" s="306">
        <f t="shared" ca="1" si="393"/>
        <v>-1.475525493346586</v>
      </c>
      <c r="N860" s="304">
        <f t="shared" ca="1" si="394"/>
        <v>-84.541383332718013</v>
      </c>
      <c r="P860" s="310">
        <f t="shared" ca="1" si="395"/>
        <v>23</v>
      </c>
      <c r="Q860" s="304">
        <f t="shared" ca="1" si="396"/>
        <v>0</v>
      </c>
      <c r="R860" s="306">
        <f t="shared" ca="1" si="397"/>
        <v>0</v>
      </c>
      <c r="S860" s="307">
        <f t="shared" ca="1" si="398"/>
        <v>7.150000000000003</v>
      </c>
      <c r="T860" s="304">
        <f t="shared" ca="1" si="378"/>
        <v>70.141500000000036</v>
      </c>
      <c r="U860" s="311">
        <f t="shared" ca="1" si="379"/>
        <v>0</v>
      </c>
      <c r="V860" s="306">
        <f t="shared" ca="1" si="380"/>
        <v>1.2263408135414562</v>
      </c>
      <c r="W860" s="304">
        <f t="shared" ca="1" si="381"/>
        <v>54.693897615878655</v>
      </c>
      <c r="Y860" s="314" t="str">
        <f t="shared" ca="1" si="399"/>
        <v/>
      </c>
      <c r="Z860" s="315" t="str">
        <f t="shared" ca="1" si="400"/>
        <v/>
      </c>
      <c r="AA860" s="316" t="str">
        <f t="shared" ca="1" si="401"/>
        <v/>
      </c>
      <c r="AC860" s="310" t="e">
        <f t="shared" ca="1" si="402"/>
        <v>#N/A</v>
      </c>
      <c r="AD860" s="323" t="e">
        <f t="shared" ca="1" si="403"/>
        <v>#N/A</v>
      </c>
      <c r="AE860" s="324" t="e">
        <f t="shared" ca="1" si="382"/>
        <v>#N/A</v>
      </c>
      <c r="AG860" s="306">
        <f t="shared" ca="1" si="404"/>
        <v>2.1160511590422795</v>
      </c>
      <c r="AH860" s="304">
        <f t="shared" ca="1" si="405"/>
        <v>-7.649461450787844</v>
      </c>
    </row>
    <row r="861" spans="1:34" x14ac:dyDescent="0.2">
      <c r="A861" s="347">
        <f t="shared" ca="1" si="383"/>
        <v>1E-4</v>
      </c>
      <c r="B861" s="304">
        <f t="shared" ca="1" si="384"/>
        <v>36.731000000001281</v>
      </c>
      <c r="D861" s="306">
        <f t="shared" ca="1" si="385"/>
        <v>-0.7276719192652169</v>
      </c>
      <c r="E861" s="307">
        <f t="shared" ca="1" si="386"/>
        <v>-2.1951930271629525</v>
      </c>
      <c r="F861" s="304">
        <f t="shared" ca="1" si="387"/>
        <v>2.3126562322558821</v>
      </c>
      <c r="G861" s="306">
        <f t="shared" ca="1" si="388"/>
        <v>12.435102565074176</v>
      </c>
      <c r="H861" s="307">
        <f t="shared" ca="1" si="389"/>
        <v>-130.12955022675669</v>
      </c>
      <c r="I861" s="304">
        <f t="shared" ca="1" si="390"/>
        <v>130.72234551912655</v>
      </c>
      <c r="J861" s="306">
        <f t="shared" ca="1" si="391"/>
        <v>889.84792314375909</v>
      </c>
      <c r="K861" s="307">
        <f t="shared" ca="1" si="392"/>
        <v>-10.952442778115179</v>
      </c>
      <c r="L861" s="304">
        <f t="shared" ca="1" si="377"/>
        <v>889.91532312128959</v>
      </c>
      <c r="M861" s="306">
        <f t="shared" ca="1" si="393"/>
        <v>-1.4755262072212356</v>
      </c>
      <c r="N861" s="304">
        <f t="shared" ca="1" si="394"/>
        <v>-84.541424234722541</v>
      </c>
      <c r="P861" s="310">
        <f t="shared" ca="1" si="395"/>
        <v>23</v>
      </c>
      <c r="Q861" s="304">
        <f t="shared" ca="1" si="396"/>
        <v>0</v>
      </c>
      <c r="R861" s="306">
        <f t="shared" ca="1" si="397"/>
        <v>0</v>
      </c>
      <c r="S861" s="307">
        <f t="shared" ca="1" si="398"/>
        <v>7.150000000000003</v>
      </c>
      <c r="T861" s="304">
        <f t="shared" ca="1" si="378"/>
        <v>70.141500000000036</v>
      </c>
      <c r="U861" s="311">
        <f t="shared" ca="1" si="379"/>
        <v>0</v>
      </c>
      <c r="V861" s="306">
        <f t="shared" ca="1" si="380"/>
        <v>1.2263424093734114</v>
      </c>
      <c r="W861" s="304">
        <f t="shared" ca="1" si="381"/>
        <v>54.694145856734835</v>
      </c>
      <c r="Y861" s="314" t="str">
        <f t="shared" ca="1" si="399"/>
        <v/>
      </c>
      <c r="Z861" s="315" t="str">
        <f t="shared" ca="1" si="400"/>
        <v/>
      </c>
      <c r="AA861" s="316" t="str">
        <f t="shared" ca="1" si="401"/>
        <v/>
      </c>
      <c r="AC861" s="310" t="e">
        <f t="shared" ca="1" si="402"/>
        <v>#N/A</v>
      </c>
      <c r="AD861" s="323" t="e">
        <f t="shared" ca="1" si="403"/>
        <v>#N/A</v>
      </c>
      <c r="AE861" s="324" t="e">
        <f t="shared" ca="1" si="382"/>
        <v>#N/A</v>
      </c>
      <c r="AG861" s="306">
        <f t="shared" ca="1" si="404"/>
        <v>2.1160171059690249</v>
      </c>
      <c r="AH861" s="304">
        <f t="shared" ca="1" si="405"/>
        <v>-7.6494961700529558</v>
      </c>
    </row>
    <row r="862" spans="1:34" x14ac:dyDescent="0.2">
      <c r="A862" s="347">
        <f t="shared" ca="1" si="383"/>
        <v>1E-4</v>
      </c>
      <c r="B862" s="304">
        <f t="shared" ca="1" si="384"/>
        <v>36.731100000001284</v>
      </c>
      <c r="D862" s="306">
        <f t="shared" ca="1" si="385"/>
        <v>-0.72766978592936538</v>
      </c>
      <c r="E862" s="307">
        <f t="shared" ca="1" si="386"/>
        <v>-2.1951579461400499</v>
      </c>
      <c r="F862" s="304">
        <f t="shared" ca="1" si="387"/>
        <v>2.312622261818019</v>
      </c>
      <c r="G862" s="306">
        <f t="shared" ca="1" si="388"/>
        <v>12.435029798095583</v>
      </c>
      <c r="H862" s="307">
        <f t="shared" ca="1" si="389"/>
        <v>-130.1297697425513</v>
      </c>
      <c r="I862" s="304">
        <f t="shared" ca="1" si="390"/>
        <v>130.72255711746519</v>
      </c>
      <c r="J862" s="306">
        <f t="shared" ca="1" si="391"/>
        <v>889.84792314375909</v>
      </c>
      <c r="K862" s="307">
        <f t="shared" ca="1" si="392"/>
        <v>-10.965455744113644</v>
      </c>
      <c r="L862" s="304">
        <f t="shared" ca="1" si="377"/>
        <v>889.91548337071731</v>
      </c>
      <c r="M862" s="306">
        <f t="shared" ca="1" si="393"/>
        <v>-1.4755269210893969</v>
      </c>
      <c r="N862" s="304">
        <f t="shared" ca="1" si="394"/>
        <v>-84.541465136355299</v>
      </c>
      <c r="P862" s="310">
        <f t="shared" ca="1" si="395"/>
        <v>23</v>
      </c>
      <c r="Q862" s="304">
        <f t="shared" ca="1" si="396"/>
        <v>0</v>
      </c>
      <c r="R862" s="306">
        <f t="shared" ca="1" si="397"/>
        <v>0</v>
      </c>
      <c r="S862" s="307">
        <f t="shared" ca="1" si="398"/>
        <v>7.150000000000003</v>
      </c>
      <c r="T862" s="304">
        <f t="shared" ca="1" si="378"/>
        <v>70.141500000000036</v>
      </c>
      <c r="U862" s="311">
        <f t="shared" ca="1" si="379"/>
        <v>0</v>
      </c>
      <c r="V862" s="306">
        <f t="shared" ca="1" si="380"/>
        <v>1.2263440052101366</v>
      </c>
      <c r="W862" s="304">
        <f t="shared" ca="1" si="381"/>
        <v>54.694394095701703</v>
      </c>
      <c r="Y862" s="314" t="str">
        <f t="shared" ca="1" si="399"/>
        <v/>
      </c>
      <c r="Z862" s="315" t="str">
        <f t="shared" ca="1" si="400"/>
        <v/>
      </c>
      <c r="AA862" s="316" t="str">
        <f t="shared" ca="1" si="401"/>
        <v/>
      </c>
      <c r="AC862" s="310" t="e">
        <f t="shared" ca="1" si="402"/>
        <v>#N/A</v>
      </c>
      <c r="AD862" s="323" t="e">
        <f t="shared" ca="1" si="403"/>
        <v>#N/A</v>
      </c>
      <c r="AE862" s="324" t="e">
        <f t="shared" ca="1" si="382"/>
        <v>#N/A</v>
      </c>
      <c r="AG862" s="306">
        <f t="shared" ca="1" si="404"/>
        <v>2.1159830531489892</v>
      </c>
      <c r="AH862" s="304">
        <f t="shared" ca="1" si="405"/>
        <v>-7.6495308890538194</v>
      </c>
    </row>
    <row r="863" spans="1:34" x14ac:dyDescent="0.2">
      <c r="A863" s="347">
        <f t="shared" ca="1" si="383"/>
        <v>1E-4</v>
      </c>
      <c r="B863" s="304">
        <f t="shared" ca="1" si="384"/>
        <v>36.731200000001287</v>
      </c>
      <c r="D863" s="306">
        <f t="shared" ca="1" si="385"/>
        <v>-0.7276676525680702</v>
      </c>
      <c r="E863" s="307">
        <f t="shared" ca="1" si="386"/>
        <v>-2.1951228653840733</v>
      </c>
      <c r="F863" s="304">
        <f t="shared" ca="1" si="387"/>
        <v>2.3125882916606471</v>
      </c>
      <c r="G863" s="306">
        <f t="shared" ca="1" si="388"/>
        <v>12.434957031330326</v>
      </c>
      <c r="H863" s="307">
        <f t="shared" ca="1" si="389"/>
        <v>-130.12998925483785</v>
      </c>
      <c r="I863" s="304">
        <f t="shared" ca="1" si="390"/>
        <v>130.72276871239856</v>
      </c>
      <c r="J863" s="306">
        <f t="shared" ca="1" si="391"/>
        <v>889.84792314375909</v>
      </c>
      <c r="K863" s="307">
        <f t="shared" ca="1" si="392"/>
        <v>-10.978468732063513</v>
      </c>
      <c r="L863" s="304">
        <f t="shared" ca="1" si="377"/>
        <v>889.91564381067167</v>
      </c>
      <c r="M863" s="306">
        <f t="shared" ca="1" si="393"/>
        <v>-1.4755276349510698</v>
      </c>
      <c r="N863" s="304">
        <f t="shared" ca="1" si="394"/>
        <v>-84.541506037616315</v>
      </c>
      <c r="P863" s="310">
        <f t="shared" ca="1" si="395"/>
        <v>23</v>
      </c>
      <c r="Q863" s="304">
        <f t="shared" ca="1" si="396"/>
        <v>0</v>
      </c>
      <c r="R863" s="306">
        <f t="shared" ca="1" si="397"/>
        <v>0</v>
      </c>
      <c r="S863" s="307">
        <f t="shared" ca="1" si="398"/>
        <v>7.150000000000003</v>
      </c>
      <c r="T863" s="304">
        <f t="shared" ca="1" si="378"/>
        <v>70.141500000000036</v>
      </c>
      <c r="U863" s="311">
        <f t="shared" ca="1" si="379"/>
        <v>0</v>
      </c>
      <c r="V863" s="306">
        <f t="shared" ca="1" si="380"/>
        <v>1.2263456010516314</v>
      </c>
      <c r="W863" s="304">
        <f t="shared" ca="1" si="381"/>
        <v>54.694642332779189</v>
      </c>
      <c r="Y863" s="314" t="str">
        <f t="shared" ca="1" si="399"/>
        <v/>
      </c>
      <c r="Z863" s="315" t="str">
        <f t="shared" ca="1" si="400"/>
        <v/>
      </c>
      <c r="AA863" s="316" t="str">
        <f t="shared" ca="1" si="401"/>
        <v/>
      </c>
      <c r="AC863" s="310" t="e">
        <f t="shared" ca="1" si="402"/>
        <v>#N/A</v>
      </c>
      <c r="AD863" s="323" t="e">
        <f t="shared" ca="1" si="403"/>
        <v>#N/A</v>
      </c>
      <c r="AE863" s="324" t="e">
        <f t="shared" ca="1" si="382"/>
        <v>#N/A</v>
      </c>
      <c r="AG863" s="306">
        <f t="shared" ca="1" si="404"/>
        <v>2.1159490005821588</v>
      </c>
      <c r="AH863" s="304">
        <f t="shared" ca="1" si="405"/>
        <v>-7.6495656077904446</v>
      </c>
    </row>
    <row r="864" spans="1:34" x14ac:dyDescent="0.2">
      <c r="A864" s="347">
        <f t="shared" ca="1" si="383"/>
        <v>1E-4</v>
      </c>
      <c r="B864" s="304">
        <f t="shared" ca="1" si="384"/>
        <v>36.731300000001291</v>
      </c>
      <c r="D864" s="306">
        <f t="shared" ca="1" si="385"/>
        <v>-0.72766551918133138</v>
      </c>
      <c r="E864" s="307">
        <f t="shared" ca="1" si="386"/>
        <v>-2.1950877848950343</v>
      </c>
      <c r="F864" s="304">
        <f t="shared" ca="1" si="387"/>
        <v>2.312554321783777</v>
      </c>
      <c r="G864" s="306">
        <f t="shared" ca="1" si="388"/>
        <v>12.434884264778407</v>
      </c>
      <c r="H864" s="307">
        <f t="shared" ca="1" si="389"/>
        <v>-130.13020876361634</v>
      </c>
      <c r="I864" s="304">
        <f t="shared" ca="1" si="390"/>
        <v>130.72298030392668</v>
      </c>
      <c r="J864" s="306">
        <f t="shared" ca="1" si="391"/>
        <v>889.84792314375909</v>
      </c>
      <c r="K864" s="307">
        <f t="shared" ca="1" si="392"/>
        <v>-10.991481741964437</v>
      </c>
      <c r="L864" s="304">
        <f t="shared" ca="1" si="377"/>
        <v>889.91580444115345</v>
      </c>
      <c r="M864" s="306">
        <f t="shared" ca="1" si="393"/>
        <v>-1.4755283488062543</v>
      </c>
      <c r="N864" s="304">
        <f t="shared" ca="1" si="394"/>
        <v>-84.541546938505576</v>
      </c>
      <c r="P864" s="310">
        <f t="shared" ca="1" si="395"/>
        <v>23</v>
      </c>
      <c r="Q864" s="304">
        <f t="shared" ca="1" si="396"/>
        <v>0</v>
      </c>
      <c r="R864" s="306">
        <f t="shared" ca="1" si="397"/>
        <v>0</v>
      </c>
      <c r="S864" s="307">
        <f t="shared" ca="1" si="398"/>
        <v>7.150000000000003</v>
      </c>
      <c r="T864" s="304">
        <f t="shared" ca="1" si="378"/>
        <v>70.141500000000036</v>
      </c>
      <c r="U864" s="311">
        <f t="shared" ca="1" si="379"/>
        <v>0</v>
      </c>
      <c r="V864" s="306">
        <f t="shared" ca="1" si="380"/>
        <v>1.2263471968978958</v>
      </c>
      <c r="W864" s="304">
        <f t="shared" ca="1" si="381"/>
        <v>54.694890567967299</v>
      </c>
      <c r="Y864" s="314" t="str">
        <f t="shared" ca="1" si="399"/>
        <v/>
      </c>
      <c r="Z864" s="315" t="str">
        <f t="shared" ca="1" si="400"/>
        <v/>
      </c>
      <c r="AA864" s="316" t="str">
        <f t="shared" ca="1" si="401"/>
        <v/>
      </c>
      <c r="AC864" s="310" t="e">
        <f t="shared" ca="1" si="402"/>
        <v>#N/A</v>
      </c>
      <c r="AD864" s="323" t="e">
        <f t="shared" ca="1" si="403"/>
        <v>#N/A</v>
      </c>
      <c r="AE864" s="324" t="e">
        <f t="shared" ca="1" si="382"/>
        <v>#N/A</v>
      </c>
      <c r="AG864" s="306">
        <f t="shared" ca="1" si="404"/>
        <v>2.1159149482685482</v>
      </c>
      <c r="AH864" s="304">
        <f t="shared" ca="1" si="405"/>
        <v>-7.6496003262628207</v>
      </c>
    </row>
    <row r="865" spans="1:34" x14ac:dyDescent="0.2">
      <c r="A865" s="347">
        <f t="shared" ca="1" si="383"/>
        <v>1E-4</v>
      </c>
      <c r="B865" s="304">
        <f t="shared" ca="1" si="384"/>
        <v>36.731400000001294</v>
      </c>
      <c r="D865" s="306">
        <f t="shared" ca="1" si="385"/>
        <v>-0.72766338576915024</v>
      </c>
      <c r="E865" s="307">
        <f t="shared" ca="1" si="386"/>
        <v>-2.1950527046729338</v>
      </c>
      <c r="F865" s="304">
        <f t="shared" ca="1" si="387"/>
        <v>2.3125203521874105</v>
      </c>
      <c r="G865" s="306">
        <f t="shared" ca="1" si="388"/>
        <v>12.43481149843983</v>
      </c>
      <c r="H865" s="307">
        <f t="shared" ca="1" si="389"/>
        <v>-130.13042826888682</v>
      </c>
      <c r="I865" s="304">
        <f t="shared" ca="1" si="390"/>
        <v>130.72319189204961</v>
      </c>
      <c r="J865" s="306">
        <f t="shared" ca="1" si="391"/>
        <v>889.84792314375909</v>
      </c>
      <c r="K865" s="307">
        <f t="shared" ca="1" si="392"/>
        <v>-11.004494773816061</v>
      </c>
      <c r="L865" s="304">
        <f t="shared" ca="1" si="377"/>
        <v>889.91596526216358</v>
      </c>
      <c r="M865" s="306">
        <f t="shared" ca="1" si="393"/>
        <v>-1.4755290626549507</v>
      </c>
      <c r="N865" s="304">
        <f t="shared" ca="1" si="394"/>
        <v>-84.54158783902308</v>
      </c>
      <c r="P865" s="310">
        <f t="shared" ca="1" si="395"/>
        <v>23</v>
      </c>
      <c r="Q865" s="304">
        <f t="shared" ca="1" si="396"/>
        <v>0</v>
      </c>
      <c r="R865" s="306">
        <f t="shared" ca="1" si="397"/>
        <v>0</v>
      </c>
      <c r="S865" s="307">
        <f t="shared" ca="1" si="398"/>
        <v>7.150000000000003</v>
      </c>
      <c r="T865" s="304">
        <f t="shared" ca="1" si="378"/>
        <v>70.141500000000036</v>
      </c>
      <c r="U865" s="311">
        <f t="shared" ca="1" si="379"/>
        <v>0</v>
      </c>
      <c r="V865" s="306">
        <f t="shared" ca="1" si="380"/>
        <v>1.2263487927489305</v>
      </c>
      <c r="W865" s="304">
        <f t="shared" ca="1" si="381"/>
        <v>54.69513880126609</v>
      </c>
      <c r="Y865" s="314" t="str">
        <f t="shared" ca="1" si="399"/>
        <v/>
      </c>
      <c r="Z865" s="315" t="str">
        <f t="shared" ca="1" si="400"/>
        <v/>
      </c>
      <c r="AA865" s="316" t="str">
        <f t="shared" ca="1" si="401"/>
        <v/>
      </c>
      <c r="AC865" s="310" t="e">
        <f t="shared" ca="1" si="402"/>
        <v>#N/A</v>
      </c>
      <c r="AD865" s="323" t="e">
        <f t="shared" ca="1" si="403"/>
        <v>#N/A</v>
      </c>
      <c r="AE865" s="324" t="e">
        <f t="shared" ca="1" si="382"/>
        <v>#N/A</v>
      </c>
      <c r="AG865" s="306">
        <f t="shared" ca="1" si="404"/>
        <v>2.1158808962081537</v>
      </c>
      <c r="AH865" s="304">
        <f t="shared" ca="1" si="405"/>
        <v>-7.6496350444709478</v>
      </c>
    </row>
    <row r="866" spans="1:34" x14ac:dyDescent="0.2">
      <c r="A866" s="347">
        <f t="shared" ca="1" si="383"/>
        <v>1E-4</v>
      </c>
      <c r="B866" s="304">
        <f t="shared" ca="1" si="384"/>
        <v>36.731500000001297</v>
      </c>
      <c r="D866" s="306">
        <f t="shared" ca="1" si="385"/>
        <v>-0.72766125233152745</v>
      </c>
      <c r="E866" s="307">
        <f t="shared" ca="1" si="386"/>
        <v>-2.1950176247177602</v>
      </c>
      <c r="F866" s="304">
        <f t="shared" ca="1" si="387"/>
        <v>2.312486382871537</v>
      </c>
      <c r="G866" s="306">
        <f t="shared" ca="1" si="388"/>
        <v>12.434738732314596</v>
      </c>
      <c r="H866" s="307">
        <f t="shared" ca="1" si="389"/>
        <v>-130.13064777064929</v>
      </c>
      <c r="I866" s="304">
        <f t="shared" ca="1" si="390"/>
        <v>130.72340347676737</v>
      </c>
      <c r="J866" s="306">
        <f t="shared" ca="1" si="391"/>
        <v>889.84792314375909</v>
      </c>
      <c r="K866" s="307">
        <f t="shared" ca="1" si="392"/>
        <v>-11.017507827618038</v>
      </c>
      <c r="L866" s="304">
        <f t="shared" ca="1" si="377"/>
        <v>889.91612627370284</v>
      </c>
      <c r="M866" s="306">
        <f t="shared" ca="1" si="393"/>
        <v>-1.4755297764971589</v>
      </c>
      <c r="N866" s="304">
        <f t="shared" ca="1" si="394"/>
        <v>-84.541628739168857</v>
      </c>
      <c r="P866" s="310">
        <f t="shared" ca="1" si="395"/>
        <v>23</v>
      </c>
      <c r="Q866" s="304">
        <f t="shared" ca="1" si="396"/>
        <v>0</v>
      </c>
      <c r="R866" s="306">
        <f t="shared" ca="1" si="397"/>
        <v>0</v>
      </c>
      <c r="S866" s="307">
        <f t="shared" ca="1" si="398"/>
        <v>7.150000000000003</v>
      </c>
      <c r="T866" s="304">
        <f t="shared" ca="1" si="378"/>
        <v>70.141500000000036</v>
      </c>
      <c r="U866" s="311">
        <f t="shared" ca="1" si="379"/>
        <v>0</v>
      </c>
      <c r="V866" s="306">
        <f t="shared" ca="1" si="380"/>
        <v>1.2263503886047344</v>
      </c>
      <c r="W866" s="304">
        <f t="shared" ca="1" si="381"/>
        <v>54.695387032675512</v>
      </c>
      <c r="Y866" s="314" t="str">
        <f t="shared" ca="1" si="399"/>
        <v/>
      </c>
      <c r="Z866" s="315" t="str">
        <f t="shared" ca="1" si="400"/>
        <v/>
      </c>
      <c r="AA866" s="316" t="str">
        <f t="shared" ca="1" si="401"/>
        <v/>
      </c>
      <c r="AC866" s="310" t="e">
        <f t="shared" ca="1" si="402"/>
        <v>#N/A</v>
      </c>
      <c r="AD866" s="323" t="e">
        <f t="shared" ca="1" si="403"/>
        <v>#N/A</v>
      </c>
      <c r="AE866" s="324" t="e">
        <f t="shared" ca="1" si="382"/>
        <v>#N/A</v>
      </c>
      <c r="AG866" s="306">
        <f t="shared" ca="1" si="404"/>
        <v>2.1158468444009699</v>
      </c>
      <c r="AH866" s="304">
        <f t="shared" ca="1" si="405"/>
        <v>-7.6496697624148347</v>
      </c>
    </row>
    <row r="867" spans="1:34" x14ac:dyDescent="0.2">
      <c r="A867" s="347">
        <f t="shared" ca="1" si="383"/>
        <v>1E-4</v>
      </c>
      <c r="B867" s="304">
        <f t="shared" ca="1" si="384"/>
        <v>36.731600000001301</v>
      </c>
      <c r="D867" s="306">
        <f t="shared" ca="1" si="385"/>
        <v>-0.72765911886846313</v>
      </c>
      <c r="E867" s="307">
        <f t="shared" ca="1" si="386"/>
        <v>-2.1949825450295242</v>
      </c>
      <c r="F867" s="304">
        <f t="shared" ca="1" si="387"/>
        <v>2.3124524138361671</v>
      </c>
      <c r="G867" s="306">
        <f t="shared" ca="1" si="388"/>
        <v>12.43466596640271</v>
      </c>
      <c r="H867" s="307">
        <f t="shared" ca="1" si="389"/>
        <v>-130.13086726890378</v>
      </c>
      <c r="I867" s="304">
        <f t="shared" ca="1" si="390"/>
        <v>130.72361505807996</v>
      </c>
      <c r="J867" s="306">
        <f t="shared" ca="1" si="391"/>
        <v>889.84792314375909</v>
      </c>
      <c r="K867" s="307">
        <f t="shared" ca="1" si="392"/>
        <v>-11.030520903370016</v>
      </c>
      <c r="L867" s="304">
        <f t="shared" ca="1" si="377"/>
        <v>889.91628747577204</v>
      </c>
      <c r="M867" s="306">
        <f t="shared" ca="1" si="393"/>
        <v>-1.475530490332879</v>
      </c>
      <c r="N867" s="304">
        <f t="shared" ca="1" si="394"/>
        <v>-84.541669638942878</v>
      </c>
      <c r="P867" s="310">
        <f t="shared" ca="1" si="395"/>
        <v>23</v>
      </c>
      <c r="Q867" s="304">
        <f t="shared" ca="1" si="396"/>
        <v>0</v>
      </c>
      <c r="R867" s="306">
        <f t="shared" ca="1" si="397"/>
        <v>0</v>
      </c>
      <c r="S867" s="307">
        <f t="shared" ca="1" si="398"/>
        <v>7.150000000000003</v>
      </c>
      <c r="T867" s="304">
        <f t="shared" ca="1" si="378"/>
        <v>70.141500000000036</v>
      </c>
      <c r="U867" s="311">
        <f t="shared" ca="1" si="379"/>
        <v>0</v>
      </c>
      <c r="V867" s="306">
        <f t="shared" ca="1" si="380"/>
        <v>1.2263519844653081</v>
      </c>
      <c r="W867" s="304">
        <f t="shared" ca="1" si="381"/>
        <v>54.695635262195545</v>
      </c>
      <c r="Y867" s="314" t="str">
        <f t="shared" ca="1" si="399"/>
        <v/>
      </c>
      <c r="Z867" s="315" t="str">
        <f t="shared" ca="1" si="400"/>
        <v/>
      </c>
      <c r="AA867" s="316" t="str">
        <f t="shared" ca="1" si="401"/>
        <v/>
      </c>
      <c r="AC867" s="310" t="e">
        <f t="shared" ca="1" si="402"/>
        <v>#N/A</v>
      </c>
      <c r="AD867" s="323" t="e">
        <f t="shared" ca="1" si="403"/>
        <v>#N/A</v>
      </c>
      <c r="AE867" s="324" t="e">
        <f t="shared" ca="1" si="382"/>
        <v>#N/A</v>
      </c>
      <c r="AG867" s="306">
        <f t="shared" ca="1" si="404"/>
        <v>2.1158127928470023</v>
      </c>
      <c r="AH867" s="304">
        <f t="shared" ca="1" si="405"/>
        <v>-7.6497044800944742</v>
      </c>
    </row>
    <row r="868" spans="1:34" x14ac:dyDescent="0.2">
      <c r="A868" s="347">
        <f t="shared" ca="1" si="383"/>
        <v>1E-4</v>
      </c>
      <c r="B868" s="304">
        <f t="shared" ca="1" si="384"/>
        <v>36.731700000001304</v>
      </c>
      <c r="D868" s="306">
        <f t="shared" ca="1" si="385"/>
        <v>-0.7276569853799586</v>
      </c>
      <c r="E868" s="307">
        <f t="shared" ca="1" si="386"/>
        <v>-2.1949474656082257</v>
      </c>
      <c r="F868" s="304">
        <f t="shared" ca="1" si="387"/>
        <v>2.3124184450813012</v>
      </c>
      <c r="G868" s="306">
        <f t="shared" ca="1" si="388"/>
        <v>12.434593200704171</v>
      </c>
      <c r="H868" s="307">
        <f t="shared" ca="1" si="389"/>
        <v>-130.13108676365036</v>
      </c>
      <c r="I868" s="304">
        <f t="shared" ca="1" si="390"/>
        <v>130.72382663598742</v>
      </c>
      <c r="J868" s="306">
        <f t="shared" ca="1" si="391"/>
        <v>889.84792314375909</v>
      </c>
      <c r="K868" s="307">
        <f t="shared" ca="1" si="392"/>
        <v>-11.043534001071643</v>
      </c>
      <c r="L868" s="304">
        <f t="shared" ca="1" si="377"/>
        <v>889.9164488683723</v>
      </c>
      <c r="M868" s="306">
        <f t="shared" ca="1" si="393"/>
        <v>-1.4755312041621111</v>
      </c>
      <c r="N868" s="304">
        <f t="shared" ca="1" si="394"/>
        <v>-84.541710538345171</v>
      </c>
      <c r="P868" s="310">
        <f t="shared" ca="1" si="395"/>
        <v>23</v>
      </c>
      <c r="Q868" s="304">
        <f t="shared" ca="1" si="396"/>
        <v>0</v>
      </c>
      <c r="R868" s="306">
        <f t="shared" ca="1" si="397"/>
        <v>0</v>
      </c>
      <c r="S868" s="307">
        <f t="shared" ca="1" si="398"/>
        <v>7.150000000000003</v>
      </c>
      <c r="T868" s="304">
        <f t="shared" ca="1" si="378"/>
        <v>70.141500000000036</v>
      </c>
      <c r="U868" s="311">
        <f t="shared" ca="1" si="379"/>
        <v>0</v>
      </c>
      <c r="V868" s="306">
        <f t="shared" ca="1" si="380"/>
        <v>1.2263535803306513</v>
      </c>
      <c r="W868" s="304">
        <f t="shared" ca="1" si="381"/>
        <v>54.695883489826208</v>
      </c>
      <c r="Y868" s="314" t="str">
        <f t="shared" ca="1" si="399"/>
        <v/>
      </c>
      <c r="Z868" s="315" t="str">
        <f t="shared" ca="1" si="400"/>
        <v/>
      </c>
      <c r="AA868" s="316" t="str">
        <f t="shared" ca="1" si="401"/>
        <v/>
      </c>
      <c r="AC868" s="310" t="e">
        <f t="shared" ca="1" si="402"/>
        <v>#N/A</v>
      </c>
      <c r="AD868" s="323" t="e">
        <f t="shared" ca="1" si="403"/>
        <v>#N/A</v>
      </c>
      <c r="AE868" s="324" t="e">
        <f t="shared" ca="1" si="382"/>
        <v>#N/A</v>
      </c>
      <c r="AG868" s="306">
        <f t="shared" ca="1" si="404"/>
        <v>2.1157787415462543</v>
      </c>
      <c r="AH868" s="304">
        <f t="shared" ca="1" si="405"/>
        <v>-7.649739197509863</v>
      </c>
    </row>
    <row r="869" spans="1:34" x14ac:dyDescent="0.2">
      <c r="A869" s="347">
        <f t="shared" ca="1" si="383"/>
        <v>1E-4</v>
      </c>
      <c r="B869" s="304">
        <f t="shared" ca="1" si="384"/>
        <v>36.731800000001307</v>
      </c>
      <c r="D869" s="306">
        <f t="shared" ca="1" si="385"/>
        <v>-0.72765485186601353</v>
      </c>
      <c r="E869" s="307">
        <f t="shared" ca="1" si="386"/>
        <v>-2.1949123864538622</v>
      </c>
      <c r="F869" s="304">
        <f t="shared" ca="1" si="387"/>
        <v>2.3123844766069372</v>
      </c>
      <c r="G869" s="306">
        <f t="shared" ca="1" si="388"/>
        <v>12.434520435218985</v>
      </c>
      <c r="H869" s="307">
        <f t="shared" ca="1" si="389"/>
        <v>-130.13130625488901</v>
      </c>
      <c r="I869" s="304">
        <f t="shared" ca="1" si="390"/>
        <v>130.72403821048979</v>
      </c>
      <c r="J869" s="306">
        <f t="shared" ca="1" si="391"/>
        <v>889.84792314375909</v>
      </c>
      <c r="K869" s="307">
        <f t="shared" ca="1" si="392"/>
        <v>-11.05654712072257</v>
      </c>
      <c r="L869" s="304">
        <f t="shared" ca="1" si="377"/>
        <v>889.91661045150408</v>
      </c>
      <c r="M869" s="306">
        <f t="shared" ca="1" si="393"/>
        <v>-1.4755319179848554</v>
      </c>
      <c r="N869" s="304">
        <f t="shared" ca="1" si="394"/>
        <v>-84.541751437375737</v>
      </c>
      <c r="P869" s="310">
        <f t="shared" ca="1" si="395"/>
        <v>23</v>
      </c>
      <c r="Q869" s="304">
        <f t="shared" ca="1" si="396"/>
        <v>0</v>
      </c>
      <c r="R869" s="306">
        <f t="shared" ca="1" si="397"/>
        <v>0</v>
      </c>
      <c r="S869" s="307">
        <f t="shared" ca="1" si="398"/>
        <v>7.150000000000003</v>
      </c>
      <c r="T869" s="304">
        <f t="shared" ca="1" si="378"/>
        <v>70.141500000000036</v>
      </c>
      <c r="U869" s="311">
        <f t="shared" ca="1" si="379"/>
        <v>0</v>
      </c>
      <c r="V869" s="306">
        <f t="shared" ca="1" si="380"/>
        <v>1.2263551762007647</v>
      </c>
      <c r="W869" s="304">
        <f t="shared" ca="1" si="381"/>
        <v>54.69613171556756</v>
      </c>
      <c r="Y869" s="314" t="str">
        <f t="shared" ca="1" si="399"/>
        <v/>
      </c>
      <c r="Z869" s="315" t="str">
        <f t="shared" ca="1" si="400"/>
        <v/>
      </c>
      <c r="AA869" s="316" t="str">
        <f t="shared" ca="1" si="401"/>
        <v/>
      </c>
      <c r="AC869" s="310" t="e">
        <f t="shared" ca="1" si="402"/>
        <v>#N/A</v>
      </c>
      <c r="AD869" s="323" t="e">
        <f t="shared" ca="1" si="403"/>
        <v>#N/A</v>
      </c>
      <c r="AE869" s="324" t="e">
        <f t="shared" ca="1" si="382"/>
        <v>#N/A</v>
      </c>
      <c r="AG869" s="306">
        <f t="shared" ca="1" si="404"/>
        <v>2.1157446904987252</v>
      </c>
      <c r="AH869" s="304">
        <f t="shared" ca="1" si="405"/>
        <v>-7.6497739146610053</v>
      </c>
    </row>
    <row r="870" spans="1:34" x14ac:dyDescent="0.2">
      <c r="A870" s="347">
        <f t="shared" ca="1" si="383"/>
        <v>1E-4</v>
      </c>
      <c r="B870" s="304">
        <f t="shared" ca="1" si="384"/>
        <v>36.731900000001311</v>
      </c>
      <c r="D870" s="306">
        <f t="shared" ca="1" si="385"/>
        <v>-0.72765271832662992</v>
      </c>
      <c r="E870" s="307">
        <f t="shared" ca="1" si="386"/>
        <v>-2.1948773075664292</v>
      </c>
      <c r="F870" s="304">
        <f t="shared" ca="1" si="387"/>
        <v>2.3123505084130715</v>
      </c>
      <c r="G870" s="306">
        <f t="shared" ca="1" si="388"/>
        <v>12.434447669947152</v>
      </c>
      <c r="H870" s="307">
        <f t="shared" ca="1" si="389"/>
        <v>-130.13152574261977</v>
      </c>
      <c r="I870" s="304">
        <f t="shared" ca="1" si="390"/>
        <v>130.72424978158705</v>
      </c>
      <c r="J870" s="306">
        <f t="shared" ca="1" si="391"/>
        <v>889.84792314375909</v>
      </c>
      <c r="K870" s="307">
        <f t="shared" ca="1" si="392"/>
        <v>-11.069560262322446</v>
      </c>
      <c r="L870" s="304">
        <f t="shared" ca="1" si="377"/>
        <v>889.91677222516853</v>
      </c>
      <c r="M870" s="306">
        <f t="shared" ca="1" si="393"/>
        <v>-1.4755326318011122</v>
      </c>
      <c r="N870" s="304">
        <f t="shared" ca="1" si="394"/>
        <v>-84.541792336034604</v>
      </c>
      <c r="P870" s="310">
        <f t="shared" ca="1" si="395"/>
        <v>23</v>
      </c>
      <c r="Q870" s="304">
        <f t="shared" ca="1" si="396"/>
        <v>0</v>
      </c>
      <c r="R870" s="306">
        <f t="shared" ca="1" si="397"/>
        <v>0</v>
      </c>
      <c r="S870" s="307">
        <f t="shared" ca="1" si="398"/>
        <v>7.150000000000003</v>
      </c>
      <c r="T870" s="304">
        <f t="shared" ca="1" si="378"/>
        <v>70.141500000000036</v>
      </c>
      <c r="U870" s="311">
        <f t="shared" ca="1" si="379"/>
        <v>0</v>
      </c>
      <c r="V870" s="306">
        <f t="shared" ca="1" si="380"/>
        <v>1.2263567720756474</v>
      </c>
      <c r="W870" s="304">
        <f t="shared" ca="1" si="381"/>
        <v>54.696379939419479</v>
      </c>
      <c r="Y870" s="314" t="str">
        <f t="shared" ca="1" si="399"/>
        <v/>
      </c>
      <c r="Z870" s="315" t="str">
        <f t="shared" ca="1" si="400"/>
        <v/>
      </c>
      <c r="AA870" s="316" t="str">
        <f t="shared" ca="1" si="401"/>
        <v/>
      </c>
      <c r="AC870" s="310" t="e">
        <f t="shared" ca="1" si="402"/>
        <v>#N/A</v>
      </c>
      <c r="AD870" s="323" t="e">
        <f t="shared" ca="1" si="403"/>
        <v>#N/A</v>
      </c>
      <c r="AE870" s="324" t="e">
        <f t="shared" ca="1" si="382"/>
        <v>#N/A</v>
      </c>
      <c r="AG870" s="306">
        <f t="shared" ca="1" si="404"/>
        <v>2.1157106397044014</v>
      </c>
      <c r="AH870" s="304">
        <f t="shared" ca="1" si="405"/>
        <v>-7.6498086315479075</v>
      </c>
    </row>
    <row r="871" spans="1:34" x14ac:dyDescent="0.2">
      <c r="A871" s="347">
        <f t="shared" ca="1" si="383"/>
        <v>1E-4</v>
      </c>
      <c r="B871" s="304">
        <f t="shared" ca="1" si="384"/>
        <v>36.732000000001314</v>
      </c>
      <c r="D871" s="306">
        <f t="shared" ca="1" si="385"/>
        <v>-0.72765058476180411</v>
      </c>
      <c r="E871" s="307">
        <f t="shared" ca="1" si="386"/>
        <v>-2.1948422289459382</v>
      </c>
      <c r="F871" s="304">
        <f t="shared" ca="1" si="387"/>
        <v>2.3123165404997148</v>
      </c>
      <c r="G871" s="306">
        <f t="shared" ca="1" si="388"/>
        <v>12.434374904888676</v>
      </c>
      <c r="H871" s="307">
        <f t="shared" ca="1" si="389"/>
        <v>-130.13174522684267</v>
      </c>
      <c r="I871" s="304">
        <f t="shared" ca="1" si="390"/>
        <v>130.7244613492793</v>
      </c>
      <c r="J871" s="306">
        <f t="shared" ca="1" si="391"/>
        <v>889.84792314375909</v>
      </c>
      <c r="K871" s="307">
        <f t="shared" ca="1" si="392"/>
        <v>-11.082573425870919</v>
      </c>
      <c r="L871" s="304">
        <f t="shared" ca="1" si="377"/>
        <v>889.91693418936643</v>
      </c>
      <c r="M871" s="306">
        <f t="shared" ca="1" si="393"/>
        <v>-1.475533345610881</v>
      </c>
      <c r="N871" s="304">
        <f t="shared" ca="1" si="394"/>
        <v>-84.541833234321729</v>
      </c>
      <c r="P871" s="310">
        <f t="shared" ca="1" si="395"/>
        <v>23</v>
      </c>
      <c r="Q871" s="304">
        <f t="shared" ca="1" si="396"/>
        <v>0</v>
      </c>
      <c r="R871" s="306">
        <f t="shared" ca="1" si="397"/>
        <v>0</v>
      </c>
      <c r="S871" s="307">
        <f t="shared" ca="1" si="398"/>
        <v>7.150000000000003</v>
      </c>
      <c r="T871" s="304">
        <f t="shared" ca="1" si="378"/>
        <v>70.141500000000036</v>
      </c>
      <c r="U871" s="311">
        <f t="shared" ca="1" si="379"/>
        <v>0</v>
      </c>
      <c r="V871" s="306">
        <f t="shared" ca="1" si="380"/>
        <v>1.2263583679552996</v>
      </c>
      <c r="W871" s="304">
        <f t="shared" ca="1" si="381"/>
        <v>54.696628161382073</v>
      </c>
      <c r="Y871" s="314" t="str">
        <f t="shared" ca="1" si="399"/>
        <v/>
      </c>
      <c r="Z871" s="315" t="str">
        <f t="shared" ca="1" si="400"/>
        <v/>
      </c>
      <c r="AA871" s="316" t="str">
        <f t="shared" ca="1" si="401"/>
        <v/>
      </c>
      <c r="AC871" s="310" t="e">
        <f t="shared" ca="1" si="402"/>
        <v>#N/A</v>
      </c>
      <c r="AD871" s="323" t="e">
        <f t="shared" ca="1" si="403"/>
        <v>#N/A</v>
      </c>
      <c r="AE871" s="324" t="e">
        <f t="shared" ca="1" si="382"/>
        <v>#N/A</v>
      </c>
      <c r="AG871" s="306">
        <f t="shared" ca="1" si="404"/>
        <v>2.1156765891633063</v>
      </c>
      <c r="AH871" s="304">
        <f t="shared" ca="1" si="405"/>
        <v>-7.6498433481705534</v>
      </c>
    </row>
    <row r="872" spans="1:34" x14ac:dyDescent="0.2">
      <c r="A872" s="347">
        <f t="shared" ca="1" si="383"/>
        <v>1E-4</v>
      </c>
      <c r="B872" s="304">
        <f t="shared" ca="1" si="384"/>
        <v>36.732100000001317</v>
      </c>
      <c r="D872" s="306">
        <f t="shared" ca="1" si="385"/>
        <v>-0.72764845117154198</v>
      </c>
      <c r="E872" s="307">
        <f t="shared" ca="1" si="386"/>
        <v>-2.1948071505923785</v>
      </c>
      <c r="F872" s="304">
        <f t="shared" ca="1" si="387"/>
        <v>2.3122825728668586</v>
      </c>
      <c r="G872" s="306">
        <f t="shared" ca="1" si="388"/>
        <v>12.43430214004356</v>
      </c>
      <c r="H872" s="307">
        <f t="shared" ca="1" si="389"/>
        <v>-130.13196470755773</v>
      </c>
      <c r="I872" s="304">
        <f t="shared" ca="1" si="390"/>
        <v>130.72467291356648</v>
      </c>
      <c r="J872" s="306">
        <f t="shared" ca="1" si="391"/>
        <v>889.84792314375909</v>
      </c>
      <c r="K872" s="307">
        <f t="shared" ca="1" si="392"/>
        <v>-11.095586611367638</v>
      </c>
      <c r="L872" s="304">
        <f t="shared" ca="1" si="377"/>
        <v>889.91709634409858</v>
      </c>
      <c r="M872" s="306">
        <f t="shared" ca="1" si="393"/>
        <v>-1.4755340594141622</v>
      </c>
      <c r="N872" s="304">
        <f t="shared" ca="1" si="394"/>
        <v>-84.54187413223714</v>
      </c>
      <c r="P872" s="310">
        <f t="shared" ca="1" si="395"/>
        <v>23</v>
      </c>
      <c r="Q872" s="304">
        <f t="shared" ca="1" si="396"/>
        <v>0</v>
      </c>
      <c r="R872" s="306">
        <f t="shared" ca="1" si="397"/>
        <v>0</v>
      </c>
      <c r="S872" s="307">
        <f t="shared" ca="1" si="398"/>
        <v>7.150000000000003</v>
      </c>
      <c r="T872" s="304">
        <f t="shared" ca="1" si="378"/>
        <v>70.141500000000036</v>
      </c>
      <c r="U872" s="311">
        <f t="shared" ca="1" si="379"/>
        <v>0</v>
      </c>
      <c r="V872" s="306">
        <f t="shared" ca="1" si="380"/>
        <v>1.2263599638397216</v>
      </c>
      <c r="W872" s="304">
        <f t="shared" ca="1" si="381"/>
        <v>54.696876381455269</v>
      </c>
      <c r="Y872" s="314" t="str">
        <f t="shared" ca="1" si="399"/>
        <v/>
      </c>
      <c r="Z872" s="315" t="str">
        <f t="shared" ca="1" si="400"/>
        <v/>
      </c>
      <c r="AA872" s="316" t="str">
        <f t="shared" ca="1" si="401"/>
        <v/>
      </c>
      <c r="AC872" s="310" t="e">
        <f t="shared" ca="1" si="402"/>
        <v>#N/A</v>
      </c>
      <c r="AD872" s="323" t="e">
        <f t="shared" ca="1" si="403"/>
        <v>#N/A</v>
      </c>
      <c r="AE872" s="324" t="e">
        <f t="shared" ca="1" si="382"/>
        <v>#N/A</v>
      </c>
      <c r="AG872" s="306">
        <f t="shared" ca="1" si="404"/>
        <v>2.1156425388754228</v>
      </c>
      <c r="AH872" s="304">
        <f t="shared" ca="1" si="405"/>
        <v>-7.6498780645289584</v>
      </c>
    </row>
    <row r="873" spans="1:34" x14ac:dyDescent="0.2">
      <c r="A873" s="347">
        <f t="shared" ca="1" si="383"/>
        <v>1E-4</v>
      </c>
      <c r="B873" s="304">
        <f t="shared" ca="1" si="384"/>
        <v>36.73220000000132</v>
      </c>
      <c r="D873" s="306">
        <f t="shared" ca="1" si="385"/>
        <v>-0.7276463175558423</v>
      </c>
      <c r="E873" s="307">
        <f t="shared" ca="1" si="386"/>
        <v>-2.1947720725057591</v>
      </c>
      <c r="F873" s="304">
        <f t="shared" ca="1" si="387"/>
        <v>2.3122486055145117</v>
      </c>
      <c r="G873" s="306">
        <f t="shared" ca="1" si="388"/>
        <v>12.434229375411803</v>
      </c>
      <c r="H873" s="307">
        <f t="shared" ca="1" si="389"/>
        <v>-130.13218418476498</v>
      </c>
      <c r="I873" s="304">
        <f t="shared" ca="1" si="390"/>
        <v>130.72488447444866</v>
      </c>
      <c r="J873" s="306">
        <f t="shared" ca="1" si="391"/>
        <v>889.84792314375909</v>
      </c>
      <c r="K873" s="307">
        <f t="shared" ca="1" si="392"/>
        <v>-11.108599818812255</v>
      </c>
      <c r="L873" s="304">
        <f t="shared" ca="1" si="377"/>
        <v>889.91725868936601</v>
      </c>
      <c r="M873" s="306">
        <f t="shared" ca="1" si="393"/>
        <v>-1.4755347732109561</v>
      </c>
      <c r="N873" s="304">
        <f t="shared" ca="1" si="394"/>
        <v>-84.541915029780867</v>
      </c>
      <c r="P873" s="310">
        <f t="shared" ca="1" si="395"/>
        <v>23</v>
      </c>
      <c r="Q873" s="304">
        <f t="shared" ca="1" si="396"/>
        <v>0</v>
      </c>
      <c r="R873" s="306">
        <f t="shared" ca="1" si="397"/>
        <v>0</v>
      </c>
      <c r="S873" s="307">
        <f t="shared" ca="1" si="398"/>
        <v>7.150000000000003</v>
      </c>
      <c r="T873" s="304">
        <f t="shared" ca="1" si="378"/>
        <v>70.141500000000036</v>
      </c>
      <c r="U873" s="311">
        <f t="shared" ca="1" si="379"/>
        <v>0</v>
      </c>
      <c r="V873" s="306">
        <f t="shared" ca="1" si="380"/>
        <v>1.2263615597289126</v>
      </c>
      <c r="W873" s="304">
        <f t="shared" ca="1" si="381"/>
        <v>54.697124599639075</v>
      </c>
      <c r="Y873" s="314" t="str">
        <f t="shared" ca="1" si="399"/>
        <v/>
      </c>
      <c r="Z873" s="315" t="str">
        <f t="shared" ca="1" si="400"/>
        <v/>
      </c>
      <c r="AA873" s="316" t="str">
        <f t="shared" ca="1" si="401"/>
        <v/>
      </c>
      <c r="AC873" s="310" t="e">
        <f t="shared" ca="1" si="402"/>
        <v>#N/A</v>
      </c>
      <c r="AD873" s="323" t="e">
        <f t="shared" ca="1" si="403"/>
        <v>#N/A</v>
      </c>
      <c r="AE873" s="324" t="e">
        <f t="shared" ca="1" si="382"/>
        <v>#N/A</v>
      </c>
      <c r="AG873" s="306">
        <f t="shared" ca="1" si="404"/>
        <v>2.1156084888407616</v>
      </c>
      <c r="AH873" s="304">
        <f t="shared" ca="1" si="405"/>
        <v>-7.6499127806231115</v>
      </c>
    </row>
    <row r="874" spans="1:34" x14ac:dyDescent="0.2">
      <c r="A874" s="347">
        <f t="shared" ca="1" si="383"/>
        <v>1E-4</v>
      </c>
      <c r="B874" s="304">
        <f t="shared" ca="1" si="384"/>
        <v>36.732300000001324</v>
      </c>
      <c r="D874" s="306">
        <f t="shared" ca="1" si="385"/>
        <v>-0.72764418391470287</v>
      </c>
      <c r="E874" s="307">
        <f t="shared" ca="1" si="386"/>
        <v>-2.1947369946860782</v>
      </c>
      <c r="F874" s="304">
        <f t="shared" ca="1" si="387"/>
        <v>2.3122146384426712</v>
      </c>
      <c r="G874" s="306">
        <f t="shared" ca="1" si="388"/>
        <v>12.434156610993412</v>
      </c>
      <c r="H874" s="307">
        <f t="shared" ca="1" si="389"/>
        <v>-130.13240365846445</v>
      </c>
      <c r="I874" s="304">
        <f t="shared" ca="1" si="390"/>
        <v>130.72509603192589</v>
      </c>
      <c r="J874" s="306">
        <f t="shared" ca="1" si="391"/>
        <v>889.84792314375909</v>
      </c>
      <c r="K874" s="307">
        <f t="shared" ca="1" si="392"/>
        <v>-11.121613048204416</v>
      </c>
      <c r="L874" s="304">
        <f t="shared" ca="1" si="377"/>
        <v>889.91742122516928</v>
      </c>
      <c r="M874" s="306">
        <f t="shared" ca="1" si="393"/>
        <v>-1.4755354870012625</v>
      </c>
      <c r="N874" s="304">
        <f t="shared" ca="1" si="394"/>
        <v>-84.54195592695288</v>
      </c>
      <c r="P874" s="310">
        <f t="shared" ca="1" si="395"/>
        <v>23</v>
      </c>
      <c r="Q874" s="304">
        <f t="shared" ca="1" si="396"/>
        <v>0</v>
      </c>
      <c r="R874" s="306">
        <f t="shared" ca="1" si="397"/>
        <v>0</v>
      </c>
      <c r="S874" s="307">
        <f t="shared" ca="1" si="398"/>
        <v>7.150000000000003</v>
      </c>
      <c r="T874" s="304">
        <f t="shared" ca="1" si="378"/>
        <v>70.141500000000036</v>
      </c>
      <c r="U874" s="311">
        <f t="shared" ca="1" si="379"/>
        <v>0</v>
      </c>
      <c r="V874" s="306">
        <f t="shared" ca="1" si="380"/>
        <v>1.2263631556228733</v>
      </c>
      <c r="W874" s="304">
        <f t="shared" ca="1" si="381"/>
        <v>54.697372815933534</v>
      </c>
      <c r="Y874" s="314" t="str">
        <f t="shared" ca="1" si="399"/>
        <v/>
      </c>
      <c r="Z874" s="315" t="str">
        <f t="shared" ca="1" si="400"/>
        <v/>
      </c>
      <c r="AA874" s="316" t="str">
        <f t="shared" ca="1" si="401"/>
        <v/>
      </c>
      <c r="AC874" s="310" t="e">
        <f t="shared" ca="1" si="402"/>
        <v>#N/A</v>
      </c>
      <c r="AD874" s="323" t="e">
        <f t="shared" ca="1" si="403"/>
        <v>#N/A</v>
      </c>
      <c r="AE874" s="324" t="e">
        <f t="shared" ca="1" si="382"/>
        <v>#N/A</v>
      </c>
      <c r="AG874" s="306">
        <f t="shared" ca="1" si="404"/>
        <v>2.1155744390593236</v>
      </c>
      <c r="AH874" s="304">
        <f t="shared" ca="1" si="405"/>
        <v>-7.6499474964530139</v>
      </c>
    </row>
    <row r="875" spans="1:34" x14ac:dyDescent="0.2">
      <c r="A875" s="347">
        <f t="shared" ca="1" si="383"/>
        <v>1E-4</v>
      </c>
      <c r="B875" s="304">
        <f t="shared" ca="1" si="384"/>
        <v>36.732400000001327</v>
      </c>
      <c r="D875" s="306">
        <f t="shared" ca="1" si="385"/>
        <v>-0.72764205024812745</v>
      </c>
      <c r="E875" s="307">
        <f t="shared" ca="1" si="386"/>
        <v>-2.1947019171333286</v>
      </c>
      <c r="F875" s="304">
        <f t="shared" ca="1" si="387"/>
        <v>2.3121806716513325</v>
      </c>
      <c r="G875" s="306">
        <f t="shared" ca="1" si="388"/>
        <v>12.434083846788388</v>
      </c>
      <c r="H875" s="307">
        <f t="shared" ca="1" si="389"/>
        <v>-130.13262312865618</v>
      </c>
      <c r="I875" s="304">
        <f t="shared" ca="1" si="390"/>
        <v>130.72530758599817</v>
      </c>
      <c r="J875" s="306">
        <f t="shared" ca="1" si="391"/>
        <v>889.84792314375909</v>
      </c>
      <c r="K875" s="307">
        <f t="shared" ca="1" si="392"/>
        <v>-11.134626299543772</v>
      </c>
      <c r="L875" s="304">
        <f t="shared" ca="1" si="377"/>
        <v>889.91758395150941</v>
      </c>
      <c r="M875" s="306">
        <f t="shared" ca="1" si="393"/>
        <v>-1.4755362007850814</v>
      </c>
      <c r="N875" s="304">
        <f t="shared" ca="1" si="394"/>
        <v>-84.541996823753195</v>
      </c>
      <c r="P875" s="310">
        <f t="shared" ca="1" si="395"/>
        <v>23</v>
      </c>
      <c r="Q875" s="304">
        <f t="shared" ca="1" si="396"/>
        <v>0</v>
      </c>
      <c r="R875" s="306">
        <f t="shared" ca="1" si="397"/>
        <v>0</v>
      </c>
      <c r="S875" s="307">
        <f t="shared" ca="1" si="398"/>
        <v>7.150000000000003</v>
      </c>
      <c r="T875" s="304">
        <f t="shared" ca="1" si="378"/>
        <v>70.141500000000036</v>
      </c>
      <c r="U875" s="311">
        <f t="shared" ca="1" si="379"/>
        <v>0</v>
      </c>
      <c r="V875" s="306">
        <f t="shared" ca="1" si="380"/>
        <v>1.2263647515216032</v>
      </c>
      <c r="W875" s="304">
        <f t="shared" ca="1" si="381"/>
        <v>54.697621030338603</v>
      </c>
      <c r="Y875" s="314" t="str">
        <f t="shared" ca="1" si="399"/>
        <v/>
      </c>
      <c r="Z875" s="315" t="str">
        <f t="shared" ca="1" si="400"/>
        <v/>
      </c>
      <c r="AA875" s="316" t="str">
        <f t="shared" ca="1" si="401"/>
        <v/>
      </c>
      <c r="AC875" s="310" t="e">
        <f t="shared" ca="1" si="402"/>
        <v>#N/A</v>
      </c>
      <c r="AD875" s="323" t="e">
        <f t="shared" ca="1" si="403"/>
        <v>#N/A</v>
      </c>
      <c r="AE875" s="324" t="e">
        <f t="shared" ca="1" si="382"/>
        <v>#N/A</v>
      </c>
      <c r="AG875" s="306">
        <f t="shared" ca="1" si="404"/>
        <v>2.1155403895310982</v>
      </c>
      <c r="AH875" s="304">
        <f t="shared" ca="1" si="405"/>
        <v>-7.6499822120186725</v>
      </c>
    </row>
    <row r="876" spans="1:34" x14ac:dyDescent="0.2">
      <c r="A876" s="347">
        <f t="shared" ca="1" si="383"/>
        <v>1E-4</v>
      </c>
      <c r="B876" s="304">
        <f t="shared" ca="1" si="384"/>
        <v>36.73250000000133</v>
      </c>
      <c r="D876" s="306">
        <f t="shared" ca="1" si="385"/>
        <v>-0.72763991655611659</v>
      </c>
      <c r="E876" s="307">
        <f t="shared" ca="1" si="386"/>
        <v>-2.1946668398475193</v>
      </c>
      <c r="F876" s="304">
        <f t="shared" ca="1" si="387"/>
        <v>2.312146705140504</v>
      </c>
      <c r="G876" s="306">
        <f t="shared" ca="1" si="388"/>
        <v>12.434011082796733</v>
      </c>
      <c r="H876" s="307">
        <f t="shared" ca="1" si="389"/>
        <v>-130.13284259534015</v>
      </c>
      <c r="I876" s="304">
        <f t="shared" ca="1" si="390"/>
        <v>130.72551913666547</v>
      </c>
      <c r="J876" s="306">
        <f t="shared" ca="1" si="391"/>
        <v>889.84792314375909</v>
      </c>
      <c r="K876" s="307">
        <f t="shared" ca="1" si="392"/>
        <v>-11.147639572829972</v>
      </c>
      <c r="L876" s="304">
        <f t="shared" ca="1" si="377"/>
        <v>889.91774686838733</v>
      </c>
      <c r="M876" s="306">
        <f t="shared" ca="1" si="393"/>
        <v>-1.4755369145624131</v>
      </c>
      <c r="N876" s="304">
        <f t="shared" ca="1" si="394"/>
        <v>-84.54203772018181</v>
      </c>
      <c r="P876" s="310">
        <f t="shared" ca="1" si="395"/>
        <v>23</v>
      </c>
      <c r="Q876" s="304">
        <f t="shared" ca="1" si="396"/>
        <v>0</v>
      </c>
      <c r="R876" s="306">
        <f t="shared" ca="1" si="397"/>
        <v>0</v>
      </c>
      <c r="S876" s="307">
        <f t="shared" ca="1" si="398"/>
        <v>7.150000000000003</v>
      </c>
      <c r="T876" s="304">
        <f t="shared" ca="1" si="378"/>
        <v>70.141500000000036</v>
      </c>
      <c r="U876" s="311">
        <f t="shared" ca="1" si="379"/>
        <v>0</v>
      </c>
      <c r="V876" s="306">
        <f t="shared" ca="1" si="380"/>
        <v>1.2263663474251032</v>
      </c>
      <c r="W876" s="304">
        <f t="shared" ca="1" si="381"/>
        <v>54.697869242854281</v>
      </c>
      <c r="Y876" s="314" t="str">
        <f t="shared" ca="1" si="399"/>
        <v/>
      </c>
      <c r="Z876" s="315" t="str">
        <f t="shared" ca="1" si="400"/>
        <v/>
      </c>
      <c r="AA876" s="316" t="str">
        <f t="shared" ca="1" si="401"/>
        <v/>
      </c>
      <c r="AC876" s="310" t="e">
        <f t="shared" ca="1" si="402"/>
        <v>#N/A</v>
      </c>
      <c r="AD876" s="323" t="e">
        <f t="shared" ca="1" si="403"/>
        <v>#N/A</v>
      </c>
      <c r="AE876" s="324" t="e">
        <f t="shared" ca="1" si="382"/>
        <v>#N/A</v>
      </c>
      <c r="AG876" s="306">
        <f t="shared" ca="1" si="404"/>
        <v>2.1155063402560934</v>
      </c>
      <c r="AH876" s="304">
        <f t="shared" ca="1" si="405"/>
        <v>-7.6500169273200811</v>
      </c>
    </row>
    <row r="877" spans="1:34" x14ac:dyDescent="0.2">
      <c r="A877" s="347">
        <f t="shared" ca="1" si="383"/>
        <v>1E-4</v>
      </c>
      <c r="B877" s="304">
        <f t="shared" ca="1" si="384"/>
        <v>36.732600000001334</v>
      </c>
      <c r="D877" s="306">
        <f t="shared" ca="1" si="385"/>
        <v>-0.72763778283866976</v>
      </c>
      <c r="E877" s="307">
        <f t="shared" ca="1" si="386"/>
        <v>-2.1946317628286485</v>
      </c>
      <c r="F877" s="304">
        <f t="shared" ca="1" si="387"/>
        <v>2.312112738910185</v>
      </c>
      <c r="G877" s="306">
        <f t="shared" ca="1" si="388"/>
        <v>12.433938319018448</v>
      </c>
      <c r="H877" s="307">
        <f t="shared" ca="1" si="389"/>
        <v>-130.13306205851643</v>
      </c>
      <c r="I877" s="304">
        <f t="shared" ca="1" si="390"/>
        <v>130.72573068392788</v>
      </c>
      <c r="J877" s="306">
        <f t="shared" ca="1" si="391"/>
        <v>889.84792314375909</v>
      </c>
      <c r="K877" s="307">
        <f t="shared" ca="1" si="392"/>
        <v>-11.160652868062664</v>
      </c>
      <c r="L877" s="304">
        <f t="shared" ca="1" si="377"/>
        <v>889.91790997580381</v>
      </c>
      <c r="M877" s="306">
        <f t="shared" ca="1" si="393"/>
        <v>-1.4755376283332577</v>
      </c>
      <c r="N877" s="304">
        <f t="shared" ca="1" si="394"/>
        <v>-84.542078616238754</v>
      </c>
      <c r="P877" s="310">
        <f t="shared" ca="1" si="395"/>
        <v>23</v>
      </c>
      <c r="Q877" s="304">
        <f t="shared" ca="1" si="396"/>
        <v>0</v>
      </c>
      <c r="R877" s="306">
        <f t="shared" ca="1" si="397"/>
        <v>0</v>
      </c>
      <c r="S877" s="307">
        <f t="shared" ca="1" si="398"/>
        <v>7.150000000000003</v>
      </c>
      <c r="T877" s="304">
        <f t="shared" ca="1" si="378"/>
        <v>70.141500000000036</v>
      </c>
      <c r="U877" s="311">
        <f t="shared" ca="1" si="379"/>
        <v>0</v>
      </c>
      <c r="V877" s="306">
        <f t="shared" ca="1" si="380"/>
        <v>1.2263679433333723</v>
      </c>
      <c r="W877" s="304">
        <f t="shared" ca="1" si="381"/>
        <v>54.698117453480577</v>
      </c>
      <c r="Y877" s="314" t="str">
        <f t="shared" ca="1" si="399"/>
        <v/>
      </c>
      <c r="Z877" s="315" t="str">
        <f t="shared" ca="1" si="400"/>
        <v/>
      </c>
      <c r="AA877" s="316" t="str">
        <f t="shared" ca="1" si="401"/>
        <v/>
      </c>
      <c r="AC877" s="310" t="e">
        <f t="shared" ca="1" si="402"/>
        <v>#N/A</v>
      </c>
      <c r="AD877" s="323" t="e">
        <f t="shared" ca="1" si="403"/>
        <v>#N/A</v>
      </c>
      <c r="AE877" s="324" t="e">
        <f t="shared" ca="1" si="382"/>
        <v>#N/A</v>
      </c>
      <c r="AG877" s="306">
        <f t="shared" ca="1" si="404"/>
        <v>2.1154722912343136</v>
      </c>
      <c r="AH877" s="304">
        <f t="shared" ca="1" si="405"/>
        <v>-7.6500516423572389</v>
      </c>
    </row>
    <row r="878" spans="1:34" x14ac:dyDescent="0.2">
      <c r="A878" s="347">
        <f t="shared" ca="1" si="383"/>
        <v>1E-4</v>
      </c>
      <c r="B878" s="304">
        <f t="shared" ca="1" si="384"/>
        <v>36.732700000001337</v>
      </c>
      <c r="D878" s="306">
        <f t="shared" ca="1" si="385"/>
        <v>-0.7276356490957866</v>
      </c>
      <c r="E878" s="307">
        <f t="shared" ca="1" si="386"/>
        <v>-2.1945966860767143</v>
      </c>
      <c r="F878" s="304">
        <f t="shared" ca="1" si="387"/>
        <v>2.3120787729603731</v>
      </c>
      <c r="G878" s="306">
        <f t="shared" ca="1" si="388"/>
        <v>12.433865555453538</v>
      </c>
      <c r="H878" s="307">
        <f t="shared" ca="1" si="389"/>
        <v>-130.13328151818504</v>
      </c>
      <c r="I878" s="304">
        <f t="shared" ca="1" si="390"/>
        <v>130.72594222778542</v>
      </c>
      <c r="J878" s="306">
        <f t="shared" ca="1" si="391"/>
        <v>889.84792314375909</v>
      </c>
      <c r="K878" s="307">
        <f t="shared" ca="1" si="392"/>
        <v>-11.173666185241499</v>
      </c>
      <c r="L878" s="304">
        <f t="shared" ca="1" si="377"/>
        <v>889.91807327375966</v>
      </c>
      <c r="M878" s="306">
        <f t="shared" ca="1" si="393"/>
        <v>-1.4755383420976154</v>
      </c>
      <c r="N878" s="304">
        <f t="shared" ca="1" si="394"/>
        <v>-84.542119511924</v>
      </c>
      <c r="P878" s="310">
        <f t="shared" ca="1" si="395"/>
        <v>23</v>
      </c>
      <c r="Q878" s="304">
        <f t="shared" ca="1" si="396"/>
        <v>0</v>
      </c>
      <c r="R878" s="306">
        <f t="shared" ca="1" si="397"/>
        <v>0</v>
      </c>
      <c r="S878" s="307">
        <f t="shared" ca="1" si="398"/>
        <v>7.150000000000003</v>
      </c>
      <c r="T878" s="304">
        <f t="shared" ca="1" si="378"/>
        <v>70.141500000000036</v>
      </c>
      <c r="U878" s="311">
        <f t="shared" ca="1" si="379"/>
        <v>0</v>
      </c>
      <c r="V878" s="306">
        <f t="shared" ca="1" si="380"/>
        <v>1.2263695392464105</v>
      </c>
      <c r="W878" s="304">
        <f t="shared" ca="1" si="381"/>
        <v>54.698365662217476</v>
      </c>
      <c r="Y878" s="314" t="str">
        <f t="shared" ca="1" si="399"/>
        <v/>
      </c>
      <c r="Z878" s="315" t="str">
        <f t="shared" ca="1" si="400"/>
        <v/>
      </c>
      <c r="AA878" s="316" t="str">
        <f t="shared" ca="1" si="401"/>
        <v/>
      </c>
      <c r="AC878" s="310" t="e">
        <f t="shared" ca="1" si="402"/>
        <v>#N/A</v>
      </c>
      <c r="AD878" s="323" t="e">
        <f t="shared" ca="1" si="403"/>
        <v>#N/A</v>
      </c>
      <c r="AE878" s="324" t="e">
        <f t="shared" ca="1" si="382"/>
        <v>#N/A</v>
      </c>
      <c r="AG878" s="306">
        <f t="shared" ca="1" si="404"/>
        <v>2.1154382424657516</v>
      </c>
      <c r="AH878" s="304">
        <f t="shared" ca="1" si="405"/>
        <v>-7.6500863571301476</v>
      </c>
    </row>
    <row r="879" spans="1:34" x14ac:dyDescent="0.2">
      <c r="A879" s="347">
        <f t="shared" ca="1" si="383"/>
        <v>1E-4</v>
      </c>
      <c r="B879" s="304">
        <f t="shared" ca="1" si="384"/>
        <v>36.73280000000134</v>
      </c>
      <c r="D879" s="306">
        <f t="shared" ca="1" si="385"/>
        <v>-0.72763351532746823</v>
      </c>
      <c r="E879" s="307">
        <f t="shared" ca="1" si="386"/>
        <v>-2.1945616095917213</v>
      </c>
      <c r="F879" s="304">
        <f t="shared" ca="1" si="387"/>
        <v>2.3120448072910733</v>
      </c>
      <c r="G879" s="306">
        <f t="shared" ca="1" si="388"/>
        <v>12.433792792102006</v>
      </c>
      <c r="H879" s="307">
        <f t="shared" ca="1" si="389"/>
        <v>-130.13350097434599</v>
      </c>
      <c r="I879" s="304">
        <f t="shared" ca="1" si="390"/>
        <v>130.72615376823813</v>
      </c>
      <c r="J879" s="306">
        <f t="shared" ca="1" si="391"/>
        <v>889.84792314375909</v>
      </c>
      <c r="K879" s="307">
        <f t="shared" ca="1" si="392"/>
        <v>-11.186679524366125</v>
      </c>
      <c r="L879" s="304">
        <f t="shared" ca="1" si="377"/>
        <v>889.91823676225579</v>
      </c>
      <c r="M879" s="306">
        <f t="shared" ca="1" si="393"/>
        <v>-1.4755390558554859</v>
      </c>
      <c r="N879" s="304">
        <f t="shared" ca="1" si="394"/>
        <v>-84.542160407237589</v>
      </c>
      <c r="P879" s="310">
        <f t="shared" ca="1" si="395"/>
        <v>23</v>
      </c>
      <c r="Q879" s="304">
        <f t="shared" ca="1" si="396"/>
        <v>0</v>
      </c>
      <c r="R879" s="306">
        <f t="shared" ca="1" si="397"/>
        <v>0</v>
      </c>
      <c r="S879" s="307">
        <f t="shared" ca="1" si="398"/>
        <v>7.150000000000003</v>
      </c>
      <c r="T879" s="304">
        <f t="shared" ca="1" si="378"/>
        <v>70.141500000000036</v>
      </c>
      <c r="U879" s="311">
        <f t="shared" ca="1" si="379"/>
        <v>0</v>
      </c>
      <c r="V879" s="306">
        <f t="shared" ca="1" si="380"/>
        <v>1.2263711351642181</v>
      </c>
      <c r="W879" s="304">
        <f t="shared" ca="1" si="381"/>
        <v>54.698613869065021</v>
      </c>
      <c r="Y879" s="314" t="str">
        <f t="shared" ca="1" si="399"/>
        <v/>
      </c>
      <c r="Z879" s="315" t="str">
        <f t="shared" ca="1" si="400"/>
        <v/>
      </c>
      <c r="AA879" s="316" t="str">
        <f t="shared" ca="1" si="401"/>
        <v/>
      </c>
      <c r="AC879" s="310" t="e">
        <f t="shared" ca="1" si="402"/>
        <v>#N/A</v>
      </c>
      <c r="AD879" s="323" t="e">
        <f t="shared" ca="1" si="403"/>
        <v>#N/A</v>
      </c>
      <c r="AE879" s="324" t="e">
        <f t="shared" ca="1" si="382"/>
        <v>#N/A</v>
      </c>
      <c r="AG879" s="306">
        <f t="shared" ca="1" si="404"/>
        <v>2.1154041939504156</v>
      </c>
      <c r="AH879" s="304">
        <f t="shared" ca="1" si="405"/>
        <v>-7.6501210716388046</v>
      </c>
    </row>
    <row r="880" spans="1:34" x14ac:dyDescent="0.2">
      <c r="A880" s="347">
        <f t="shared" ca="1" si="383"/>
        <v>1E-4</v>
      </c>
      <c r="B880" s="304">
        <f t="shared" ca="1" si="384"/>
        <v>36.732900000001344</v>
      </c>
      <c r="D880" s="306">
        <f t="shared" ca="1" si="385"/>
        <v>-0.72763138153371643</v>
      </c>
      <c r="E880" s="307">
        <f t="shared" ca="1" si="386"/>
        <v>-2.1945265333736614</v>
      </c>
      <c r="F880" s="304">
        <f t="shared" ca="1" si="387"/>
        <v>2.3120108419022789</v>
      </c>
      <c r="G880" s="306">
        <f t="shared" ca="1" si="388"/>
        <v>12.433720028963853</v>
      </c>
      <c r="H880" s="307">
        <f t="shared" ca="1" si="389"/>
        <v>-130.13372042699933</v>
      </c>
      <c r="I880" s="304">
        <f t="shared" ca="1" si="390"/>
        <v>130.72636530528598</v>
      </c>
      <c r="J880" s="306">
        <f t="shared" ca="1" si="391"/>
        <v>889.84792314375909</v>
      </c>
      <c r="K880" s="307">
        <f t="shared" ca="1" si="392"/>
        <v>-11.199692885436193</v>
      </c>
      <c r="L880" s="304">
        <f t="shared" ca="1" si="377"/>
        <v>889.91840044129299</v>
      </c>
      <c r="M880" s="306">
        <f t="shared" ca="1" si="393"/>
        <v>-1.4755397696068695</v>
      </c>
      <c r="N880" s="304">
        <f t="shared" ca="1" si="394"/>
        <v>-84.542201302179478</v>
      </c>
      <c r="P880" s="310">
        <f t="shared" ca="1" si="395"/>
        <v>23</v>
      </c>
      <c r="Q880" s="304">
        <f t="shared" ca="1" si="396"/>
        <v>0</v>
      </c>
      <c r="R880" s="306">
        <f t="shared" ca="1" si="397"/>
        <v>0</v>
      </c>
      <c r="S880" s="307">
        <f t="shared" ca="1" si="398"/>
        <v>7.150000000000003</v>
      </c>
      <c r="T880" s="304">
        <f t="shared" ca="1" si="378"/>
        <v>70.141500000000036</v>
      </c>
      <c r="U880" s="311">
        <f t="shared" ca="1" si="379"/>
        <v>0</v>
      </c>
      <c r="V880" s="306">
        <f t="shared" ca="1" si="380"/>
        <v>1.2263727310867951</v>
      </c>
      <c r="W880" s="304">
        <f t="shared" ca="1" si="381"/>
        <v>54.69886207402314</v>
      </c>
      <c r="Y880" s="314" t="str">
        <f t="shared" ca="1" si="399"/>
        <v/>
      </c>
      <c r="Z880" s="315" t="str">
        <f t="shared" ca="1" si="400"/>
        <v/>
      </c>
      <c r="AA880" s="316" t="str">
        <f t="shared" ca="1" si="401"/>
        <v/>
      </c>
      <c r="AC880" s="310" t="e">
        <f t="shared" ca="1" si="402"/>
        <v>#N/A</v>
      </c>
      <c r="AD880" s="323" t="e">
        <f t="shared" ca="1" si="403"/>
        <v>#N/A</v>
      </c>
      <c r="AE880" s="324" t="e">
        <f t="shared" ca="1" si="382"/>
        <v>#N/A</v>
      </c>
      <c r="AG880" s="306">
        <f t="shared" ca="1" si="404"/>
        <v>2.1153701456882974</v>
      </c>
      <c r="AH880" s="304">
        <f t="shared" ca="1" si="405"/>
        <v>-7.6501557858832161</v>
      </c>
    </row>
    <row r="881" spans="1:34" x14ac:dyDescent="0.2">
      <c r="A881" s="347">
        <f t="shared" ca="1" si="383"/>
        <v>1E-4</v>
      </c>
      <c r="B881" s="304">
        <f t="shared" ca="1" si="384"/>
        <v>36.733000000001347</v>
      </c>
      <c r="D881" s="306">
        <f t="shared" ca="1" si="385"/>
        <v>-0.72762924771453164</v>
      </c>
      <c r="E881" s="307">
        <f t="shared" ca="1" si="386"/>
        <v>-2.1944914574225454</v>
      </c>
      <c r="F881" s="304">
        <f t="shared" ca="1" si="387"/>
        <v>2.311976876794001</v>
      </c>
      <c r="G881" s="306">
        <f t="shared" ca="1" si="388"/>
        <v>12.433647266039081</v>
      </c>
      <c r="H881" s="307">
        <f t="shared" ca="1" si="389"/>
        <v>-130.13393987614506</v>
      </c>
      <c r="I881" s="304">
        <f t="shared" ca="1" si="390"/>
        <v>130.72657683892905</v>
      </c>
      <c r="J881" s="306">
        <f t="shared" ca="1" si="391"/>
        <v>889.84792314375909</v>
      </c>
      <c r="K881" s="307">
        <f t="shared" ca="1" si="392"/>
        <v>-11.212706268451349</v>
      </c>
      <c r="L881" s="304">
        <f t="shared" ca="1" si="377"/>
        <v>889.91856431087217</v>
      </c>
      <c r="M881" s="306">
        <f t="shared" ca="1" si="393"/>
        <v>-1.4755404833517665</v>
      </c>
      <c r="N881" s="304">
        <f t="shared" ca="1" si="394"/>
        <v>-84.542242196749726</v>
      </c>
      <c r="P881" s="310">
        <f t="shared" ca="1" si="395"/>
        <v>23</v>
      </c>
      <c r="Q881" s="304">
        <f t="shared" ca="1" si="396"/>
        <v>0</v>
      </c>
      <c r="R881" s="306">
        <f t="shared" ca="1" si="397"/>
        <v>0</v>
      </c>
      <c r="S881" s="307">
        <f t="shared" ca="1" si="398"/>
        <v>7.150000000000003</v>
      </c>
      <c r="T881" s="304">
        <f t="shared" ca="1" si="378"/>
        <v>70.141500000000036</v>
      </c>
      <c r="U881" s="311">
        <f t="shared" ca="1" si="379"/>
        <v>0</v>
      </c>
      <c r="V881" s="306">
        <f t="shared" ca="1" si="380"/>
        <v>1.2263743270141418</v>
      </c>
      <c r="W881" s="304">
        <f t="shared" ca="1" si="381"/>
        <v>54.699110277091911</v>
      </c>
      <c r="Y881" s="314" t="str">
        <f t="shared" ca="1" si="399"/>
        <v/>
      </c>
      <c r="Z881" s="315" t="str">
        <f t="shared" ca="1" si="400"/>
        <v/>
      </c>
      <c r="AA881" s="316" t="str">
        <f t="shared" ca="1" si="401"/>
        <v/>
      </c>
      <c r="AC881" s="310" t="e">
        <f t="shared" ca="1" si="402"/>
        <v>#N/A</v>
      </c>
      <c r="AD881" s="323" t="e">
        <f t="shared" ca="1" si="403"/>
        <v>#N/A</v>
      </c>
      <c r="AE881" s="324" t="e">
        <f t="shared" ca="1" si="382"/>
        <v>#N/A</v>
      </c>
      <c r="AG881" s="306">
        <f t="shared" ca="1" si="404"/>
        <v>2.1153360976794042</v>
      </c>
      <c r="AH881" s="304">
        <f t="shared" ca="1" si="405"/>
        <v>-7.6501904998633732</v>
      </c>
    </row>
    <row r="882" spans="1:34" x14ac:dyDescent="0.2">
      <c r="A882" s="347">
        <f t="shared" ca="1" si="383"/>
        <v>1E-4</v>
      </c>
      <c r="B882" s="304">
        <f t="shared" ca="1" si="384"/>
        <v>36.73310000000135</v>
      </c>
      <c r="D882" s="306">
        <f t="shared" ca="1" si="385"/>
        <v>-0.72762711386991252</v>
      </c>
      <c r="E882" s="307">
        <f t="shared" ca="1" si="386"/>
        <v>-2.1944563817383624</v>
      </c>
      <c r="F882" s="304">
        <f t="shared" ca="1" si="387"/>
        <v>2.3119429119662285</v>
      </c>
      <c r="G882" s="306">
        <f t="shared" ca="1" si="388"/>
        <v>12.433574503327694</v>
      </c>
      <c r="H882" s="307">
        <f t="shared" ca="1" si="389"/>
        <v>-130.13415932178324</v>
      </c>
      <c r="I882" s="304">
        <f t="shared" ca="1" si="390"/>
        <v>130.72678836916734</v>
      </c>
      <c r="J882" s="306">
        <f t="shared" ca="1" si="391"/>
        <v>889.84792314375909</v>
      </c>
      <c r="K882" s="307">
        <f t="shared" ca="1" si="392"/>
        <v>-11.225719673411245</v>
      </c>
      <c r="L882" s="304">
        <f t="shared" ca="1" si="377"/>
        <v>889.91872837099424</v>
      </c>
      <c r="M882" s="306">
        <f t="shared" ca="1" si="393"/>
        <v>-1.4755411970901766</v>
      </c>
      <c r="N882" s="304">
        <f t="shared" ca="1" si="394"/>
        <v>-84.542283090948303</v>
      </c>
      <c r="P882" s="310">
        <f t="shared" ca="1" si="395"/>
        <v>23</v>
      </c>
      <c r="Q882" s="304">
        <f t="shared" ca="1" si="396"/>
        <v>0</v>
      </c>
      <c r="R882" s="306">
        <f t="shared" ca="1" si="397"/>
        <v>0</v>
      </c>
      <c r="S882" s="307">
        <f t="shared" ca="1" si="398"/>
        <v>7.150000000000003</v>
      </c>
      <c r="T882" s="304">
        <f t="shared" ca="1" si="378"/>
        <v>70.141500000000036</v>
      </c>
      <c r="U882" s="311">
        <f t="shared" ca="1" si="379"/>
        <v>0</v>
      </c>
      <c r="V882" s="306">
        <f t="shared" ca="1" si="380"/>
        <v>1.2263759229462572</v>
      </c>
      <c r="W882" s="304">
        <f t="shared" ca="1" si="381"/>
        <v>54.699358478271257</v>
      </c>
      <c r="Y882" s="314" t="str">
        <f t="shared" ca="1" si="399"/>
        <v/>
      </c>
      <c r="Z882" s="315" t="str">
        <f t="shared" ca="1" si="400"/>
        <v/>
      </c>
      <c r="AA882" s="316" t="str">
        <f t="shared" ca="1" si="401"/>
        <v/>
      </c>
      <c r="AC882" s="310" t="e">
        <f t="shared" ca="1" si="402"/>
        <v>#N/A</v>
      </c>
      <c r="AD882" s="323" t="e">
        <f t="shared" ca="1" si="403"/>
        <v>#N/A</v>
      </c>
      <c r="AE882" s="324" t="e">
        <f t="shared" ca="1" si="382"/>
        <v>#N/A</v>
      </c>
      <c r="AG882" s="306">
        <f t="shared" ca="1" si="404"/>
        <v>2.1153020499237289</v>
      </c>
      <c r="AH882" s="304">
        <f t="shared" ca="1" si="405"/>
        <v>-7.6502252135792848</v>
      </c>
    </row>
    <row r="883" spans="1:34" x14ac:dyDescent="0.2">
      <c r="A883" s="347">
        <f t="shared" ca="1" si="383"/>
        <v>1E-4</v>
      </c>
      <c r="B883" s="304">
        <f t="shared" ca="1" si="384"/>
        <v>36.733200000001354</v>
      </c>
      <c r="D883" s="306">
        <f t="shared" ca="1" si="385"/>
        <v>-0.7276249799998612</v>
      </c>
      <c r="E883" s="307">
        <f t="shared" ca="1" si="386"/>
        <v>-2.1944213063211233</v>
      </c>
      <c r="F883" s="304">
        <f t="shared" ca="1" si="387"/>
        <v>2.3119089474189729</v>
      </c>
      <c r="G883" s="306">
        <f t="shared" ca="1" si="388"/>
        <v>12.433501740829694</v>
      </c>
      <c r="H883" s="307">
        <f t="shared" ca="1" si="389"/>
        <v>-130.13437876391387</v>
      </c>
      <c r="I883" s="304">
        <f t="shared" ca="1" si="390"/>
        <v>130.72699989600088</v>
      </c>
      <c r="J883" s="306">
        <f t="shared" ca="1" si="391"/>
        <v>889.84792314375909</v>
      </c>
      <c r="K883" s="307">
        <f t="shared" ca="1" si="392"/>
        <v>-11.23873310031553</v>
      </c>
      <c r="L883" s="304">
        <f t="shared" ca="1" si="377"/>
        <v>889.91889262165989</v>
      </c>
      <c r="M883" s="306">
        <f t="shared" ca="1" si="393"/>
        <v>-1.4755419108221002</v>
      </c>
      <c r="N883" s="304">
        <f t="shared" ca="1" si="394"/>
        <v>-84.542323984775237</v>
      </c>
      <c r="P883" s="310">
        <f t="shared" ca="1" si="395"/>
        <v>23</v>
      </c>
      <c r="Q883" s="304">
        <f t="shared" ca="1" si="396"/>
        <v>0</v>
      </c>
      <c r="R883" s="306">
        <f t="shared" ca="1" si="397"/>
        <v>0</v>
      </c>
      <c r="S883" s="307">
        <f t="shared" ca="1" si="398"/>
        <v>7.150000000000003</v>
      </c>
      <c r="T883" s="304">
        <f t="shared" ca="1" si="378"/>
        <v>70.141500000000036</v>
      </c>
      <c r="U883" s="311">
        <f t="shared" ca="1" si="379"/>
        <v>0</v>
      </c>
      <c r="V883" s="306">
        <f t="shared" ca="1" si="380"/>
        <v>1.2263775188831423</v>
      </c>
      <c r="W883" s="304">
        <f t="shared" ca="1" si="381"/>
        <v>54.699606677561228</v>
      </c>
      <c r="Y883" s="314" t="str">
        <f t="shared" ca="1" si="399"/>
        <v/>
      </c>
      <c r="Z883" s="315" t="str">
        <f t="shared" ca="1" si="400"/>
        <v/>
      </c>
      <c r="AA883" s="316" t="str">
        <f t="shared" ca="1" si="401"/>
        <v/>
      </c>
      <c r="AC883" s="310" t="e">
        <f t="shared" ca="1" si="402"/>
        <v>#N/A</v>
      </c>
      <c r="AD883" s="323" t="e">
        <f t="shared" ca="1" si="403"/>
        <v>#N/A</v>
      </c>
      <c r="AE883" s="324" t="e">
        <f t="shared" ca="1" si="382"/>
        <v>#N/A</v>
      </c>
      <c r="AG883" s="306">
        <f t="shared" ca="1" si="404"/>
        <v>2.1152680024212822</v>
      </c>
      <c r="AH883" s="304">
        <f t="shared" ca="1" si="405"/>
        <v>-7.6502599270309419</v>
      </c>
    </row>
    <row r="884" spans="1:34" x14ac:dyDescent="0.2">
      <c r="A884" s="347">
        <f t="shared" ca="1" si="383"/>
        <v>1E-4</v>
      </c>
      <c r="B884" s="304">
        <f t="shared" ca="1" si="384"/>
        <v>36.733300000001357</v>
      </c>
      <c r="D884" s="306">
        <f t="shared" ca="1" si="385"/>
        <v>-0.72762284610437766</v>
      </c>
      <c r="E884" s="307">
        <f t="shared" ca="1" si="386"/>
        <v>-2.1943862311708209</v>
      </c>
      <c r="F884" s="304">
        <f t="shared" ca="1" si="387"/>
        <v>2.3118749831522281</v>
      </c>
      <c r="G884" s="306">
        <f t="shared" ca="1" si="388"/>
        <v>12.433428978545084</v>
      </c>
      <c r="H884" s="307">
        <f t="shared" ca="1" si="389"/>
        <v>-130.13459820253698</v>
      </c>
      <c r="I884" s="304">
        <f t="shared" ca="1" si="390"/>
        <v>130.72721141942969</v>
      </c>
      <c r="J884" s="306">
        <f t="shared" ca="1" si="391"/>
        <v>889.84792314375909</v>
      </c>
      <c r="K884" s="307">
        <f t="shared" ca="1" si="392"/>
        <v>-11.251746549163853</v>
      </c>
      <c r="L884" s="304">
        <f t="shared" ca="1" si="377"/>
        <v>889.91905706287014</v>
      </c>
      <c r="M884" s="306">
        <f t="shared" ca="1" si="393"/>
        <v>-1.4755426245475369</v>
      </c>
      <c r="N884" s="304">
        <f t="shared" ca="1" si="394"/>
        <v>-84.542364878230487</v>
      </c>
      <c r="P884" s="310">
        <f t="shared" ca="1" si="395"/>
        <v>23</v>
      </c>
      <c r="Q884" s="304">
        <f t="shared" ca="1" si="396"/>
        <v>0</v>
      </c>
      <c r="R884" s="306">
        <f t="shared" ca="1" si="397"/>
        <v>0</v>
      </c>
      <c r="S884" s="307">
        <f t="shared" ca="1" si="398"/>
        <v>7.150000000000003</v>
      </c>
      <c r="T884" s="304">
        <f t="shared" ca="1" si="378"/>
        <v>70.141500000000036</v>
      </c>
      <c r="U884" s="311">
        <f t="shared" ca="1" si="379"/>
        <v>0</v>
      </c>
      <c r="V884" s="306">
        <f t="shared" ca="1" si="380"/>
        <v>1.2263791148247964</v>
      </c>
      <c r="W884" s="304">
        <f t="shared" ca="1" si="381"/>
        <v>54.699854874961801</v>
      </c>
      <c r="Y884" s="314" t="str">
        <f t="shared" ca="1" si="399"/>
        <v/>
      </c>
      <c r="Z884" s="315" t="str">
        <f t="shared" ca="1" si="400"/>
        <v/>
      </c>
      <c r="AA884" s="316" t="str">
        <f t="shared" ca="1" si="401"/>
        <v/>
      </c>
      <c r="AC884" s="310" t="e">
        <f t="shared" ca="1" si="402"/>
        <v>#N/A</v>
      </c>
      <c r="AD884" s="323" t="e">
        <f t="shared" ca="1" si="403"/>
        <v>#N/A</v>
      </c>
      <c r="AE884" s="324" t="e">
        <f t="shared" ca="1" si="382"/>
        <v>#N/A</v>
      </c>
      <c r="AG884" s="306">
        <f t="shared" ca="1" si="404"/>
        <v>2.1152339551720551</v>
      </c>
      <c r="AH884" s="304">
        <f t="shared" ca="1" si="405"/>
        <v>-7.65029464021835</v>
      </c>
    </row>
    <row r="885" spans="1:34" x14ac:dyDescent="0.2">
      <c r="A885" s="347">
        <f t="shared" ca="1" si="383"/>
        <v>1E-4</v>
      </c>
      <c r="B885" s="304">
        <f t="shared" ca="1" si="384"/>
        <v>36.73340000000136</v>
      </c>
      <c r="D885" s="306">
        <f t="shared" ca="1" si="385"/>
        <v>-0.7276207121834648</v>
      </c>
      <c r="E885" s="307">
        <f t="shared" ca="1" si="386"/>
        <v>-2.1943511562874578</v>
      </c>
      <c r="F885" s="304">
        <f t="shared" ca="1" si="387"/>
        <v>2.311841019165997</v>
      </c>
      <c r="G885" s="306">
        <f t="shared" ca="1" si="388"/>
        <v>12.433356216473866</v>
      </c>
      <c r="H885" s="307">
        <f t="shared" ca="1" si="389"/>
        <v>-130.13481763765262</v>
      </c>
      <c r="I885" s="304">
        <f t="shared" ca="1" si="390"/>
        <v>130.72742293945379</v>
      </c>
      <c r="J885" s="306">
        <f t="shared" ca="1" si="391"/>
        <v>889.84792314375909</v>
      </c>
      <c r="K885" s="307">
        <f t="shared" ca="1" si="392"/>
        <v>-11.264760019955862</v>
      </c>
      <c r="L885" s="304">
        <f t="shared" ca="1" si="377"/>
        <v>889.91922169462589</v>
      </c>
      <c r="M885" s="306">
        <f t="shared" ca="1" si="393"/>
        <v>-1.4755433382664875</v>
      </c>
      <c r="N885" s="304">
        <f t="shared" ca="1" si="394"/>
        <v>-84.542405771314122</v>
      </c>
      <c r="P885" s="310">
        <f t="shared" ca="1" si="395"/>
        <v>23</v>
      </c>
      <c r="Q885" s="304">
        <f t="shared" ca="1" si="396"/>
        <v>0</v>
      </c>
      <c r="R885" s="306">
        <f t="shared" ca="1" si="397"/>
        <v>0</v>
      </c>
      <c r="S885" s="307">
        <f t="shared" ca="1" si="398"/>
        <v>7.150000000000003</v>
      </c>
      <c r="T885" s="304">
        <f t="shared" ca="1" si="378"/>
        <v>70.141500000000036</v>
      </c>
      <c r="U885" s="311">
        <f t="shared" ca="1" si="379"/>
        <v>0</v>
      </c>
      <c r="V885" s="306">
        <f t="shared" ca="1" si="380"/>
        <v>1.2263807107712195</v>
      </c>
      <c r="W885" s="304">
        <f t="shared" ca="1" si="381"/>
        <v>54.700103070472949</v>
      </c>
      <c r="Y885" s="314" t="str">
        <f t="shared" ca="1" si="399"/>
        <v/>
      </c>
      <c r="Z885" s="315" t="str">
        <f t="shared" ca="1" si="400"/>
        <v/>
      </c>
      <c r="AA885" s="316" t="str">
        <f t="shared" ca="1" si="401"/>
        <v/>
      </c>
      <c r="AC885" s="310" t="e">
        <f t="shared" ca="1" si="402"/>
        <v>#N/A</v>
      </c>
      <c r="AD885" s="323" t="e">
        <f t="shared" ca="1" si="403"/>
        <v>#N/A</v>
      </c>
      <c r="AE885" s="324" t="e">
        <f t="shared" ca="1" si="382"/>
        <v>#N/A</v>
      </c>
      <c r="AG885" s="306">
        <f t="shared" ca="1" si="404"/>
        <v>2.1151999081760549</v>
      </c>
      <c r="AH885" s="304">
        <f t="shared" ca="1" si="405"/>
        <v>-7.6503293531415073</v>
      </c>
    </row>
    <row r="886" spans="1:34" x14ac:dyDescent="0.2">
      <c r="A886" s="347">
        <f t="shared" ca="1" si="383"/>
        <v>1E-4</v>
      </c>
      <c r="B886" s="304">
        <f t="shared" ca="1" si="384"/>
        <v>36.733500000001364</v>
      </c>
      <c r="D886" s="306">
        <f t="shared" ca="1" si="385"/>
        <v>-0.72761857823711829</v>
      </c>
      <c r="E886" s="307">
        <f t="shared" ca="1" si="386"/>
        <v>-2.1943160816710385</v>
      </c>
      <c r="F886" s="304">
        <f t="shared" ca="1" si="387"/>
        <v>2.3118070554602834</v>
      </c>
      <c r="G886" s="306">
        <f t="shared" ca="1" si="388"/>
        <v>12.433283454616042</v>
      </c>
      <c r="H886" s="307">
        <f t="shared" ca="1" si="389"/>
        <v>-130.13503706926079</v>
      </c>
      <c r="I886" s="304">
        <f t="shared" ca="1" si="390"/>
        <v>130.72763445607325</v>
      </c>
      <c r="J886" s="306">
        <f t="shared" ca="1" si="391"/>
        <v>889.84792314375909</v>
      </c>
      <c r="K886" s="307">
        <f t="shared" ca="1" si="392"/>
        <v>-11.277773512691207</v>
      </c>
      <c r="L886" s="304">
        <f t="shared" ca="1" si="377"/>
        <v>889.9193865169276</v>
      </c>
      <c r="M886" s="306">
        <f t="shared" ca="1" si="393"/>
        <v>-1.4755440519789518</v>
      </c>
      <c r="N886" s="304">
        <f t="shared" ca="1" si="394"/>
        <v>-84.542446664026102</v>
      </c>
      <c r="P886" s="310">
        <f t="shared" ca="1" si="395"/>
        <v>23</v>
      </c>
      <c r="Q886" s="304">
        <f t="shared" ca="1" si="396"/>
        <v>0</v>
      </c>
      <c r="R886" s="306">
        <f t="shared" ca="1" si="397"/>
        <v>0</v>
      </c>
      <c r="S886" s="307">
        <f t="shared" ca="1" si="398"/>
        <v>7.150000000000003</v>
      </c>
      <c r="T886" s="304">
        <f t="shared" ca="1" si="378"/>
        <v>70.141500000000036</v>
      </c>
      <c r="U886" s="311">
        <f t="shared" ca="1" si="379"/>
        <v>0</v>
      </c>
      <c r="V886" s="306">
        <f t="shared" ca="1" si="380"/>
        <v>1.2263823067224118</v>
      </c>
      <c r="W886" s="304">
        <f t="shared" ca="1" si="381"/>
        <v>54.700351264094742</v>
      </c>
      <c r="Y886" s="314" t="str">
        <f t="shared" ca="1" si="399"/>
        <v/>
      </c>
      <c r="Z886" s="315" t="str">
        <f t="shared" ca="1" si="400"/>
        <v/>
      </c>
      <c r="AA886" s="316" t="str">
        <f t="shared" ca="1" si="401"/>
        <v/>
      </c>
      <c r="AC886" s="310" t="e">
        <f t="shared" ca="1" si="402"/>
        <v>#N/A</v>
      </c>
      <c r="AD886" s="323" t="e">
        <f t="shared" ca="1" si="403"/>
        <v>#N/A</v>
      </c>
      <c r="AE886" s="324" t="e">
        <f t="shared" ca="1" si="382"/>
        <v>#N/A</v>
      </c>
      <c r="AG886" s="306">
        <f t="shared" ca="1" si="404"/>
        <v>2.1151658614332822</v>
      </c>
      <c r="AH886" s="304">
        <f t="shared" ca="1" si="405"/>
        <v>-7.6503640658004093</v>
      </c>
    </row>
    <row r="887" spans="1:34" x14ac:dyDescent="0.2">
      <c r="A887" s="347">
        <f t="shared" ca="1" si="383"/>
        <v>1E-4</v>
      </c>
      <c r="B887" s="304">
        <f t="shared" ca="1" si="384"/>
        <v>36.733600000001367</v>
      </c>
      <c r="D887" s="306">
        <f t="shared" ca="1" si="385"/>
        <v>-0.72761644426534189</v>
      </c>
      <c r="E887" s="307">
        <f t="shared" ca="1" si="386"/>
        <v>-2.1942810073215533</v>
      </c>
      <c r="F887" s="304">
        <f t="shared" ca="1" si="387"/>
        <v>2.3117730920350792</v>
      </c>
      <c r="G887" s="306">
        <f t="shared" ca="1" si="388"/>
        <v>12.433210692971615</v>
      </c>
      <c r="H887" s="307">
        <f t="shared" ca="1" si="389"/>
        <v>-130.13525649736152</v>
      </c>
      <c r="I887" s="304">
        <f t="shared" ca="1" si="390"/>
        <v>130.72784596928801</v>
      </c>
      <c r="J887" s="306">
        <f t="shared" ca="1" si="391"/>
        <v>889.84792314375909</v>
      </c>
      <c r="K887" s="307">
        <f t="shared" ca="1" si="392"/>
        <v>-11.290787027369538</v>
      </c>
      <c r="L887" s="304">
        <f t="shared" ca="1" si="377"/>
        <v>889.91955152977664</v>
      </c>
      <c r="M887" s="306">
        <f t="shared" ca="1" si="393"/>
        <v>-1.4755447656849296</v>
      </c>
      <c r="N887" s="304">
        <f t="shared" ca="1" si="394"/>
        <v>-84.542487556366453</v>
      </c>
      <c r="P887" s="310">
        <f t="shared" ca="1" si="395"/>
        <v>23</v>
      </c>
      <c r="Q887" s="304">
        <f t="shared" ca="1" si="396"/>
        <v>0</v>
      </c>
      <c r="R887" s="306">
        <f t="shared" ca="1" si="397"/>
        <v>0</v>
      </c>
      <c r="S887" s="307">
        <f t="shared" ca="1" si="398"/>
        <v>7.150000000000003</v>
      </c>
      <c r="T887" s="304">
        <f t="shared" ca="1" si="378"/>
        <v>70.141500000000036</v>
      </c>
      <c r="U887" s="311">
        <f t="shared" ca="1" si="379"/>
        <v>0</v>
      </c>
      <c r="V887" s="306">
        <f t="shared" ca="1" si="380"/>
        <v>1.2263839026783734</v>
      </c>
      <c r="W887" s="304">
        <f t="shared" ca="1" si="381"/>
        <v>54.700599455827088</v>
      </c>
      <c r="Y887" s="314" t="str">
        <f t="shared" ca="1" si="399"/>
        <v/>
      </c>
      <c r="Z887" s="315" t="str">
        <f t="shared" ca="1" si="400"/>
        <v/>
      </c>
      <c r="AA887" s="316" t="str">
        <f t="shared" ca="1" si="401"/>
        <v/>
      </c>
      <c r="AC887" s="310" t="e">
        <f t="shared" ca="1" si="402"/>
        <v>#N/A</v>
      </c>
      <c r="AD887" s="323" t="e">
        <f t="shared" ca="1" si="403"/>
        <v>#N/A</v>
      </c>
      <c r="AE887" s="324" t="e">
        <f t="shared" ca="1" si="382"/>
        <v>#N/A</v>
      </c>
      <c r="AG887" s="306">
        <f t="shared" ca="1" si="404"/>
        <v>2.1151318149437293</v>
      </c>
      <c r="AH887" s="304">
        <f t="shared" ca="1" si="405"/>
        <v>-7.6503987781950658</v>
      </c>
    </row>
    <row r="888" spans="1:34" x14ac:dyDescent="0.2">
      <c r="A888" s="347">
        <f t="shared" ca="1" si="383"/>
        <v>1E-4</v>
      </c>
      <c r="B888" s="304">
        <f t="shared" ca="1" si="384"/>
        <v>36.73370000000137</v>
      </c>
      <c r="D888" s="306">
        <f t="shared" ca="1" si="385"/>
        <v>-0.72761431026813572</v>
      </c>
      <c r="E888" s="307">
        <f t="shared" ca="1" si="386"/>
        <v>-2.1942459332390154</v>
      </c>
      <c r="F888" s="304">
        <f t="shared" ca="1" si="387"/>
        <v>2.3117391288903972</v>
      </c>
      <c r="G888" s="306">
        <f t="shared" ca="1" si="388"/>
        <v>12.433137931540589</v>
      </c>
      <c r="H888" s="307">
        <f t="shared" ca="1" si="389"/>
        <v>-130.13547592195485</v>
      </c>
      <c r="I888" s="304">
        <f t="shared" ca="1" si="390"/>
        <v>130.7280574790982</v>
      </c>
      <c r="J888" s="306">
        <f t="shared" ca="1" si="391"/>
        <v>889.84792314375909</v>
      </c>
      <c r="K888" s="307">
        <f t="shared" ca="1" si="392"/>
        <v>-11.303800563990503</v>
      </c>
      <c r="L888" s="304">
        <f t="shared" ca="1" si="377"/>
        <v>889.91971673317357</v>
      </c>
      <c r="M888" s="306">
        <f t="shared" ca="1" si="393"/>
        <v>-1.4755454793844212</v>
      </c>
      <c r="N888" s="304">
        <f t="shared" ca="1" si="394"/>
        <v>-84.542528448335148</v>
      </c>
      <c r="P888" s="310">
        <f t="shared" ca="1" si="395"/>
        <v>23</v>
      </c>
      <c r="Q888" s="304">
        <f t="shared" ca="1" si="396"/>
        <v>0</v>
      </c>
      <c r="R888" s="306">
        <f t="shared" ca="1" si="397"/>
        <v>0</v>
      </c>
      <c r="S888" s="307">
        <f t="shared" ca="1" si="398"/>
        <v>7.150000000000003</v>
      </c>
      <c r="T888" s="304">
        <f t="shared" ca="1" si="378"/>
        <v>70.141500000000036</v>
      </c>
      <c r="U888" s="311">
        <f t="shared" ca="1" si="379"/>
        <v>0</v>
      </c>
      <c r="V888" s="306">
        <f t="shared" ca="1" si="380"/>
        <v>1.2263854986391036</v>
      </c>
      <c r="W888" s="304">
        <f t="shared" ca="1" si="381"/>
        <v>54.700847645670066</v>
      </c>
      <c r="Y888" s="314" t="str">
        <f t="shared" ca="1" si="399"/>
        <v/>
      </c>
      <c r="Z888" s="315" t="str">
        <f t="shared" ca="1" si="400"/>
        <v/>
      </c>
      <c r="AA888" s="316" t="str">
        <f t="shared" ca="1" si="401"/>
        <v/>
      </c>
      <c r="AC888" s="310" t="e">
        <f t="shared" ca="1" si="402"/>
        <v>#N/A</v>
      </c>
      <c r="AD888" s="323" t="e">
        <f t="shared" ca="1" si="403"/>
        <v>#N/A</v>
      </c>
      <c r="AE888" s="324" t="e">
        <f t="shared" ca="1" si="382"/>
        <v>#N/A</v>
      </c>
      <c r="AG888" s="306">
        <f t="shared" ca="1" si="404"/>
        <v>2.1150977687074075</v>
      </c>
      <c r="AH888" s="304">
        <f t="shared" ca="1" si="405"/>
        <v>-7.6504334903254634</v>
      </c>
    </row>
    <row r="889" spans="1:34" x14ac:dyDescent="0.2">
      <c r="A889" s="347">
        <f t="shared" ca="1" si="383"/>
        <v>1E-4</v>
      </c>
      <c r="B889" s="304">
        <f t="shared" ca="1" si="384"/>
        <v>36.733800000001374</v>
      </c>
      <c r="D889" s="306">
        <f t="shared" ca="1" si="385"/>
        <v>-0.72761217624550223</v>
      </c>
      <c r="E889" s="307">
        <f t="shared" ca="1" si="386"/>
        <v>-2.1942108594234133</v>
      </c>
      <c r="F889" s="304">
        <f t="shared" ca="1" si="387"/>
        <v>2.3117051660262278</v>
      </c>
      <c r="G889" s="306">
        <f t="shared" ca="1" si="388"/>
        <v>12.433065170322964</v>
      </c>
      <c r="H889" s="307">
        <f t="shared" ca="1" si="389"/>
        <v>-130.13569534304079</v>
      </c>
      <c r="I889" s="304">
        <f t="shared" ca="1" si="390"/>
        <v>130.72826898550377</v>
      </c>
      <c r="J889" s="306">
        <f t="shared" ca="1" si="391"/>
        <v>889.84792314375909</v>
      </c>
      <c r="K889" s="307">
        <f t="shared" ca="1" si="392"/>
        <v>-11.316814122553753</v>
      </c>
      <c r="L889" s="304">
        <f t="shared" ca="1" si="377"/>
        <v>889.91988212711919</v>
      </c>
      <c r="M889" s="306">
        <f t="shared" ca="1" si="393"/>
        <v>-1.4755461930774267</v>
      </c>
      <c r="N889" s="304">
        <f t="shared" ca="1" si="394"/>
        <v>-84.542569339932243</v>
      </c>
      <c r="P889" s="310">
        <f t="shared" ca="1" si="395"/>
        <v>23</v>
      </c>
      <c r="Q889" s="304">
        <f t="shared" ca="1" si="396"/>
        <v>0</v>
      </c>
      <c r="R889" s="306">
        <f t="shared" ca="1" si="397"/>
        <v>0</v>
      </c>
      <c r="S889" s="307">
        <f t="shared" ca="1" si="398"/>
        <v>7.150000000000003</v>
      </c>
      <c r="T889" s="304">
        <f t="shared" ca="1" si="378"/>
        <v>70.141500000000036</v>
      </c>
      <c r="U889" s="311">
        <f t="shared" ca="1" si="379"/>
        <v>0</v>
      </c>
      <c r="V889" s="306">
        <f t="shared" ca="1" si="380"/>
        <v>1.2263870946046036</v>
      </c>
      <c r="W889" s="304">
        <f t="shared" ca="1" si="381"/>
        <v>54.701095833623647</v>
      </c>
      <c r="Y889" s="314" t="str">
        <f t="shared" ca="1" si="399"/>
        <v/>
      </c>
      <c r="Z889" s="315" t="str">
        <f t="shared" ca="1" si="400"/>
        <v/>
      </c>
      <c r="AA889" s="316" t="str">
        <f t="shared" ca="1" si="401"/>
        <v/>
      </c>
      <c r="AC889" s="310" t="e">
        <f t="shared" ca="1" si="402"/>
        <v>#N/A</v>
      </c>
      <c r="AD889" s="323" t="e">
        <f t="shared" ca="1" si="403"/>
        <v>#N/A</v>
      </c>
      <c r="AE889" s="324" t="e">
        <f t="shared" ca="1" si="382"/>
        <v>#N/A</v>
      </c>
      <c r="AG889" s="306">
        <f t="shared" ca="1" si="404"/>
        <v>2.1150637227243063</v>
      </c>
      <c r="AH889" s="304">
        <f t="shared" ca="1" si="405"/>
        <v>-7.6504682021916146</v>
      </c>
    </row>
    <row r="890" spans="1:34" x14ac:dyDescent="0.2">
      <c r="A890" s="347">
        <f t="shared" ca="1" si="383"/>
        <v>1E-4</v>
      </c>
      <c r="B890" s="304">
        <f t="shared" ca="1" si="384"/>
        <v>36.733900000001377</v>
      </c>
      <c r="D890" s="306">
        <f t="shared" ca="1" si="385"/>
        <v>-0.72761004219743863</v>
      </c>
      <c r="E890" s="307">
        <f t="shared" ca="1" si="386"/>
        <v>-2.1941757858747497</v>
      </c>
      <c r="F890" s="304">
        <f t="shared" ca="1" si="387"/>
        <v>2.311671203442573</v>
      </c>
      <c r="G890" s="306">
        <f t="shared" ca="1" si="388"/>
        <v>12.432992409318745</v>
      </c>
      <c r="H890" s="307">
        <f t="shared" ca="1" si="389"/>
        <v>-130.13591476061939</v>
      </c>
      <c r="I890" s="304">
        <f t="shared" ca="1" si="390"/>
        <v>130.72848048850477</v>
      </c>
      <c r="J890" s="306">
        <f t="shared" ca="1" si="391"/>
        <v>889.84792314375909</v>
      </c>
      <c r="K890" s="307">
        <f t="shared" ca="1" si="392"/>
        <v>-11.329827703058935</v>
      </c>
      <c r="L890" s="304">
        <f t="shared" ca="1" si="377"/>
        <v>889.92004771161453</v>
      </c>
      <c r="M890" s="306">
        <f t="shared" ca="1" si="393"/>
        <v>-1.4755469067639464</v>
      </c>
      <c r="N890" s="304">
        <f t="shared" ca="1" si="394"/>
        <v>-84.54261023115771</v>
      </c>
      <c r="P890" s="310">
        <f t="shared" ca="1" si="395"/>
        <v>23</v>
      </c>
      <c r="Q890" s="304">
        <f t="shared" ca="1" si="396"/>
        <v>0</v>
      </c>
      <c r="R890" s="306">
        <f t="shared" ca="1" si="397"/>
        <v>0</v>
      </c>
      <c r="S890" s="307">
        <f t="shared" ca="1" si="398"/>
        <v>7.150000000000003</v>
      </c>
      <c r="T890" s="304">
        <f t="shared" ca="1" si="378"/>
        <v>70.141500000000036</v>
      </c>
      <c r="U890" s="311">
        <f t="shared" ca="1" si="379"/>
        <v>0</v>
      </c>
      <c r="V890" s="306">
        <f t="shared" ca="1" si="380"/>
        <v>1.226388690574872</v>
      </c>
      <c r="W890" s="304">
        <f t="shared" ca="1" si="381"/>
        <v>54.701344019687802</v>
      </c>
      <c r="Y890" s="314" t="str">
        <f t="shared" ca="1" si="399"/>
        <v/>
      </c>
      <c r="Z890" s="315" t="str">
        <f t="shared" ca="1" si="400"/>
        <v/>
      </c>
      <c r="AA890" s="316" t="str">
        <f t="shared" ca="1" si="401"/>
        <v/>
      </c>
      <c r="AC890" s="310" t="e">
        <f t="shared" ca="1" si="402"/>
        <v>#N/A</v>
      </c>
      <c r="AD890" s="323" t="e">
        <f t="shared" ca="1" si="403"/>
        <v>#N/A</v>
      </c>
      <c r="AE890" s="324" t="e">
        <f t="shared" ca="1" si="382"/>
        <v>#N/A</v>
      </c>
      <c r="AG890" s="306">
        <f t="shared" ca="1" si="404"/>
        <v>2.1150296769944328</v>
      </c>
      <c r="AH890" s="304">
        <f t="shared" ca="1" si="405"/>
        <v>-7.6505029137935141</v>
      </c>
    </row>
    <row r="891" spans="1:34" x14ac:dyDescent="0.2">
      <c r="A891" s="347">
        <f t="shared" ca="1" si="383"/>
        <v>1E-4</v>
      </c>
      <c r="B891" s="304">
        <f t="shared" ca="1" si="384"/>
        <v>36.73400000000138</v>
      </c>
      <c r="D891" s="306">
        <f t="shared" ca="1" si="385"/>
        <v>-0.72760790812394593</v>
      </c>
      <c r="E891" s="307">
        <f t="shared" ca="1" si="386"/>
        <v>-2.1941407125930308</v>
      </c>
      <c r="F891" s="304">
        <f t="shared" ca="1" si="387"/>
        <v>2.3116372411394392</v>
      </c>
      <c r="G891" s="306">
        <f t="shared" ca="1" si="388"/>
        <v>12.432919648527932</v>
      </c>
      <c r="H891" s="307">
        <f t="shared" ca="1" si="389"/>
        <v>-130.13613417469065</v>
      </c>
      <c r="I891" s="304">
        <f t="shared" ca="1" si="390"/>
        <v>130.72869198810122</v>
      </c>
      <c r="J891" s="306">
        <f t="shared" ca="1" si="391"/>
        <v>889.84792314375909</v>
      </c>
      <c r="K891" s="307">
        <f t="shared" ca="1" si="392"/>
        <v>-11.342841305505701</v>
      </c>
      <c r="L891" s="304">
        <f t="shared" ca="1" si="377"/>
        <v>889.92021348666037</v>
      </c>
      <c r="M891" s="306">
        <f t="shared" ca="1" si="393"/>
        <v>-1.4755476204439799</v>
      </c>
      <c r="N891" s="304">
        <f t="shared" ca="1" si="394"/>
        <v>-84.542651122011549</v>
      </c>
      <c r="P891" s="310">
        <f t="shared" ca="1" si="395"/>
        <v>23</v>
      </c>
      <c r="Q891" s="304">
        <f t="shared" ca="1" si="396"/>
        <v>0</v>
      </c>
      <c r="R891" s="306">
        <f t="shared" ca="1" si="397"/>
        <v>0</v>
      </c>
      <c r="S891" s="307">
        <f t="shared" ca="1" si="398"/>
        <v>7.150000000000003</v>
      </c>
      <c r="T891" s="304">
        <f t="shared" ca="1" si="378"/>
        <v>70.141500000000036</v>
      </c>
      <c r="U891" s="311">
        <f t="shared" ca="1" si="379"/>
        <v>0</v>
      </c>
      <c r="V891" s="306">
        <f t="shared" ca="1" si="380"/>
        <v>1.2263902865499097</v>
      </c>
      <c r="W891" s="304">
        <f t="shared" ca="1" si="381"/>
        <v>54.701592203862553</v>
      </c>
      <c r="Y891" s="314" t="str">
        <f t="shared" ca="1" si="399"/>
        <v/>
      </c>
      <c r="Z891" s="315" t="str">
        <f t="shared" ca="1" si="400"/>
        <v/>
      </c>
      <c r="AA891" s="316" t="str">
        <f t="shared" ca="1" si="401"/>
        <v/>
      </c>
      <c r="AC891" s="310" t="e">
        <f t="shared" ca="1" si="402"/>
        <v>#N/A</v>
      </c>
      <c r="AD891" s="323" t="e">
        <f t="shared" ca="1" si="403"/>
        <v>#N/A</v>
      </c>
      <c r="AE891" s="324" t="e">
        <f t="shared" ca="1" si="382"/>
        <v>#N/A</v>
      </c>
      <c r="AG891" s="306">
        <f t="shared" ca="1" si="404"/>
        <v>2.1149956315177887</v>
      </c>
      <c r="AH891" s="304">
        <f t="shared" ca="1" si="405"/>
        <v>-7.6505376251311583</v>
      </c>
    </row>
    <row r="892" spans="1:34" x14ac:dyDescent="0.2">
      <c r="A892" s="347">
        <f t="shared" ca="1" si="383"/>
        <v>1E-4</v>
      </c>
      <c r="B892" s="304">
        <f t="shared" ca="1" si="384"/>
        <v>36.734100000001384</v>
      </c>
      <c r="D892" s="306">
        <f t="shared" ca="1" si="385"/>
        <v>-0.72760577402502735</v>
      </c>
      <c r="E892" s="307">
        <f t="shared" ca="1" si="386"/>
        <v>-2.1941056395782521</v>
      </c>
      <c r="F892" s="304">
        <f t="shared" ca="1" si="387"/>
        <v>2.3116032791168233</v>
      </c>
      <c r="G892" s="306">
        <f t="shared" ca="1" si="388"/>
        <v>12.432846887950529</v>
      </c>
      <c r="H892" s="307">
        <f t="shared" ca="1" si="389"/>
        <v>-130.13635358525462</v>
      </c>
      <c r="I892" s="304">
        <f t="shared" ca="1" si="390"/>
        <v>130.72890348429317</v>
      </c>
      <c r="J892" s="306">
        <f t="shared" ca="1" si="391"/>
        <v>889.84792314375909</v>
      </c>
      <c r="K892" s="307">
        <f t="shared" ca="1" si="392"/>
        <v>-11.355854929893699</v>
      </c>
      <c r="L892" s="304">
        <f t="shared" ca="1" si="377"/>
        <v>889.92037945225763</v>
      </c>
      <c r="M892" s="306">
        <f t="shared" ca="1" si="393"/>
        <v>-1.4755483341175277</v>
      </c>
      <c r="N892" s="304">
        <f t="shared" ca="1" si="394"/>
        <v>-84.542692012493802</v>
      </c>
      <c r="P892" s="310">
        <f t="shared" ca="1" si="395"/>
        <v>23</v>
      </c>
      <c r="Q892" s="304">
        <f t="shared" ca="1" si="396"/>
        <v>0</v>
      </c>
      <c r="R892" s="306">
        <f t="shared" ca="1" si="397"/>
        <v>0</v>
      </c>
      <c r="S892" s="307">
        <f t="shared" ca="1" si="398"/>
        <v>7.150000000000003</v>
      </c>
      <c r="T892" s="304">
        <f t="shared" ca="1" si="378"/>
        <v>70.141500000000036</v>
      </c>
      <c r="U892" s="311">
        <f t="shared" ca="1" si="379"/>
        <v>0</v>
      </c>
      <c r="V892" s="306">
        <f t="shared" ca="1" si="380"/>
        <v>1.2263918825297166</v>
      </c>
      <c r="W892" s="304">
        <f t="shared" ca="1" si="381"/>
        <v>54.701840386147936</v>
      </c>
      <c r="Y892" s="314" t="str">
        <f t="shared" ca="1" si="399"/>
        <v/>
      </c>
      <c r="Z892" s="315" t="str">
        <f t="shared" ca="1" si="400"/>
        <v/>
      </c>
      <c r="AA892" s="316" t="str">
        <f t="shared" ca="1" si="401"/>
        <v/>
      </c>
      <c r="AC892" s="310" t="e">
        <f t="shared" ca="1" si="402"/>
        <v>#N/A</v>
      </c>
      <c r="AD892" s="323" t="e">
        <f t="shared" ca="1" si="403"/>
        <v>#N/A</v>
      </c>
      <c r="AE892" s="324" t="e">
        <f t="shared" ca="1" si="382"/>
        <v>#N/A</v>
      </c>
      <c r="AG892" s="306">
        <f t="shared" ca="1" si="404"/>
        <v>2.1149615862943714</v>
      </c>
      <c r="AH892" s="304">
        <f t="shared" ca="1" si="405"/>
        <v>-7.6505723362045499</v>
      </c>
    </row>
    <row r="893" spans="1:34" x14ac:dyDescent="0.2">
      <c r="A893" s="347">
        <f t="shared" ca="1" si="383"/>
        <v>1E-4</v>
      </c>
      <c r="B893" s="304">
        <f t="shared" ca="1" si="384"/>
        <v>36.734200000001387</v>
      </c>
      <c r="D893" s="306">
        <f t="shared" ca="1" si="385"/>
        <v>-0.72760363990068122</v>
      </c>
      <c r="E893" s="307">
        <f t="shared" ca="1" si="386"/>
        <v>-2.1940705668304101</v>
      </c>
      <c r="F893" s="304">
        <f t="shared" ca="1" si="387"/>
        <v>2.3115693173747216</v>
      </c>
      <c r="G893" s="306">
        <f t="shared" ca="1" si="388"/>
        <v>12.432774127586539</v>
      </c>
      <c r="H893" s="307">
        <f t="shared" ca="1" si="389"/>
        <v>-130.1365729923113</v>
      </c>
      <c r="I893" s="304">
        <f t="shared" ca="1" si="390"/>
        <v>130.72911497708057</v>
      </c>
      <c r="J893" s="306">
        <f t="shared" ca="1" si="391"/>
        <v>889.84792314375909</v>
      </c>
      <c r="K893" s="307">
        <f t="shared" ca="1" si="392"/>
        <v>-11.368868576222576</v>
      </c>
      <c r="L893" s="304">
        <f t="shared" ca="1" si="377"/>
        <v>889.920545608407</v>
      </c>
      <c r="M893" s="306">
        <f t="shared" ca="1" si="393"/>
        <v>-1.4755490477845896</v>
      </c>
      <c r="N893" s="304">
        <f t="shared" ca="1" si="394"/>
        <v>-84.542732902604413</v>
      </c>
      <c r="P893" s="310">
        <f t="shared" ca="1" si="395"/>
        <v>23</v>
      </c>
      <c r="Q893" s="304">
        <f t="shared" ca="1" si="396"/>
        <v>0</v>
      </c>
      <c r="R893" s="306">
        <f t="shared" ca="1" si="397"/>
        <v>0</v>
      </c>
      <c r="S893" s="307">
        <f t="shared" ca="1" si="398"/>
        <v>7.150000000000003</v>
      </c>
      <c r="T893" s="304">
        <f t="shared" ca="1" si="378"/>
        <v>70.141500000000036</v>
      </c>
      <c r="U893" s="311">
        <f t="shared" ca="1" si="379"/>
        <v>0</v>
      </c>
      <c r="V893" s="306">
        <f t="shared" ca="1" si="380"/>
        <v>1.2263934785142918</v>
      </c>
      <c r="W893" s="304">
        <f t="shared" ca="1" si="381"/>
        <v>54.702088566543814</v>
      </c>
      <c r="Y893" s="314" t="str">
        <f t="shared" ca="1" si="399"/>
        <v/>
      </c>
      <c r="Z893" s="315" t="str">
        <f t="shared" ca="1" si="400"/>
        <v/>
      </c>
      <c r="AA893" s="316" t="str">
        <f t="shared" ca="1" si="401"/>
        <v/>
      </c>
      <c r="AC893" s="310" t="e">
        <f t="shared" ca="1" si="402"/>
        <v>#N/A</v>
      </c>
      <c r="AD893" s="323" t="e">
        <f t="shared" ca="1" si="403"/>
        <v>#N/A</v>
      </c>
      <c r="AE893" s="324" t="e">
        <f t="shared" ca="1" si="382"/>
        <v>#N/A</v>
      </c>
      <c r="AG893" s="306">
        <f t="shared" ca="1" si="404"/>
        <v>2.1149275413241755</v>
      </c>
      <c r="AH893" s="304">
        <f t="shared" ca="1" si="405"/>
        <v>-7.6506070470136942</v>
      </c>
    </row>
    <row r="894" spans="1:34" x14ac:dyDescent="0.2">
      <c r="A894" s="347">
        <f t="shared" ca="1" si="383"/>
        <v>1E-4</v>
      </c>
      <c r="B894" s="304">
        <f t="shared" ca="1" si="384"/>
        <v>36.73430000000139</v>
      </c>
      <c r="D894" s="306">
        <f t="shared" ca="1" si="385"/>
        <v>-0.72760150575090854</v>
      </c>
      <c r="E894" s="307">
        <f t="shared" ca="1" si="386"/>
        <v>-2.1940354943495226</v>
      </c>
      <c r="F894" s="304">
        <f t="shared" ca="1" si="387"/>
        <v>2.3115353559131524</v>
      </c>
      <c r="G894" s="306">
        <f t="shared" ca="1" si="388"/>
        <v>12.432701367435964</v>
      </c>
      <c r="H894" s="307">
        <f t="shared" ca="1" si="389"/>
        <v>-130.13679239586074</v>
      </c>
      <c r="I894" s="304">
        <f t="shared" ca="1" si="390"/>
        <v>130.72932646646353</v>
      </c>
      <c r="J894" s="306">
        <f t="shared" ca="1" si="391"/>
        <v>889.84792314375909</v>
      </c>
      <c r="K894" s="307">
        <f t="shared" ca="1" si="392"/>
        <v>-11.381882244491985</v>
      </c>
      <c r="L894" s="304">
        <f t="shared" ca="1" si="377"/>
        <v>889.92071195510948</v>
      </c>
      <c r="M894" s="306">
        <f t="shared" ca="1" si="393"/>
        <v>-1.475549761445166</v>
      </c>
      <c r="N894" s="304">
        <f t="shared" ca="1" si="394"/>
        <v>-84.542773792343453</v>
      </c>
      <c r="P894" s="310">
        <f t="shared" ca="1" si="395"/>
        <v>23</v>
      </c>
      <c r="Q894" s="304">
        <f t="shared" ca="1" si="396"/>
        <v>0</v>
      </c>
      <c r="R894" s="306">
        <f t="shared" ca="1" si="397"/>
        <v>0</v>
      </c>
      <c r="S894" s="307">
        <f t="shared" ca="1" si="398"/>
        <v>7.150000000000003</v>
      </c>
      <c r="T894" s="304">
        <f t="shared" ca="1" si="378"/>
        <v>70.141500000000036</v>
      </c>
      <c r="U894" s="311">
        <f t="shared" ca="1" si="379"/>
        <v>0</v>
      </c>
      <c r="V894" s="306">
        <f t="shared" ca="1" si="380"/>
        <v>1.2263950745036365</v>
      </c>
      <c r="W894" s="304">
        <f t="shared" ca="1" si="381"/>
        <v>54.702336745050346</v>
      </c>
      <c r="Y894" s="314" t="str">
        <f t="shared" ca="1" si="399"/>
        <v/>
      </c>
      <c r="Z894" s="315" t="str">
        <f t="shared" ca="1" si="400"/>
        <v/>
      </c>
      <c r="AA894" s="316" t="str">
        <f t="shared" ca="1" si="401"/>
        <v/>
      </c>
      <c r="AC894" s="310" t="e">
        <f t="shared" ca="1" si="402"/>
        <v>#N/A</v>
      </c>
      <c r="AD894" s="323" t="e">
        <f t="shared" ca="1" si="403"/>
        <v>#N/A</v>
      </c>
      <c r="AE894" s="324" t="e">
        <f t="shared" ca="1" si="382"/>
        <v>#N/A</v>
      </c>
      <c r="AG894" s="306">
        <f t="shared" ca="1" si="404"/>
        <v>2.1148934966072233</v>
      </c>
      <c r="AH894" s="304">
        <f t="shared" ca="1" si="405"/>
        <v>-7.6506417575585726</v>
      </c>
    </row>
    <row r="895" spans="1:34" x14ac:dyDescent="0.2">
      <c r="A895" s="347">
        <f t="shared" ca="1" si="383"/>
        <v>1E-4</v>
      </c>
      <c r="B895" s="304">
        <f t="shared" ca="1" si="384"/>
        <v>36.734400000001393</v>
      </c>
      <c r="D895" s="306">
        <f t="shared" ca="1" si="385"/>
        <v>-0.72759937157570942</v>
      </c>
      <c r="E895" s="307">
        <f t="shared" ca="1" si="386"/>
        <v>-2.1940004221355673</v>
      </c>
      <c r="F895" s="304">
        <f t="shared" ca="1" si="387"/>
        <v>2.3115013947320939</v>
      </c>
      <c r="G895" s="306">
        <f t="shared" ca="1" si="388"/>
        <v>12.432628607498806</v>
      </c>
      <c r="H895" s="307">
        <f t="shared" ca="1" si="389"/>
        <v>-130.13701179590296</v>
      </c>
      <c r="I895" s="304">
        <f t="shared" ca="1" si="390"/>
        <v>130.72953795244206</v>
      </c>
      <c r="J895" s="306">
        <f t="shared" ca="1" si="391"/>
        <v>889.84792314375909</v>
      </c>
      <c r="K895" s="307">
        <f t="shared" ca="1" si="392"/>
        <v>-11.394895934701573</v>
      </c>
      <c r="L895" s="304">
        <f t="shared" ca="1" si="377"/>
        <v>889.92087849236577</v>
      </c>
      <c r="M895" s="306">
        <f t="shared" ca="1" si="393"/>
        <v>-1.4755504750992567</v>
      </c>
      <c r="N895" s="304">
        <f t="shared" ca="1" si="394"/>
        <v>-84.54281468171088</v>
      </c>
      <c r="P895" s="310">
        <f t="shared" ca="1" si="395"/>
        <v>23</v>
      </c>
      <c r="Q895" s="304">
        <f t="shared" ca="1" si="396"/>
        <v>0</v>
      </c>
      <c r="R895" s="306">
        <f t="shared" ca="1" si="397"/>
        <v>0</v>
      </c>
      <c r="S895" s="307">
        <f t="shared" ca="1" si="398"/>
        <v>7.150000000000003</v>
      </c>
      <c r="T895" s="304">
        <f t="shared" ca="1" si="378"/>
        <v>70.141500000000036</v>
      </c>
      <c r="U895" s="311">
        <f t="shared" ca="1" si="379"/>
        <v>0</v>
      </c>
      <c r="V895" s="306">
        <f t="shared" ca="1" si="380"/>
        <v>1.2263966704977496</v>
      </c>
      <c r="W895" s="304">
        <f t="shared" ca="1" si="381"/>
        <v>54.702584921667444</v>
      </c>
      <c r="Y895" s="314" t="str">
        <f t="shared" ca="1" si="399"/>
        <v/>
      </c>
      <c r="Z895" s="315" t="str">
        <f t="shared" ca="1" si="400"/>
        <v/>
      </c>
      <c r="AA895" s="316" t="str">
        <f t="shared" ca="1" si="401"/>
        <v/>
      </c>
      <c r="AC895" s="310" t="e">
        <f t="shared" ca="1" si="402"/>
        <v>#N/A</v>
      </c>
      <c r="AD895" s="323" t="e">
        <f t="shared" ca="1" si="403"/>
        <v>#N/A</v>
      </c>
      <c r="AE895" s="324" t="e">
        <f t="shared" ca="1" si="382"/>
        <v>#N/A</v>
      </c>
      <c r="AG895" s="306">
        <f t="shared" ca="1" si="404"/>
        <v>2.114859452143488</v>
      </c>
      <c r="AH895" s="304">
        <f t="shared" ca="1" si="405"/>
        <v>-7.6506764678392063</v>
      </c>
    </row>
    <row r="896" spans="1:34" x14ac:dyDescent="0.2">
      <c r="A896" s="347">
        <f t="shared" ca="1" si="383"/>
        <v>1E-4</v>
      </c>
      <c r="B896" s="304">
        <f t="shared" ca="1" si="384"/>
        <v>36.734500000001397</v>
      </c>
      <c r="D896" s="306">
        <f t="shared" ca="1" si="385"/>
        <v>-0.72759723737508564</v>
      </c>
      <c r="E896" s="307">
        <f t="shared" ca="1" si="386"/>
        <v>-2.1939653501885585</v>
      </c>
      <c r="F896" s="304">
        <f t="shared" ca="1" si="387"/>
        <v>2.3114674338315608</v>
      </c>
      <c r="G896" s="306">
        <f t="shared" ca="1" si="388"/>
        <v>12.432555847775069</v>
      </c>
      <c r="H896" s="307">
        <f t="shared" ca="1" si="389"/>
        <v>-130.13723119243798</v>
      </c>
      <c r="I896" s="304">
        <f t="shared" ca="1" si="390"/>
        <v>130.72974943501615</v>
      </c>
      <c r="J896" s="306">
        <f t="shared" ca="1" si="391"/>
        <v>889.84792314375909</v>
      </c>
      <c r="K896" s="307">
        <f t="shared" ca="1" si="392"/>
        <v>-11.407909646850991</v>
      </c>
      <c r="L896" s="304">
        <f t="shared" ca="1" si="377"/>
        <v>889.92104522017689</v>
      </c>
      <c r="M896" s="306">
        <f t="shared" ca="1" si="393"/>
        <v>-1.475551188746862</v>
      </c>
      <c r="N896" s="304">
        <f t="shared" ca="1" si="394"/>
        <v>-84.54285557070672</v>
      </c>
      <c r="P896" s="310">
        <f t="shared" ca="1" si="395"/>
        <v>23</v>
      </c>
      <c r="Q896" s="304">
        <f t="shared" ca="1" si="396"/>
        <v>0</v>
      </c>
      <c r="R896" s="306">
        <f t="shared" ca="1" si="397"/>
        <v>0</v>
      </c>
      <c r="S896" s="307">
        <f t="shared" ca="1" si="398"/>
        <v>7.150000000000003</v>
      </c>
      <c r="T896" s="304">
        <f t="shared" ca="1" si="378"/>
        <v>70.141500000000036</v>
      </c>
      <c r="U896" s="311">
        <f t="shared" ca="1" si="379"/>
        <v>0</v>
      </c>
      <c r="V896" s="306">
        <f t="shared" ca="1" si="380"/>
        <v>1.2263982664966322</v>
      </c>
      <c r="W896" s="304">
        <f t="shared" ca="1" si="381"/>
        <v>54.702833096395139</v>
      </c>
      <c r="Y896" s="314" t="str">
        <f t="shared" ca="1" si="399"/>
        <v/>
      </c>
      <c r="Z896" s="315" t="str">
        <f t="shared" ca="1" si="400"/>
        <v/>
      </c>
      <c r="AA896" s="316" t="str">
        <f t="shared" ca="1" si="401"/>
        <v/>
      </c>
      <c r="AC896" s="310" t="e">
        <f t="shared" ca="1" si="402"/>
        <v>#N/A</v>
      </c>
      <c r="AD896" s="323" t="e">
        <f t="shared" ca="1" si="403"/>
        <v>#N/A</v>
      </c>
      <c r="AE896" s="324" t="e">
        <f t="shared" ca="1" si="382"/>
        <v>#N/A</v>
      </c>
      <c r="AG896" s="306">
        <f t="shared" ca="1" si="404"/>
        <v>2.1148254079329876</v>
      </c>
      <c r="AH896" s="304">
        <f t="shared" ca="1" si="405"/>
        <v>-7.650711177855583</v>
      </c>
    </row>
    <row r="897" spans="1:34" x14ac:dyDescent="0.2">
      <c r="A897" s="347">
        <f t="shared" ca="1" si="383"/>
        <v>1E-4</v>
      </c>
      <c r="B897" s="304">
        <f t="shared" ca="1" si="384"/>
        <v>36.7346000000014</v>
      </c>
      <c r="D897" s="306">
        <f t="shared" ca="1" si="385"/>
        <v>-0.72759510314903708</v>
      </c>
      <c r="E897" s="307">
        <f t="shared" ca="1" si="386"/>
        <v>-2.1939302785084873</v>
      </c>
      <c r="F897" s="304">
        <f t="shared" ca="1" si="387"/>
        <v>2.3114334732115451</v>
      </c>
      <c r="G897" s="306">
        <f t="shared" ca="1" si="388"/>
        <v>12.432483088264753</v>
      </c>
      <c r="H897" s="307">
        <f t="shared" ca="1" si="389"/>
        <v>-130.13745058546584</v>
      </c>
      <c r="I897" s="304">
        <f t="shared" ca="1" si="390"/>
        <v>130.72996091418582</v>
      </c>
      <c r="J897" s="306">
        <f t="shared" ca="1" si="391"/>
        <v>889.84792314375909</v>
      </c>
      <c r="K897" s="307">
        <f t="shared" ca="1" si="392"/>
        <v>-11.420923380939886</v>
      </c>
      <c r="L897" s="304">
        <f t="shared" ca="1" si="377"/>
        <v>889.92121213854352</v>
      </c>
      <c r="M897" s="306">
        <f t="shared" ca="1" si="393"/>
        <v>-1.475551902387982</v>
      </c>
      <c r="N897" s="304">
        <f t="shared" ca="1" si="394"/>
        <v>-84.54289645933099</v>
      </c>
      <c r="P897" s="310">
        <f t="shared" ca="1" si="395"/>
        <v>23</v>
      </c>
      <c r="Q897" s="304">
        <f t="shared" ca="1" si="396"/>
        <v>0</v>
      </c>
      <c r="R897" s="306">
        <f t="shared" ca="1" si="397"/>
        <v>0</v>
      </c>
      <c r="S897" s="307">
        <f t="shared" ca="1" si="398"/>
        <v>7.150000000000003</v>
      </c>
      <c r="T897" s="304">
        <f t="shared" ca="1" si="378"/>
        <v>70.141500000000036</v>
      </c>
      <c r="U897" s="311">
        <f t="shared" ca="1" si="379"/>
        <v>0</v>
      </c>
      <c r="V897" s="306">
        <f t="shared" ca="1" si="380"/>
        <v>1.2263998625002834</v>
      </c>
      <c r="W897" s="304">
        <f t="shared" ca="1" si="381"/>
        <v>54.703081269233401</v>
      </c>
      <c r="Y897" s="314" t="str">
        <f t="shared" ca="1" si="399"/>
        <v/>
      </c>
      <c r="Z897" s="315" t="str">
        <f t="shared" ca="1" si="400"/>
        <v/>
      </c>
      <c r="AA897" s="316" t="str">
        <f t="shared" ca="1" si="401"/>
        <v/>
      </c>
      <c r="AC897" s="310" t="e">
        <f t="shared" ca="1" si="402"/>
        <v>#N/A</v>
      </c>
      <c r="AD897" s="323" t="e">
        <f t="shared" ca="1" si="403"/>
        <v>#N/A</v>
      </c>
      <c r="AE897" s="324" t="e">
        <f t="shared" ca="1" si="382"/>
        <v>#N/A</v>
      </c>
      <c r="AG897" s="306">
        <f t="shared" ca="1" si="404"/>
        <v>2.1147913639757121</v>
      </c>
      <c r="AH897" s="304">
        <f t="shared" ca="1" si="405"/>
        <v>-7.6507458876077088</v>
      </c>
    </row>
    <row r="898" spans="1:34" x14ac:dyDescent="0.2">
      <c r="A898" s="347">
        <f t="shared" ca="1" si="383"/>
        <v>1E-4</v>
      </c>
      <c r="B898" s="304">
        <f t="shared" ca="1" si="384"/>
        <v>36.734700000001403</v>
      </c>
      <c r="D898" s="306">
        <f t="shared" ca="1" si="385"/>
        <v>-0.72759296889756286</v>
      </c>
      <c r="E898" s="307">
        <f t="shared" ca="1" si="386"/>
        <v>-2.1938952070953626</v>
      </c>
      <c r="F898" s="304">
        <f t="shared" ca="1" si="387"/>
        <v>2.3113995128720553</v>
      </c>
      <c r="G898" s="306">
        <f t="shared" ca="1" si="388"/>
        <v>12.432410328967864</v>
      </c>
      <c r="H898" s="307">
        <f t="shared" ca="1" si="389"/>
        <v>-130.13766997498655</v>
      </c>
      <c r="I898" s="304">
        <f t="shared" ca="1" si="390"/>
        <v>130.73017238995112</v>
      </c>
      <c r="J898" s="306">
        <f t="shared" ca="1" si="391"/>
        <v>889.84792314375909</v>
      </c>
      <c r="K898" s="307">
        <f t="shared" ca="1" si="392"/>
        <v>-11.433937136967909</v>
      </c>
      <c r="L898" s="304">
        <f t="shared" ca="1" si="377"/>
        <v>889.92137924746669</v>
      </c>
      <c r="M898" s="306">
        <f t="shared" ca="1" si="393"/>
        <v>-1.4755526160226164</v>
      </c>
      <c r="N898" s="304">
        <f t="shared" ca="1" si="394"/>
        <v>-84.54293734758366</v>
      </c>
      <c r="P898" s="310">
        <f t="shared" ca="1" si="395"/>
        <v>23</v>
      </c>
      <c r="Q898" s="304">
        <f t="shared" ca="1" si="396"/>
        <v>0</v>
      </c>
      <c r="R898" s="306">
        <f t="shared" ca="1" si="397"/>
        <v>0</v>
      </c>
      <c r="S898" s="307">
        <f t="shared" ca="1" si="398"/>
        <v>7.150000000000003</v>
      </c>
      <c r="T898" s="304">
        <f t="shared" ca="1" si="378"/>
        <v>70.141500000000036</v>
      </c>
      <c r="U898" s="311">
        <f t="shared" ca="1" si="379"/>
        <v>0</v>
      </c>
      <c r="V898" s="306">
        <f t="shared" ca="1" si="380"/>
        <v>1.2264014585087031</v>
      </c>
      <c r="W898" s="304">
        <f t="shared" ca="1" si="381"/>
        <v>54.703329440182202</v>
      </c>
      <c r="Y898" s="314" t="str">
        <f t="shared" ca="1" si="399"/>
        <v/>
      </c>
      <c r="Z898" s="315" t="str">
        <f t="shared" ca="1" si="400"/>
        <v/>
      </c>
      <c r="AA898" s="316" t="str">
        <f t="shared" ca="1" si="401"/>
        <v/>
      </c>
      <c r="AC898" s="310" t="e">
        <f t="shared" ca="1" si="402"/>
        <v>#N/A</v>
      </c>
      <c r="AD898" s="323" t="e">
        <f t="shared" ca="1" si="403"/>
        <v>#N/A</v>
      </c>
      <c r="AE898" s="324" t="e">
        <f t="shared" ca="1" si="382"/>
        <v>#N/A</v>
      </c>
      <c r="AG898" s="306">
        <f t="shared" ca="1" si="404"/>
        <v>2.1147573202716696</v>
      </c>
      <c r="AH898" s="304">
        <f t="shared" ca="1" si="405"/>
        <v>-7.6507805970955776</v>
      </c>
    </row>
    <row r="899" spans="1:34" x14ac:dyDescent="0.2">
      <c r="A899" s="347">
        <f t="shared" ca="1" si="383"/>
        <v>1E-4</v>
      </c>
      <c r="B899" s="304">
        <f t="shared" ca="1" si="384"/>
        <v>36.734800000001407</v>
      </c>
      <c r="D899" s="306">
        <f t="shared" ca="1" si="385"/>
        <v>-0.72759083462066565</v>
      </c>
      <c r="E899" s="307">
        <f t="shared" ca="1" si="386"/>
        <v>-2.1938601359491869</v>
      </c>
      <c r="F899" s="304">
        <f t="shared" ca="1" si="387"/>
        <v>2.3113655528130947</v>
      </c>
      <c r="G899" s="306">
        <f t="shared" ca="1" si="388"/>
        <v>12.432337569884401</v>
      </c>
      <c r="H899" s="307">
        <f t="shared" ca="1" si="389"/>
        <v>-130.13788936100013</v>
      </c>
      <c r="I899" s="304">
        <f t="shared" ca="1" si="390"/>
        <v>130.7303838623121</v>
      </c>
      <c r="J899" s="306">
        <f t="shared" ca="1" si="391"/>
        <v>889.84792314375909</v>
      </c>
      <c r="K899" s="307">
        <f t="shared" ca="1" si="392"/>
        <v>-11.446950914934709</v>
      </c>
      <c r="L899" s="304">
        <f t="shared" ca="1" si="377"/>
        <v>889.92154654694718</v>
      </c>
      <c r="M899" s="306">
        <f t="shared" ca="1" si="393"/>
        <v>-1.4755533296507657</v>
      </c>
      <c r="N899" s="304">
        <f t="shared" ca="1" si="394"/>
        <v>-84.542978235464744</v>
      </c>
      <c r="P899" s="310">
        <f t="shared" ca="1" si="395"/>
        <v>23</v>
      </c>
      <c r="Q899" s="304">
        <f t="shared" ca="1" si="396"/>
        <v>0</v>
      </c>
      <c r="R899" s="306">
        <f t="shared" ca="1" si="397"/>
        <v>0</v>
      </c>
      <c r="S899" s="307">
        <f t="shared" ca="1" si="398"/>
        <v>7.150000000000003</v>
      </c>
      <c r="T899" s="304">
        <f t="shared" ca="1" si="378"/>
        <v>70.141500000000036</v>
      </c>
      <c r="U899" s="311">
        <f t="shared" ca="1" si="379"/>
        <v>0</v>
      </c>
      <c r="V899" s="306">
        <f t="shared" ca="1" si="380"/>
        <v>1.2264030545218918</v>
      </c>
      <c r="W899" s="304">
        <f t="shared" ca="1" si="381"/>
        <v>54.703577609241613</v>
      </c>
      <c r="Y899" s="314" t="str">
        <f t="shared" ca="1" si="399"/>
        <v/>
      </c>
      <c r="Z899" s="315" t="str">
        <f t="shared" ca="1" si="400"/>
        <v/>
      </c>
      <c r="AA899" s="316" t="str">
        <f t="shared" ca="1" si="401"/>
        <v/>
      </c>
      <c r="AC899" s="310" t="e">
        <f t="shared" ca="1" si="402"/>
        <v>#N/A</v>
      </c>
      <c r="AD899" s="323" t="e">
        <f t="shared" ca="1" si="403"/>
        <v>#N/A</v>
      </c>
      <c r="AE899" s="324" t="e">
        <f t="shared" ca="1" si="382"/>
        <v>#N/A</v>
      </c>
      <c r="AG899" s="306">
        <f t="shared" ca="1" si="404"/>
        <v>2.1147232768208655</v>
      </c>
      <c r="AH899" s="304">
        <f t="shared" ca="1" si="405"/>
        <v>-7.6508153063191857</v>
      </c>
    </row>
    <row r="900" spans="1:34" x14ac:dyDescent="0.2">
      <c r="A900" s="347">
        <f t="shared" ca="1" si="383"/>
        <v>1E-4</v>
      </c>
      <c r="B900" s="304">
        <f t="shared" ca="1" si="384"/>
        <v>36.73490000000141</v>
      </c>
      <c r="D900" s="306">
        <f t="shared" ca="1" si="385"/>
        <v>-0.72758870031834588</v>
      </c>
      <c r="E900" s="307">
        <f t="shared" ca="1" si="386"/>
        <v>-2.1938250650699498</v>
      </c>
      <c r="F900" s="304">
        <f t="shared" ca="1" si="387"/>
        <v>2.3113315930346534</v>
      </c>
      <c r="G900" s="306">
        <f t="shared" ca="1" si="388"/>
        <v>12.43226481101437</v>
      </c>
      <c r="H900" s="307">
        <f t="shared" ca="1" si="389"/>
        <v>-130.13810874350665</v>
      </c>
      <c r="I900" s="304">
        <f t="shared" ca="1" si="390"/>
        <v>130.73059533126874</v>
      </c>
      <c r="J900" s="306">
        <f t="shared" ca="1" si="391"/>
        <v>889.84792314375909</v>
      </c>
      <c r="K900" s="307">
        <f t="shared" ca="1" si="392"/>
        <v>-11.459964714839934</v>
      </c>
      <c r="L900" s="304">
        <f t="shared" ref="L900:L963" ca="1" si="406">SQRT(pos_x^2+pos_z^2)</f>
        <v>889.9217140369858</v>
      </c>
      <c r="M900" s="306">
        <f t="shared" ca="1" si="393"/>
        <v>-1.4755540432724299</v>
      </c>
      <c r="N900" s="304">
        <f t="shared" ca="1" si="394"/>
        <v>-84.543019122974272</v>
      </c>
      <c r="P900" s="310">
        <f t="shared" ca="1" si="395"/>
        <v>23</v>
      </c>
      <c r="Q900" s="304">
        <f t="shared" ca="1" si="396"/>
        <v>0</v>
      </c>
      <c r="R900" s="306">
        <f t="shared" ca="1" si="397"/>
        <v>0</v>
      </c>
      <c r="S900" s="307">
        <f t="shared" ca="1" si="398"/>
        <v>7.150000000000003</v>
      </c>
      <c r="T900" s="304">
        <f t="shared" ref="T900:T963" ca="1" si="407">m*g</f>
        <v>70.141500000000036</v>
      </c>
      <c r="U900" s="311">
        <f t="shared" ref="U900:U963" ca="1" si="408">IF(pos_xz&lt;L_rampe,Poids*COS(Beta),0)</f>
        <v>0</v>
      </c>
      <c r="V900" s="306">
        <f t="shared" ref="V900:V963" ca="1" si="409">Rho_moyen*(20000-Alt_rampe-pos_z)/(20000+Alt_rampe+pos_z)</f>
        <v>1.2264046505398492</v>
      </c>
      <c r="W900" s="304">
        <f t="shared" ref="W900:W963" ca="1" si="410">1/2*Rho*Sref*Cx*vit_xz^2</f>
        <v>54.703825776411598</v>
      </c>
      <c r="Y900" s="314" t="str">
        <f t="shared" ca="1" si="399"/>
        <v/>
      </c>
      <c r="Z900" s="315" t="str">
        <f t="shared" ca="1" si="400"/>
        <v/>
      </c>
      <c r="AA900" s="316" t="str">
        <f t="shared" ca="1" si="401"/>
        <v/>
      </c>
      <c r="AC900" s="310" t="e">
        <f t="shared" ca="1" si="402"/>
        <v>#N/A</v>
      </c>
      <c r="AD900" s="323" t="e">
        <f t="shared" ca="1" si="403"/>
        <v>#N/A</v>
      </c>
      <c r="AE900" s="324" t="e">
        <f t="shared" ref="AE900:AE963" ca="1" si="411">IF(t&lt;T_para, pos_z, NA())</f>
        <v>#N/A</v>
      </c>
      <c r="AG900" s="306">
        <f t="shared" ca="1" si="404"/>
        <v>2.1146892336232872</v>
      </c>
      <c r="AH900" s="304">
        <f t="shared" ca="1" si="405"/>
        <v>-7.6508500152785439</v>
      </c>
    </row>
    <row r="901" spans="1:34" x14ac:dyDescent="0.2">
      <c r="A901" s="347">
        <f t="shared" ref="A901:A964" ca="1" si="412">IF(B900+0.01&lt;=T_ini+ROUNDUP(Temps_fin_propu,0), 0.01, IF(K900&gt;0, 0.1, 0.0001))</f>
        <v>1E-4</v>
      </c>
      <c r="B901" s="304">
        <f t="shared" ref="B901:B964" ca="1" si="413">B900+pas</f>
        <v>36.735000000001413</v>
      </c>
      <c r="D901" s="306">
        <f t="shared" ref="D901:D964" ca="1" si="414">IF(AND(L900&lt;L_rampe,Poussee&lt;Poids*SIN(M900)),0,(-W900+Poussee)/m*COS(M900)-U900/m*SIN(M900))</f>
        <v>-0.72758656599060267</v>
      </c>
      <c r="E901" s="307">
        <f t="shared" ref="E901:E964" ca="1" si="415">IF(AND(L900&lt;L_rampe,Poussee&lt;Poids*SIN(M900)),0,(-W900+Poussee)/m*SIN(M900)+U900/m*COS(M900)-Poids/m)</f>
        <v>-2.1937899944576564</v>
      </c>
      <c r="F901" s="304">
        <f t="shared" ref="F901:F964" ca="1" si="416">SQRT(acc_x^2+acc_z^2)</f>
        <v>2.3112976335367375</v>
      </c>
      <c r="G901" s="306">
        <f t="shared" ref="G901:G964" ca="1" si="417">G900+acc_x*pas</f>
        <v>12.432192052357772</v>
      </c>
      <c r="H901" s="307">
        <f t="shared" ref="H901:H964" ca="1" si="418">H900+acc_z*pas</f>
        <v>-130.1383281225061</v>
      </c>
      <c r="I901" s="304">
        <f t="shared" ref="I901:I964" ca="1" si="419">SQRT(vit_x^2+vit_z^2)</f>
        <v>130.73080679682113</v>
      </c>
      <c r="J901" s="306">
        <f t="shared" ref="J901:J964" ca="1" si="420">J900+0.5*(vit_x+G900)*pas*(K900&gt;=0)</f>
        <v>889.84792314375909</v>
      </c>
      <c r="K901" s="307">
        <f t="shared" ref="K901:K964" ca="1" si="421">K900+0.5*(vit_z+H900)*pas</f>
        <v>-11.472978536683234</v>
      </c>
      <c r="L901" s="304">
        <f t="shared" ca="1" si="406"/>
        <v>889.92188171758346</v>
      </c>
      <c r="M901" s="306">
        <f t="shared" ref="M901:M964" ca="1" si="422">IF(AND(L900&gt;L_rampe,G901&gt;0),ATAN2(G901,H901),$M$4)</f>
        <v>-1.4755547568876091</v>
      </c>
      <c r="N901" s="304">
        <f t="shared" ref="N901:N964" ca="1" si="423">DEGREES(Beta)</f>
        <v>-84.543060010112242</v>
      </c>
      <c r="P901" s="310">
        <f t="shared" ref="P901:P964" ca="1" si="424">MATCH(t-pas/2-T_ini,CdP_t)</f>
        <v>23</v>
      </c>
      <c r="Q901" s="304">
        <f t="shared" ref="Q901:Q964" ca="1" si="425">(INDEX(CdP,2,i_P+1)-INDEX(CdP,2,i_P+0))/(INDEX(CdP,1,i_P+1)-INDEX(CdP,1,i_P+0))*(t-pas/2-T_ini-INDEX(CdP,1,i_P+0))+INDEX(CdP,2,i_P+0)</f>
        <v>0</v>
      </c>
      <c r="R901" s="306">
        <f t="shared" ref="R901:R964" ca="1" si="426">Poussee/(g*ISP)</f>
        <v>0</v>
      </c>
      <c r="S901" s="307">
        <f t="shared" ref="S901:S964" ca="1" si="427">S900-Débit*pas</f>
        <v>7.150000000000003</v>
      </c>
      <c r="T901" s="304">
        <f t="shared" ca="1" si="407"/>
        <v>70.141500000000036</v>
      </c>
      <c r="U901" s="311">
        <f t="shared" ca="1" si="408"/>
        <v>0</v>
      </c>
      <c r="V901" s="306">
        <f t="shared" ca="1" si="409"/>
        <v>1.2264062465625754</v>
      </c>
      <c r="W901" s="304">
        <f t="shared" ca="1" si="410"/>
        <v>54.704073941692187</v>
      </c>
      <c r="Y901" s="314" t="str">
        <f t="shared" ref="Y901:Y964" ca="1" si="428">IF(AND(pos_z&lt;=0,K900&gt;0),"Impact balistique","") &amp; IF(AND(H902&lt;0,vit_z&gt;=0),"Apogée","") &amp; IF(AND(Poussee=0,Q900&gt;0),"Fin de propulsion","") &amp; IF(AND(L902&gt;L_rampe,pos_xz&lt;=L_rampe),"Sortie de rampe","")</f>
        <v/>
      </c>
      <c r="Z901" s="315" t="str">
        <f t="shared" ref="Z901:Z964" ca="1" si="429">IF(ABS(t-T_para)&lt;pas/2,"Para","")</f>
        <v/>
      </c>
      <c r="AA901" s="316" t="str">
        <f t="shared" ref="AA901:AA964" ca="1" si="430">IF(ABS(t-T_satellite)&lt;pas/2,"Satellite","")</f>
        <v/>
      </c>
      <c r="AC901" s="310" t="e">
        <f t="shared" ref="AC901:AC964" ca="1" si="431">IF(ABS(t-ROUND(t,0))&lt;0.001,t,NA())</f>
        <v>#N/A</v>
      </c>
      <c r="AD901" s="323" t="e">
        <f t="shared" ref="AD901:AD964" ca="1" si="432">IF(ABS(t-ROUND(t,0))&lt;0.001,pos_x,NA())</f>
        <v>#N/A</v>
      </c>
      <c r="AE901" s="324" t="e">
        <f t="shared" ca="1" si="411"/>
        <v>#N/A</v>
      </c>
      <c r="AG901" s="306">
        <f t="shared" ref="AG901:AG964" ca="1" si="433">IF(AND(L900&lt;L_rampe,Poussee&lt;Poids*SIN(M900)),0,(-W900+Poussee)/m-Poids*SIN(M900)/m)</f>
        <v>2.1146551906789401</v>
      </c>
      <c r="AH901" s="304">
        <f t="shared" ref="AH901:AH964" ca="1" si="434">IF(AND(L900&lt;L_rampe,Poussee&lt;Poids*SIN(M900)), g*SIN(M900), (-W900+Poussee)/m)</f>
        <v>-7.6508847239736468</v>
      </c>
    </row>
    <row r="902" spans="1:34" x14ac:dyDescent="0.2">
      <c r="A902" s="347">
        <f t="shared" ca="1" si="412"/>
        <v>1E-4</v>
      </c>
      <c r="B902" s="304">
        <f t="shared" ca="1" si="413"/>
        <v>36.735100000001417</v>
      </c>
      <c r="D902" s="306">
        <f t="shared" ca="1" si="414"/>
        <v>-0.72758443163743769</v>
      </c>
      <c r="E902" s="307">
        <f t="shared" ca="1" si="415"/>
        <v>-2.1937549241123033</v>
      </c>
      <c r="F902" s="304">
        <f t="shared" ca="1" si="416"/>
        <v>2.3112636743193433</v>
      </c>
      <c r="G902" s="306">
        <f t="shared" ca="1" si="417"/>
        <v>12.432119293914608</v>
      </c>
      <c r="H902" s="307">
        <f t="shared" ca="1" si="418"/>
        <v>-130.1385474979985</v>
      </c>
      <c r="I902" s="304">
        <f t="shared" ca="1" si="419"/>
        <v>130.73101825896919</v>
      </c>
      <c r="J902" s="306">
        <f t="shared" ca="1" si="420"/>
        <v>889.84792314375909</v>
      </c>
      <c r="K902" s="307">
        <f t="shared" ca="1" si="421"/>
        <v>-11.485992380464259</v>
      </c>
      <c r="L902" s="304">
        <f t="shared" ca="1" si="406"/>
        <v>889.92204958874083</v>
      </c>
      <c r="M902" s="306">
        <f t="shared" ca="1" si="422"/>
        <v>-1.4755554704963032</v>
      </c>
      <c r="N902" s="304">
        <f t="shared" ca="1" si="423"/>
        <v>-84.543100896878641</v>
      </c>
      <c r="P902" s="310">
        <f t="shared" ca="1" si="424"/>
        <v>23</v>
      </c>
      <c r="Q902" s="304">
        <f t="shared" ca="1" si="425"/>
        <v>0</v>
      </c>
      <c r="R902" s="306">
        <f t="shared" ca="1" si="426"/>
        <v>0</v>
      </c>
      <c r="S902" s="307">
        <f t="shared" ca="1" si="427"/>
        <v>7.150000000000003</v>
      </c>
      <c r="T902" s="304">
        <f t="shared" ca="1" si="407"/>
        <v>70.141500000000036</v>
      </c>
      <c r="U902" s="311">
        <f t="shared" ca="1" si="408"/>
        <v>0</v>
      </c>
      <c r="V902" s="306">
        <f t="shared" ca="1" si="409"/>
        <v>1.2264078425900702</v>
      </c>
      <c r="W902" s="304">
        <f t="shared" ca="1" si="410"/>
        <v>54.7043221050833</v>
      </c>
      <c r="Y902" s="314" t="str">
        <f t="shared" ca="1" si="428"/>
        <v/>
      </c>
      <c r="Z902" s="315" t="str">
        <f t="shared" ca="1" si="429"/>
        <v/>
      </c>
      <c r="AA902" s="316" t="str">
        <f t="shared" ca="1" si="430"/>
        <v/>
      </c>
      <c r="AC902" s="310" t="e">
        <f t="shared" ca="1" si="431"/>
        <v>#N/A</v>
      </c>
      <c r="AD902" s="323" t="e">
        <f t="shared" ca="1" si="432"/>
        <v>#N/A</v>
      </c>
      <c r="AE902" s="324" t="e">
        <f t="shared" ca="1" si="411"/>
        <v>#N/A</v>
      </c>
      <c r="AG902" s="306">
        <f t="shared" ca="1" si="433"/>
        <v>2.1146211479878225</v>
      </c>
      <c r="AH902" s="304">
        <f t="shared" ca="1" si="434"/>
        <v>-7.650919432404498</v>
      </c>
    </row>
    <row r="903" spans="1:34" x14ac:dyDescent="0.2">
      <c r="A903" s="347">
        <f t="shared" ca="1" si="412"/>
        <v>1E-4</v>
      </c>
      <c r="B903" s="304">
        <f t="shared" ca="1" si="413"/>
        <v>36.73520000000142</v>
      </c>
      <c r="D903" s="306">
        <f t="shared" ca="1" si="414"/>
        <v>-0.72758229725885104</v>
      </c>
      <c r="E903" s="307">
        <f t="shared" ca="1" si="415"/>
        <v>-2.1937198540339002</v>
      </c>
      <c r="F903" s="304">
        <f t="shared" ca="1" si="416"/>
        <v>2.3112297153824808</v>
      </c>
      <c r="G903" s="306">
        <f t="shared" ca="1" si="417"/>
        <v>12.432046535684883</v>
      </c>
      <c r="H903" s="307">
        <f t="shared" ca="1" si="418"/>
        <v>-130.1387668699839</v>
      </c>
      <c r="I903" s="304">
        <f t="shared" ca="1" si="419"/>
        <v>130.73122971771303</v>
      </c>
      <c r="J903" s="306">
        <f t="shared" ca="1" si="420"/>
        <v>889.84792314375909</v>
      </c>
      <c r="K903" s="307">
        <f t="shared" ca="1" si="421"/>
        <v>-11.499006246182658</v>
      </c>
      <c r="L903" s="304">
        <f t="shared" ca="1" si="406"/>
        <v>889.92221765045906</v>
      </c>
      <c r="M903" s="306">
        <f t="shared" ca="1" si="422"/>
        <v>-1.4755561840985123</v>
      </c>
      <c r="N903" s="304">
        <f t="shared" ca="1" si="423"/>
        <v>-84.54314178327347</v>
      </c>
      <c r="P903" s="310">
        <f t="shared" ca="1" si="424"/>
        <v>23</v>
      </c>
      <c r="Q903" s="304">
        <f t="shared" ca="1" si="425"/>
        <v>0</v>
      </c>
      <c r="R903" s="306">
        <f t="shared" ca="1" si="426"/>
        <v>0</v>
      </c>
      <c r="S903" s="307">
        <f t="shared" ca="1" si="427"/>
        <v>7.150000000000003</v>
      </c>
      <c r="T903" s="304">
        <f t="shared" ca="1" si="407"/>
        <v>70.141500000000036</v>
      </c>
      <c r="U903" s="311">
        <f t="shared" ca="1" si="408"/>
        <v>0</v>
      </c>
      <c r="V903" s="306">
        <f t="shared" ca="1" si="409"/>
        <v>1.2264094386223336</v>
      </c>
      <c r="W903" s="304">
        <f t="shared" ca="1" si="410"/>
        <v>54.704570266585016</v>
      </c>
      <c r="Y903" s="314" t="str">
        <f t="shared" ca="1" si="428"/>
        <v/>
      </c>
      <c r="Z903" s="315" t="str">
        <f t="shared" ca="1" si="429"/>
        <v/>
      </c>
      <c r="AA903" s="316" t="str">
        <f t="shared" ca="1" si="430"/>
        <v/>
      </c>
      <c r="AC903" s="310" t="e">
        <f t="shared" ca="1" si="431"/>
        <v>#N/A</v>
      </c>
      <c r="AD903" s="323" t="e">
        <f t="shared" ca="1" si="432"/>
        <v>#N/A</v>
      </c>
      <c r="AE903" s="324" t="e">
        <f t="shared" ca="1" si="411"/>
        <v>#N/A</v>
      </c>
      <c r="AG903" s="306">
        <f t="shared" ca="1" si="433"/>
        <v>2.1145871055499441</v>
      </c>
      <c r="AH903" s="304">
        <f t="shared" ca="1" si="434"/>
        <v>-7.6509541405710877</v>
      </c>
    </row>
    <row r="904" spans="1:34" x14ac:dyDescent="0.2">
      <c r="A904" s="347">
        <f t="shared" ca="1" si="412"/>
        <v>1E-4</v>
      </c>
      <c r="B904" s="304">
        <f t="shared" ca="1" si="413"/>
        <v>36.735300000001423</v>
      </c>
      <c r="D904" s="306">
        <f t="shared" ca="1" si="414"/>
        <v>-0.72758016285484495</v>
      </c>
      <c r="E904" s="307">
        <f t="shared" ca="1" si="415"/>
        <v>-2.1936847842224365</v>
      </c>
      <c r="F904" s="304">
        <f t="shared" ca="1" si="416"/>
        <v>2.3111957567261414</v>
      </c>
      <c r="G904" s="306">
        <f t="shared" ca="1" si="417"/>
        <v>12.431973777668597</v>
      </c>
      <c r="H904" s="307">
        <f t="shared" ca="1" si="418"/>
        <v>-130.13898623846231</v>
      </c>
      <c r="I904" s="304">
        <f t="shared" ca="1" si="419"/>
        <v>130.73144117305264</v>
      </c>
      <c r="J904" s="306">
        <f t="shared" ca="1" si="420"/>
        <v>889.84792314375909</v>
      </c>
      <c r="K904" s="307">
        <f t="shared" ca="1" si="421"/>
        <v>-11.51202013383808</v>
      </c>
      <c r="L904" s="304">
        <f t="shared" ca="1" si="406"/>
        <v>889.92238590273882</v>
      </c>
      <c r="M904" s="306">
        <f t="shared" ca="1" si="422"/>
        <v>-1.4755568976942368</v>
      </c>
      <c r="N904" s="304">
        <f t="shared" ca="1" si="423"/>
        <v>-84.543182669296769</v>
      </c>
      <c r="P904" s="310">
        <f t="shared" ca="1" si="424"/>
        <v>23</v>
      </c>
      <c r="Q904" s="304">
        <f t="shared" ca="1" si="425"/>
        <v>0</v>
      </c>
      <c r="R904" s="306">
        <f t="shared" ca="1" si="426"/>
        <v>0</v>
      </c>
      <c r="S904" s="307">
        <f t="shared" ca="1" si="427"/>
        <v>7.150000000000003</v>
      </c>
      <c r="T904" s="304">
        <f t="shared" ca="1" si="407"/>
        <v>70.141500000000036</v>
      </c>
      <c r="U904" s="311">
        <f t="shared" ca="1" si="408"/>
        <v>0</v>
      </c>
      <c r="V904" s="306">
        <f t="shared" ca="1" si="409"/>
        <v>1.2264110346593657</v>
      </c>
      <c r="W904" s="304">
        <f t="shared" ca="1" si="410"/>
        <v>54.704818426197271</v>
      </c>
      <c r="Y904" s="314" t="str">
        <f t="shared" ca="1" si="428"/>
        <v/>
      </c>
      <c r="Z904" s="315" t="str">
        <f t="shared" ca="1" si="429"/>
        <v/>
      </c>
      <c r="AA904" s="316" t="str">
        <f t="shared" ca="1" si="430"/>
        <v/>
      </c>
      <c r="AC904" s="310" t="e">
        <f t="shared" ca="1" si="431"/>
        <v>#N/A</v>
      </c>
      <c r="AD904" s="323" t="e">
        <f t="shared" ca="1" si="432"/>
        <v>#N/A</v>
      </c>
      <c r="AE904" s="324" t="e">
        <f t="shared" ca="1" si="411"/>
        <v>#N/A</v>
      </c>
      <c r="AG904" s="306">
        <f t="shared" ca="1" si="433"/>
        <v>2.1145530633652934</v>
      </c>
      <c r="AH904" s="304">
        <f t="shared" ca="1" si="434"/>
        <v>-7.6509888484734256</v>
      </c>
    </row>
    <row r="905" spans="1:34" x14ac:dyDescent="0.2">
      <c r="A905" s="347">
        <f t="shared" ca="1" si="412"/>
        <v>1E-4</v>
      </c>
      <c r="B905" s="304">
        <f t="shared" ca="1" si="413"/>
        <v>36.735400000001427</v>
      </c>
      <c r="D905" s="306">
        <f t="shared" ca="1" si="414"/>
        <v>-0.72757802842541663</v>
      </c>
      <c r="E905" s="307">
        <f t="shared" ca="1" si="415"/>
        <v>-2.1936497146779228</v>
      </c>
      <c r="F905" s="304">
        <f t="shared" ca="1" si="416"/>
        <v>2.3111617983503336</v>
      </c>
      <c r="G905" s="306">
        <f t="shared" ca="1" si="417"/>
        <v>12.431901019865755</v>
      </c>
      <c r="H905" s="307">
        <f t="shared" ca="1" si="418"/>
        <v>-130.13920560343377</v>
      </c>
      <c r="I905" s="304">
        <f t="shared" ca="1" si="419"/>
        <v>130.73165262498804</v>
      </c>
      <c r="J905" s="306">
        <f t="shared" ca="1" si="420"/>
        <v>889.84792314375909</v>
      </c>
      <c r="K905" s="307">
        <f t="shared" ca="1" si="421"/>
        <v>-11.525034043430175</v>
      </c>
      <c r="L905" s="304">
        <f t="shared" ca="1" si="406"/>
        <v>889.92255434558103</v>
      </c>
      <c r="M905" s="306">
        <f t="shared" ca="1" si="422"/>
        <v>-1.4755576112834765</v>
      </c>
      <c r="N905" s="304">
        <f t="shared" ca="1" si="423"/>
        <v>-84.543223554948497</v>
      </c>
      <c r="P905" s="310">
        <f t="shared" ca="1" si="424"/>
        <v>23</v>
      </c>
      <c r="Q905" s="304">
        <f t="shared" ca="1" si="425"/>
        <v>0</v>
      </c>
      <c r="R905" s="306">
        <f t="shared" ca="1" si="426"/>
        <v>0</v>
      </c>
      <c r="S905" s="307">
        <f t="shared" ca="1" si="427"/>
        <v>7.150000000000003</v>
      </c>
      <c r="T905" s="304">
        <f t="shared" ca="1" si="407"/>
        <v>70.141500000000036</v>
      </c>
      <c r="U905" s="311">
        <f t="shared" ca="1" si="408"/>
        <v>0</v>
      </c>
      <c r="V905" s="306">
        <f t="shared" ca="1" si="409"/>
        <v>1.2264126307011662</v>
      </c>
      <c r="W905" s="304">
        <f t="shared" ca="1" si="410"/>
        <v>54.705066583920065</v>
      </c>
      <c r="Y905" s="314" t="str">
        <f t="shared" ca="1" si="428"/>
        <v/>
      </c>
      <c r="Z905" s="315" t="str">
        <f t="shared" ca="1" si="429"/>
        <v/>
      </c>
      <c r="AA905" s="316" t="str">
        <f t="shared" ca="1" si="430"/>
        <v/>
      </c>
      <c r="AC905" s="310" t="e">
        <f t="shared" ca="1" si="431"/>
        <v>#N/A</v>
      </c>
      <c r="AD905" s="323" t="e">
        <f t="shared" ca="1" si="432"/>
        <v>#N/A</v>
      </c>
      <c r="AE905" s="324" t="e">
        <f t="shared" ca="1" si="411"/>
        <v>#N/A</v>
      </c>
      <c r="AG905" s="306">
        <f t="shared" ca="1" si="433"/>
        <v>2.1145190214338827</v>
      </c>
      <c r="AH905" s="304">
        <f t="shared" ca="1" si="434"/>
        <v>-7.651023556111503</v>
      </c>
    </row>
    <row r="906" spans="1:34" x14ac:dyDescent="0.2">
      <c r="A906" s="347">
        <f t="shared" ca="1" si="412"/>
        <v>1E-4</v>
      </c>
      <c r="B906" s="304">
        <f t="shared" ca="1" si="413"/>
        <v>36.73550000000143</v>
      </c>
      <c r="D906" s="306">
        <f t="shared" ca="1" si="414"/>
        <v>-0.72757589397056899</v>
      </c>
      <c r="E906" s="307">
        <f t="shared" ca="1" si="415"/>
        <v>-2.1936146454003573</v>
      </c>
      <c r="F906" s="304">
        <f t="shared" ca="1" si="416"/>
        <v>2.3111278402550579</v>
      </c>
      <c r="G906" s="306">
        <f t="shared" ca="1" si="417"/>
        <v>12.431828262276358</v>
      </c>
      <c r="H906" s="307">
        <f t="shared" ca="1" si="418"/>
        <v>-130.1394249648983</v>
      </c>
      <c r="I906" s="304">
        <f t="shared" ca="1" si="419"/>
        <v>130.73186407351932</v>
      </c>
      <c r="J906" s="306">
        <f t="shared" ca="1" si="420"/>
        <v>889.84792314375909</v>
      </c>
      <c r="K906" s="307">
        <f t="shared" ca="1" si="421"/>
        <v>-11.538047974958591</v>
      </c>
      <c r="L906" s="304">
        <f t="shared" ca="1" si="406"/>
        <v>889.92272297898649</v>
      </c>
      <c r="M906" s="306">
        <f t="shared" ca="1" si="422"/>
        <v>-1.4755583248662316</v>
      </c>
      <c r="N906" s="304">
        <f t="shared" ca="1" si="423"/>
        <v>-84.543264440228711</v>
      </c>
      <c r="P906" s="310">
        <f t="shared" ca="1" si="424"/>
        <v>23</v>
      </c>
      <c r="Q906" s="304">
        <f t="shared" ca="1" si="425"/>
        <v>0</v>
      </c>
      <c r="R906" s="306">
        <f t="shared" ca="1" si="426"/>
        <v>0</v>
      </c>
      <c r="S906" s="307">
        <f t="shared" ca="1" si="427"/>
        <v>7.150000000000003</v>
      </c>
      <c r="T906" s="304">
        <f t="shared" ca="1" si="407"/>
        <v>70.141500000000036</v>
      </c>
      <c r="U906" s="311">
        <f t="shared" ca="1" si="408"/>
        <v>0</v>
      </c>
      <c r="V906" s="306">
        <f t="shared" ca="1" si="409"/>
        <v>1.2264142267477356</v>
      </c>
      <c r="W906" s="304">
        <f t="shared" ca="1" si="410"/>
        <v>54.705314739753483</v>
      </c>
      <c r="Y906" s="314" t="str">
        <f t="shared" ca="1" si="428"/>
        <v/>
      </c>
      <c r="Z906" s="315" t="str">
        <f t="shared" ca="1" si="429"/>
        <v/>
      </c>
      <c r="AA906" s="316" t="str">
        <f t="shared" ca="1" si="430"/>
        <v/>
      </c>
      <c r="AC906" s="310" t="e">
        <f t="shared" ca="1" si="431"/>
        <v>#N/A</v>
      </c>
      <c r="AD906" s="323" t="e">
        <f t="shared" ca="1" si="432"/>
        <v>#N/A</v>
      </c>
      <c r="AE906" s="324" t="e">
        <f t="shared" ca="1" si="411"/>
        <v>#N/A</v>
      </c>
      <c r="AG906" s="306">
        <f t="shared" ca="1" si="433"/>
        <v>2.1144849797557077</v>
      </c>
      <c r="AH906" s="304">
        <f t="shared" ca="1" si="434"/>
        <v>-7.6510582634853206</v>
      </c>
    </row>
    <row r="907" spans="1:34" x14ac:dyDescent="0.2">
      <c r="A907" s="347">
        <f t="shared" ca="1" si="412"/>
        <v>1E-4</v>
      </c>
      <c r="B907" s="304">
        <f t="shared" ca="1" si="413"/>
        <v>36.735600000001433</v>
      </c>
      <c r="D907" s="306">
        <f t="shared" ca="1" si="414"/>
        <v>-0.72757375949030234</v>
      </c>
      <c r="E907" s="307">
        <f t="shared" ca="1" si="415"/>
        <v>-2.1935795763897294</v>
      </c>
      <c r="F907" s="304">
        <f t="shared" ca="1" si="416"/>
        <v>2.311093882440304</v>
      </c>
      <c r="G907" s="306">
        <f t="shared" ca="1" si="417"/>
        <v>12.431755504900408</v>
      </c>
      <c r="H907" s="307">
        <f t="shared" ca="1" si="418"/>
        <v>-130.13964432285593</v>
      </c>
      <c r="I907" s="304">
        <f t="shared" ca="1" si="419"/>
        <v>130.73207551864641</v>
      </c>
      <c r="J907" s="306">
        <f t="shared" ca="1" si="420"/>
        <v>889.84792314375909</v>
      </c>
      <c r="K907" s="307">
        <f t="shared" ca="1" si="421"/>
        <v>-11.551061928422978</v>
      </c>
      <c r="L907" s="304">
        <f t="shared" ca="1" si="406"/>
        <v>889.92289180295597</v>
      </c>
      <c r="M907" s="306">
        <f t="shared" ca="1" si="422"/>
        <v>-1.4755590384425024</v>
      </c>
      <c r="N907" s="304">
        <f t="shared" ca="1" si="423"/>
        <v>-84.543305325137382</v>
      </c>
      <c r="P907" s="310">
        <f t="shared" ca="1" si="424"/>
        <v>23</v>
      </c>
      <c r="Q907" s="304">
        <f t="shared" ca="1" si="425"/>
        <v>0</v>
      </c>
      <c r="R907" s="306">
        <f t="shared" ca="1" si="426"/>
        <v>0</v>
      </c>
      <c r="S907" s="307">
        <f t="shared" ca="1" si="427"/>
        <v>7.150000000000003</v>
      </c>
      <c r="T907" s="304">
        <f t="shared" ca="1" si="407"/>
        <v>70.141500000000036</v>
      </c>
      <c r="U907" s="311">
        <f t="shared" ca="1" si="408"/>
        <v>0</v>
      </c>
      <c r="V907" s="306">
        <f t="shared" ca="1" si="409"/>
        <v>1.2264158227990734</v>
      </c>
      <c r="W907" s="304">
        <f t="shared" ca="1" si="410"/>
        <v>54.705562893697412</v>
      </c>
      <c r="Y907" s="314" t="str">
        <f t="shared" ca="1" si="428"/>
        <v/>
      </c>
      <c r="Z907" s="315" t="str">
        <f t="shared" ca="1" si="429"/>
        <v/>
      </c>
      <c r="AA907" s="316" t="str">
        <f t="shared" ca="1" si="430"/>
        <v/>
      </c>
      <c r="AC907" s="310" t="e">
        <f t="shared" ca="1" si="431"/>
        <v>#N/A</v>
      </c>
      <c r="AD907" s="323" t="e">
        <f t="shared" ca="1" si="432"/>
        <v>#N/A</v>
      </c>
      <c r="AE907" s="324" t="e">
        <f t="shared" ca="1" si="411"/>
        <v>#N/A</v>
      </c>
      <c r="AG907" s="306">
        <f t="shared" ca="1" si="433"/>
        <v>2.1144509383307613</v>
      </c>
      <c r="AH907" s="304">
        <f t="shared" ca="1" si="434"/>
        <v>-7.6510929705948891</v>
      </c>
    </row>
    <row r="908" spans="1:34" x14ac:dyDescent="0.2">
      <c r="A908" s="347">
        <f t="shared" ca="1" si="412"/>
        <v>1E-4</v>
      </c>
      <c r="B908" s="304">
        <f t="shared" ca="1" si="413"/>
        <v>36.735700000001437</v>
      </c>
      <c r="D908" s="306">
        <f t="shared" ca="1" si="414"/>
        <v>-0.72757162498461525</v>
      </c>
      <c r="E908" s="307">
        <f t="shared" ca="1" si="415"/>
        <v>-2.1935445076460516</v>
      </c>
      <c r="F908" s="304">
        <f t="shared" ca="1" si="416"/>
        <v>2.3110599249060835</v>
      </c>
      <c r="G908" s="306">
        <f t="shared" ca="1" si="417"/>
        <v>12.431682747737909</v>
      </c>
      <c r="H908" s="307">
        <f t="shared" ca="1" si="418"/>
        <v>-130.13986367730669</v>
      </c>
      <c r="I908" s="304">
        <f t="shared" ca="1" si="419"/>
        <v>130.73228696036941</v>
      </c>
      <c r="J908" s="306">
        <f t="shared" ca="1" si="420"/>
        <v>889.84792314375909</v>
      </c>
      <c r="K908" s="307">
        <f t="shared" ca="1" si="421"/>
        <v>-11.564075903822987</v>
      </c>
      <c r="L908" s="304">
        <f t="shared" ca="1" si="406"/>
        <v>889.92306081749041</v>
      </c>
      <c r="M908" s="306">
        <f t="shared" ca="1" si="422"/>
        <v>-1.4755597520122885</v>
      </c>
      <c r="N908" s="304">
        <f t="shared" ca="1" si="423"/>
        <v>-84.54334620967451</v>
      </c>
      <c r="P908" s="310">
        <f t="shared" ca="1" si="424"/>
        <v>23</v>
      </c>
      <c r="Q908" s="304">
        <f t="shared" ca="1" si="425"/>
        <v>0</v>
      </c>
      <c r="R908" s="306">
        <f t="shared" ca="1" si="426"/>
        <v>0</v>
      </c>
      <c r="S908" s="307">
        <f t="shared" ca="1" si="427"/>
        <v>7.150000000000003</v>
      </c>
      <c r="T908" s="304">
        <f t="shared" ca="1" si="407"/>
        <v>70.141500000000036</v>
      </c>
      <c r="U908" s="311">
        <f t="shared" ca="1" si="408"/>
        <v>0</v>
      </c>
      <c r="V908" s="306">
        <f t="shared" ca="1" si="409"/>
        <v>1.2264174188551797</v>
      </c>
      <c r="W908" s="304">
        <f t="shared" ca="1" si="410"/>
        <v>54.705811045751936</v>
      </c>
      <c r="Y908" s="314" t="str">
        <f t="shared" ca="1" si="428"/>
        <v/>
      </c>
      <c r="Z908" s="315" t="str">
        <f t="shared" ca="1" si="429"/>
        <v/>
      </c>
      <c r="AA908" s="316" t="str">
        <f t="shared" ca="1" si="430"/>
        <v/>
      </c>
      <c r="AC908" s="310" t="e">
        <f t="shared" ca="1" si="431"/>
        <v>#N/A</v>
      </c>
      <c r="AD908" s="323" t="e">
        <f t="shared" ca="1" si="432"/>
        <v>#N/A</v>
      </c>
      <c r="AE908" s="324" t="e">
        <f t="shared" ca="1" si="411"/>
        <v>#N/A</v>
      </c>
      <c r="AG908" s="306">
        <f t="shared" ca="1" si="433"/>
        <v>2.1144168971590558</v>
      </c>
      <c r="AH908" s="304">
        <f t="shared" ca="1" si="434"/>
        <v>-7.6511276774401944</v>
      </c>
    </row>
    <row r="909" spans="1:34" x14ac:dyDescent="0.2">
      <c r="A909" s="347">
        <f t="shared" ca="1" si="412"/>
        <v>1E-4</v>
      </c>
      <c r="B909" s="304">
        <f t="shared" ca="1" si="413"/>
        <v>36.73580000000144</v>
      </c>
      <c r="D909" s="306">
        <f t="shared" ca="1" si="414"/>
        <v>-0.72756949045351138</v>
      </c>
      <c r="E909" s="307">
        <f t="shared" ca="1" si="415"/>
        <v>-2.1935094391693175</v>
      </c>
      <c r="F909" s="304">
        <f t="shared" ca="1" si="416"/>
        <v>2.3110259676523923</v>
      </c>
      <c r="G909" s="306">
        <f t="shared" ca="1" si="417"/>
        <v>12.431609990788864</v>
      </c>
      <c r="H909" s="307">
        <f t="shared" ca="1" si="418"/>
        <v>-130.14008302825061</v>
      </c>
      <c r="I909" s="304">
        <f t="shared" ca="1" si="419"/>
        <v>130.73249839868834</v>
      </c>
      <c r="J909" s="306">
        <f t="shared" ca="1" si="420"/>
        <v>889.84792314375909</v>
      </c>
      <c r="K909" s="307">
        <f t="shared" ca="1" si="421"/>
        <v>-11.577089901158265</v>
      </c>
      <c r="L909" s="304">
        <f t="shared" ca="1" si="406"/>
        <v>889.9232300225907</v>
      </c>
      <c r="M909" s="306">
        <f t="shared" ca="1" si="422"/>
        <v>-1.4755604655755903</v>
      </c>
      <c r="N909" s="304">
        <f t="shared" ca="1" si="423"/>
        <v>-84.543387093840124</v>
      </c>
      <c r="P909" s="310">
        <f t="shared" ca="1" si="424"/>
        <v>23</v>
      </c>
      <c r="Q909" s="304">
        <f t="shared" ca="1" si="425"/>
        <v>0</v>
      </c>
      <c r="R909" s="306">
        <f t="shared" ca="1" si="426"/>
        <v>0</v>
      </c>
      <c r="S909" s="307">
        <f t="shared" ca="1" si="427"/>
        <v>7.150000000000003</v>
      </c>
      <c r="T909" s="304">
        <f t="shared" ca="1" si="407"/>
        <v>70.141500000000036</v>
      </c>
      <c r="U909" s="311">
        <f t="shared" ca="1" si="408"/>
        <v>0</v>
      </c>
      <c r="V909" s="306">
        <f t="shared" ca="1" si="409"/>
        <v>1.2264190149160548</v>
      </c>
      <c r="W909" s="304">
        <f t="shared" ca="1" si="410"/>
        <v>54.706059195917042</v>
      </c>
      <c r="Y909" s="314" t="str">
        <f t="shared" ca="1" si="428"/>
        <v/>
      </c>
      <c r="Z909" s="315" t="str">
        <f t="shared" ca="1" si="429"/>
        <v/>
      </c>
      <c r="AA909" s="316" t="str">
        <f t="shared" ca="1" si="430"/>
        <v/>
      </c>
      <c r="AC909" s="310" t="e">
        <f t="shared" ca="1" si="431"/>
        <v>#N/A</v>
      </c>
      <c r="AD909" s="323" t="e">
        <f t="shared" ca="1" si="432"/>
        <v>#N/A</v>
      </c>
      <c r="AE909" s="324" t="e">
        <f t="shared" ca="1" si="411"/>
        <v>#N/A</v>
      </c>
      <c r="AG909" s="306">
        <f t="shared" ca="1" si="433"/>
        <v>2.1143828562405798</v>
      </c>
      <c r="AH909" s="304">
        <f t="shared" ca="1" si="434"/>
        <v>-7.6511623840212462</v>
      </c>
    </row>
    <row r="910" spans="1:34" x14ac:dyDescent="0.2">
      <c r="A910" s="347">
        <f t="shared" ca="1" si="412"/>
        <v>1E-4</v>
      </c>
      <c r="B910" s="304">
        <f t="shared" ca="1" si="413"/>
        <v>36.735900000001443</v>
      </c>
      <c r="D910" s="306">
        <f t="shared" ca="1" si="414"/>
        <v>-0.7275673558969904</v>
      </c>
      <c r="E910" s="307">
        <f t="shared" ca="1" si="415"/>
        <v>-2.1934743709595246</v>
      </c>
      <c r="F910" s="304">
        <f t="shared" ca="1" si="416"/>
        <v>2.3109920106792279</v>
      </c>
      <c r="G910" s="306">
        <f t="shared" ca="1" si="417"/>
        <v>12.431537234053275</v>
      </c>
      <c r="H910" s="307">
        <f t="shared" ca="1" si="418"/>
        <v>-130.14030237568772</v>
      </c>
      <c r="I910" s="304">
        <f t="shared" ca="1" si="419"/>
        <v>130.7327098336032</v>
      </c>
      <c r="J910" s="306">
        <f t="shared" ca="1" si="420"/>
        <v>889.84792314375909</v>
      </c>
      <c r="K910" s="307">
        <f t="shared" ca="1" si="421"/>
        <v>-11.590103920428461</v>
      </c>
      <c r="L910" s="304">
        <f t="shared" ca="1" si="406"/>
        <v>889.92339941825765</v>
      </c>
      <c r="M910" s="306">
        <f t="shared" ca="1" si="422"/>
        <v>-1.4755611791324079</v>
      </c>
      <c r="N910" s="304">
        <f t="shared" ca="1" si="423"/>
        <v>-84.543427977634209</v>
      </c>
      <c r="P910" s="310">
        <f t="shared" ca="1" si="424"/>
        <v>23</v>
      </c>
      <c r="Q910" s="304">
        <f t="shared" ca="1" si="425"/>
        <v>0</v>
      </c>
      <c r="R910" s="306">
        <f t="shared" ca="1" si="426"/>
        <v>0</v>
      </c>
      <c r="S910" s="307">
        <f t="shared" ca="1" si="427"/>
        <v>7.150000000000003</v>
      </c>
      <c r="T910" s="304">
        <f t="shared" ca="1" si="407"/>
        <v>70.141500000000036</v>
      </c>
      <c r="U910" s="311">
        <f t="shared" ca="1" si="408"/>
        <v>0</v>
      </c>
      <c r="V910" s="306">
        <f t="shared" ca="1" si="409"/>
        <v>1.226420610981698</v>
      </c>
      <c r="W910" s="304">
        <f t="shared" ca="1" si="410"/>
        <v>54.70630734419268</v>
      </c>
      <c r="Y910" s="314" t="str">
        <f t="shared" ca="1" si="428"/>
        <v/>
      </c>
      <c r="Z910" s="315" t="str">
        <f t="shared" ca="1" si="429"/>
        <v/>
      </c>
      <c r="AA910" s="316" t="str">
        <f t="shared" ca="1" si="430"/>
        <v/>
      </c>
      <c r="AC910" s="310" t="e">
        <f t="shared" ca="1" si="431"/>
        <v>#N/A</v>
      </c>
      <c r="AD910" s="323" t="e">
        <f t="shared" ca="1" si="432"/>
        <v>#N/A</v>
      </c>
      <c r="AE910" s="324" t="e">
        <f t="shared" ca="1" si="411"/>
        <v>#N/A</v>
      </c>
      <c r="AG910" s="306">
        <f t="shared" ca="1" si="433"/>
        <v>2.1143488155753385</v>
      </c>
      <c r="AH910" s="304">
        <f t="shared" ca="1" si="434"/>
        <v>-7.6511970903380444</v>
      </c>
    </row>
    <row r="911" spans="1:34" x14ac:dyDescent="0.2">
      <c r="A911" s="347">
        <f t="shared" ca="1" si="412"/>
        <v>1E-4</v>
      </c>
      <c r="B911" s="304">
        <f t="shared" ca="1" si="413"/>
        <v>36.736000000001447</v>
      </c>
      <c r="D911" s="306">
        <f t="shared" ca="1" si="414"/>
        <v>-0.72756522131505108</v>
      </c>
      <c r="E911" s="307">
        <f t="shared" ca="1" si="415"/>
        <v>-2.1934393030166817</v>
      </c>
      <c r="F911" s="304">
        <f t="shared" ca="1" si="416"/>
        <v>2.3109580539865986</v>
      </c>
      <c r="G911" s="306">
        <f t="shared" ca="1" si="417"/>
        <v>12.431464477531144</v>
      </c>
      <c r="H911" s="307">
        <f t="shared" ca="1" si="418"/>
        <v>-130.14052171961802</v>
      </c>
      <c r="I911" s="304">
        <f t="shared" ca="1" si="419"/>
        <v>130.73292126511399</v>
      </c>
      <c r="J911" s="306">
        <f t="shared" ca="1" si="420"/>
        <v>889.84792314375909</v>
      </c>
      <c r="K911" s="307">
        <f t="shared" ca="1" si="421"/>
        <v>-11.603117961633227</v>
      </c>
      <c r="L911" s="304">
        <f t="shared" ca="1" si="406"/>
        <v>889.92356900449204</v>
      </c>
      <c r="M911" s="306">
        <f t="shared" ca="1" si="422"/>
        <v>-1.4755618926827414</v>
      </c>
      <c r="N911" s="304">
        <f t="shared" ca="1" si="423"/>
        <v>-84.543468861056795</v>
      </c>
      <c r="P911" s="310">
        <f t="shared" ca="1" si="424"/>
        <v>23</v>
      </c>
      <c r="Q911" s="304">
        <f t="shared" ca="1" si="425"/>
        <v>0</v>
      </c>
      <c r="R911" s="306">
        <f t="shared" ca="1" si="426"/>
        <v>0</v>
      </c>
      <c r="S911" s="307">
        <f t="shared" ca="1" si="427"/>
        <v>7.150000000000003</v>
      </c>
      <c r="T911" s="304">
        <f t="shared" ca="1" si="407"/>
        <v>70.141500000000036</v>
      </c>
      <c r="U911" s="311">
        <f t="shared" ca="1" si="408"/>
        <v>0</v>
      </c>
      <c r="V911" s="306">
        <f t="shared" ca="1" si="409"/>
        <v>1.2264222070521098</v>
      </c>
      <c r="W911" s="304">
        <f t="shared" ca="1" si="410"/>
        <v>54.706555490578872</v>
      </c>
      <c r="Y911" s="314" t="str">
        <f t="shared" ca="1" si="428"/>
        <v/>
      </c>
      <c r="Z911" s="315" t="str">
        <f t="shared" ca="1" si="429"/>
        <v/>
      </c>
      <c r="AA911" s="316" t="str">
        <f t="shared" ca="1" si="430"/>
        <v/>
      </c>
      <c r="AC911" s="310" t="e">
        <f t="shared" ca="1" si="431"/>
        <v>#N/A</v>
      </c>
      <c r="AD911" s="323" t="e">
        <f t="shared" ca="1" si="432"/>
        <v>#N/A</v>
      </c>
      <c r="AE911" s="324" t="e">
        <f t="shared" ca="1" si="411"/>
        <v>#N/A</v>
      </c>
      <c r="AG911" s="306">
        <f t="shared" ca="1" si="433"/>
        <v>2.1143147751633364</v>
      </c>
      <c r="AH911" s="304">
        <f t="shared" ca="1" si="434"/>
        <v>-7.6512317963905812</v>
      </c>
    </row>
    <row r="912" spans="1:34" x14ac:dyDescent="0.2">
      <c r="A912" s="347">
        <f t="shared" ca="1" si="412"/>
        <v>1E-4</v>
      </c>
      <c r="B912" s="304">
        <f t="shared" ca="1" si="413"/>
        <v>36.73610000000145</v>
      </c>
      <c r="D912" s="306">
        <f t="shared" ca="1" si="414"/>
        <v>-0.72756308670769487</v>
      </c>
      <c r="E912" s="307">
        <f t="shared" ca="1" si="415"/>
        <v>-2.1934042353407852</v>
      </c>
      <c r="F912" s="304">
        <f t="shared" ca="1" si="416"/>
        <v>2.3109240975745013</v>
      </c>
      <c r="G912" s="306">
        <f t="shared" ca="1" si="417"/>
        <v>12.431391721222473</v>
      </c>
      <c r="H912" s="307">
        <f t="shared" ca="1" si="418"/>
        <v>-130.14074106004156</v>
      </c>
      <c r="I912" s="304">
        <f t="shared" ca="1" si="419"/>
        <v>130.73313269322074</v>
      </c>
      <c r="J912" s="306">
        <f t="shared" ca="1" si="420"/>
        <v>889.84792314375909</v>
      </c>
      <c r="K912" s="307">
        <f t="shared" ca="1" si="421"/>
        <v>-11.61613202477221</v>
      </c>
      <c r="L912" s="304">
        <f t="shared" ca="1" si="406"/>
        <v>889.92373878129479</v>
      </c>
      <c r="M912" s="306">
        <f t="shared" ca="1" si="422"/>
        <v>-1.4755626062265905</v>
      </c>
      <c r="N912" s="304">
        <f t="shared" ca="1" si="423"/>
        <v>-84.543509744107851</v>
      </c>
      <c r="P912" s="310">
        <f t="shared" ca="1" si="424"/>
        <v>23</v>
      </c>
      <c r="Q912" s="304">
        <f t="shared" ca="1" si="425"/>
        <v>0</v>
      </c>
      <c r="R912" s="306">
        <f t="shared" ca="1" si="426"/>
        <v>0</v>
      </c>
      <c r="S912" s="307">
        <f t="shared" ca="1" si="427"/>
        <v>7.150000000000003</v>
      </c>
      <c r="T912" s="304">
        <f t="shared" ca="1" si="407"/>
        <v>70.141500000000036</v>
      </c>
      <c r="U912" s="311">
        <f t="shared" ca="1" si="408"/>
        <v>0</v>
      </c>
      <c r="V912" s="306">
        <f t="shared" ca="1" si="409"/>
        <v>1.22642380312729</v>
      </c>
      <c r="W912" s="304">
        <f t="shared" ca="1" si="410"/>
        <v>54.706803635075588</v>
      </c>
      <c r="Y912" s="314" t="str">
        <f t="shared" ca="1" si="428"/>
        <v/>
      </c>
      <c r="Z912" s="315" t="str">
        <f t="shared" ca="1" si="429"/>
        <v/>
      </c>
      <c r="AA912" s="316" t="str">
        <f t="shared" ca="1" si="430"/>
        <v/>
      </c>
      <c r="AC912" s="310" t="e">
        <f t="shared" ca="1" si="431"/>
        <v>#N/A</v>
      </c>
      <c r="AD912" s="323" t="e">
        <f t="shared" ca="1" si="432"/>
        <v>#N/A</v>
      </c>
      <c r="AE912" s="324" t="e">
        <f t="shared" ca="1" si="411"/>
        <v>#N/A</v>
      </c>
      <c r="AG912" s="306">
        <f t="shared" ca="1" si="433"/>
        <v>2.1142807350045718</v>
      </c>
      <c r="AH912" s="304">
        <f t="shared" ca="1" si="434"/>
        <v>-7.65126650217886</v>
      </c>
    </row>
    <row r="913" spans="1:34" x14ac:dyDescent="0.2">
      <c r="A913" s="347">
        <f t="shared" ca="1" si="412"/>
        <v>1E-4</v>
      </c>
      <c r="B913" s="304">
        <f t="shared" ca="1" si="413"/>
        <v>36.736200000001453</v>
      </c>
      <c r="D913" s="306">
        <f t="shared" ca="1" si="414"/>
        <v>-0.72756095207492433</v>
      </c>
      <c r="E913" s="307">
        <f t="shared" ca="1" si="415"/>
        <v>-2.1933691679318397</v>
      </c>
      <c r="F913" s="304">
        <f t="shared" ca="1" si="416"/>
        <v>2.3108901414429424</v>
      </c>
      <c r="G913" s="306">
        <f t="shared" ca="1" si="417"/>
        <v>12.431318965127266</v>
      </c>
      <c r="H913" s="307">
        <f t="shared" ca="1" si="418"/>
        <v>-130.14096039695835</v>
      </c>
      <c r="I913" s="304">
        <f t="shared" ca="1" si="419"/>
        <v>130.73334411792354</v>
      </c>
      <c r="J913" s="306">
        <f t="shared" ca="1" si="420"/>
        <v>889.84792314375909</v>
      </c>
      <c r="K913" s="307">
        <f t="shared" ca="1" si="421"/>
        <v>-11.62914610984506</v>
      </c>
      <c r="L913" s="304">
        <f t="shared" ca="1" si="406"/>
        <v>889.9239087486668</v>
      </c>
      <c r="M913" s="306">
        <f t="shared" ca="1" si="422"/>
        <v>-1.4755633197639559</v>
      </c>
      <c r="N913" s="304">
        <f t="shared" ca="1" si="423"/>
        <v>-84.543550626787408</v>
      </c>
      <c r="P913" s="310">
        <f t="shared" ca="1" si="424"/>
        <v>23</v>
      </c>
      <c r="Q913" s="304">
        <f t="shared" ca="1" si="425"/>
        <v>0</v>
      </c>
      <c r="R913" s="306">
        <f t="shared" ca="1" si="426"/>
        <v>0</v>
      </c>
      <c r="S913" s="307">
        <f t="shared" ca="1" si="427"/>
        <v>7.150000000000003</v>
      </c>
      <c r="T913" s="304">
        <f t="shared" ca="1" si="407"/>
        <v>70.141500000000036</v>
      </c>
      <c r="U913" s="311">
        <f t="shared" ca="1" si="408"/>
        <v>0</v>
      </c>
      <c r="V913" s="306">
        <f t="shared" ca="1" si="409"/>
        <v>1.2264253992072383</v>
      </c>
      <c r="W913" s="304">
        <f t="shared" ca="1" si="410"/>
        <v>54.707051777682871</v>
      </c>
      <c r="Y913" s="314" t="str">
        <f t="shared" ca="1" si="428"/>
        <v/>
      </c>
      <c r="Z913" s="315" t="str">
        <f t="shared" ca="1" si="429"/>
        <v/>
      </c>
      <c r="AA913" s="316" t="str">
        <f t="shared" ca="1" si="430"/>
        <v/>
      </c>
      <c r="AC913" s="310" t="e">
        <f t="shared" ca="1" si="431"/>
        <v>#N/A</v>
      </c>
      <c r="AD913" s="323" t="e">
        <f t="shared" ca="1" si="432"/>
        <v>#N/A</v>
      </c>
      <c r="AE913" s="324" t="e">
        <f t="shared" ca="1" si="411"/>
        <v>#N/A</v>
      </c>
      <c r="AG913" s="306">
        <f t="shared" ca="1" si="433"/>
        <v>2.1142466950990491</v>
      </c>
      <c r="AH913" s="304">
        <f t="shared" ca="1" si="434"/>
        <v>-7.6513012077028764</v>
      </c>
    </row>
    <row r="914" spans="1:34" x14ac:dyDescent="0.2">
      <c r="A914" s="347">
        <f t="shared" ca="1" si="412"/>
        <v>1E-4</v>
      </c>
      <c r="B914" s="304">
        <f t="shared" ca="1" si="413"/>
        <v>36.736300000001457</v>
      </c>
      <c r="D914" s="306">
        <f t="shared" ca="1" si="414"/>
        <v>-0.72755881741673634</v>
      </c>
      <c r="E914" s="307">
        <f t="shared" ca="1" si="415"/>
        <v>-2.1933341007898397</v>
      </c>
      <c r="F914" s="304">
        <f t="shared" ca="1" si="416"/>
        <v>2.310856185591915</v>
      </c>
      <c r="G914" s="306">
        <f t="shared" ca="1" si="417"/>
        <v>12.431246209245524</v>
      </c>
      <c r="H914" s="307">
        <f t="shared" ca="1" si="418"/>
        <v>-130.14117973036844</v>
      </c>
      <c r="I914" s="304">
        <f t="shared" ca="1" si="419"/>
        <v>130.73355553922238</v>
      </c>
      <c r="J914" s="306">
        <f t="shared" ca="1" si="420"/>
        <v>889.84792314375909</v>
      </c>
      <c r="K914" s="307">
        <f t="shared" ca="1" si="421"/>
        <v>-11.642160216851426</v>
      </c>
      <c r="L914" s="304">
        <f t="shared" ca="1" si="406"/>
        <v>889.92407890660888</v>
      </c>
      <c r="M914" s="306">
        <f t="shared" ca="1" si="422"/>
        <v>-1.4755640332948372</v>
      </c>
      <c r="N914" s="304">
        <f t="shared" ca="1" si="423"/>
        <v>-84.54359150909545</v>
      </c>
      <c r="P914" s="310">
        <f t="shared" ca="1" si="424"/>
        <v>23</v>
      </c>
      <c r="Q914" s="304">
        <f t="shared" ca="1" si="425"/>
        <v>0</v>
      </c>
      <c r="R914" s="306">
        <f t="shared" ca="1" si="426"/>
        <v>0</v>
      </c>
      <c r="S914" s="307">
        <f t="shared" ca="1" si="427"/>
        <v>7.150000000000003</v>
      </c>
      <c r="T914" s="304">
        <f t="shared" ca="1" si="407"/>
        <v>70.141500000000036</v>
      </c>
      <c r="U914" s="311">
        <f t="shared" ca="1" si="408"/>
        <v>0</v>
      </c>
      <c r="V914" s="306">
        <f t="shared" ca="1" si="409"/>
        <v>1.2264269952919553</v>
      </c>
      <c r="W914" s="304">
        <f t="shared" ca="1" si="410"/>
        <v>54.707299918400736</v>
      </c>
      <c r="Y914" s="314" t="str">
        <f t="shared" ca="1" si="428"/>
        <v/>
      </c>
      <c r="Z914" s="315" t="str">
        <f t="shared" ca="1" si="429"/>
        <v/>
      </c>
      <c r="AA914" s="316" t="str">
        <f t="shared" ca="1" si="430"/>
        <v/>
      </c>
      <c r="AC914" s="310" t="e">
        <f t="shared" ca="1" si="431"/>
        <v>#N/A</v>
      </c>
      <c r="AD914" s="323" t="e">
        <f t="shared" ca="1" si="432"/>
        <v>#N/A</v>
      </c>
      <c r="AE914" s="324" t="e">
        <f t="shared" ca="1" si="411"/>
        <v>#N/A</v>
      </c>
      <c r="AG914" s="306">
        <f t="shared" ca="1" si="433"/>
        <v>2.1142126554467628</v>
      </c>
      <c r="AH914" s="304">
        <f t="shared" ca="1" si="434"/>
        <v>-7.6513359129626357</v>
      </c>
    </row>
    <row r="915" spans="1:34" x14ac:dyDescent="0.2">
      <c r="A915" s="347">
        <f t="shared" ca="1" si="412"/>
        <v>1E-4</v>
      </c>
      <c r="B915" s="304">
        <f t="shared" ca="1" si="413"/>
        <v>36.73640000000146</v>
      </c>
      <c r="D915" s="306">
        <f t="shared" ca="1" si="414"/>
        <v>-0.72755668273313556</v>
      </c>
      <c r="E915" s="307">
        <f t="shared" ca="1" si="415"/>
        <v>-2.1932990339147818</v>
      </c>
      <c r="F915" s="304">
        <f t="shared" ca="1" si="416"/>
        <v>2.3108222300214178</v>
      </c>
      <c r="G915" s="306">
        <f t="shared" ca="1" si="417"/>
        <v>12.43117345357725</v>
      </c>
      <c r="H915" s="307">
        <f t="shared" ca="1" si="418"/>
        <v>-130.14139906027182</v>
      </c>
      <c r="I915" s="304">
        <f t="shared" ca="1" si="419"/>
        <v>130.73376695711724</v>
      </c>
      <c r="J915" s="306">
        <f t="shared" ca="1" si="420"/>
        <v>889.84792314375909</v>
      </c>
      <c r="K915" s="307">
        <f t="shared" ca="1" si="421"/>
        <v>-11.655174345790957</v>
      </c>
      <c r="L915" s="304">
        <f t="shared" ca="1" si="406"/>
        <v>889.92424925512182</v>
      </c>
      <c r="M915" s="306">
        <f t="shared" ca="1" si="422"/>
        <v>-1.4755647468192348</v>
      </c>
      <c r="N915" s="304">
        <f t="shared" ca="1" si="423"/>
        <v>-84.54363239103202</v>
      </c>
      <c r="P915" s="310">
        <f t="shared" ca="1" si="424"/>
        <v>23</v>
      </c>
      <c r="Q915" s="304">
        <f t="shared" ca="1" si="425"/>
        <v>0</v>
      </c>
      <c r="R915" s="306">
        <f t="shared" ca="1" si="426"/>
        <v>0</v>
      </c>
      <c r="S915" s="307">
        <f t="shared" ca="1" si="427"/>
        <v>7.150000000000003</v>
      </c>
      <c r="T915" s="304">
        <f t="shared" ca="1" si="407"/>
        <v>70.141500000000036</v>
      </c>
      <c r="U915" s="311">
        <f t="shared" ca="1" si="408"/>
        <v>0</v>
      </c>
      <c r="V915" s="306">
        <f t="shared" ca="1" si="409"/>
        <v>1.2264285913814403</v>
      </c>
      <c r="W915" s="304">
        <f t="shared" ca="1" si="410"/>
        <v>54.707548057229097</v>
      </c>
      <c r="Y915" s="314" t="str">
        <f t="shared" ca="1" si="428"/>
        <v/>
      </c>
      <c r="Z915" s="315" t="str">
        <f t="shared" ca="1" si="429"/>
        <v/>
      </c>
      <c r="AA915" s="316" t="str">
        <f t="shared" ca="1" si="430"/>
        <v/>
      </c>
      <c r="AC915" s="310" t="e">
        <f t="shared" ca="1" si="431"/>
        <v>#N/A</v>
      </c>
      <c r="AD915" s="323" t="e">
        <f t="shared" ca="1" si="432"/>
        <v>#N/A</v>
      </c>
      <c r="AE915" s="324" t="e">
        <f t="shared" ca="1" si="411"/>
        <v>#N/A</v>
      </c>
      <c r="AG915" s="306">
        <f t="shared" ca="1" si="433"/>
        <v>2.1141786160477096</v>
      </c>
      <c r="AH915" s="304">
        <f t="shared" ca="1" si="434"/>
        <v>-7.6513706179581416</v>
      </c>
    </row>
    <row r="916" spans="1:34" x14ac:dyDescent="0.2">
      <c r="A916" s="347">
        <f t="shared" ca="1" si="412"/>
        <v>1E-4</v>
      </c>
      <c r="B916" s="304">
        <f t="shared" ca="1" si="413"/>
        <v>36.736500000001463</v>
      </c>
      <c r="D916" s="306">
        <f t="shared" ca="1" si="414"/>
        <v>-0.72755454802411879</v>
      </c>
      <c r="E916" s="307">
        <f t="shared" ca="1" si="415"/>
        <v>-2.1932639673066783</v>
      </c>
      <c r="F916" s="304">
        <f t="shared" ca="1" si="416"/>
        <v>2.3107882747314625</v>
      </c>
      <c r="G916" s="306">
        <f t="shared" ca="1" si="417"/>
        <v>12.431100698122448</v>
      </c>
      <c r="H916" s="307">
        <f t="shared" ca="1" si="418"/>
        <v>-130.14161838666854</v>
      </c>
      <c r="I916" s="304">
        <f t="shared" ca="1" si="419"/>
        <v>130.7339783716082</v>
      </c>
      <c r="J916" s="306">
        <f t="shared" ca="1" si="420"/>
        <v>889.84792314375909</v>
      </c>
      <c r="K916" s="307">
        <f t="shared" ca="1" si="421"/>
        <v>-11.668188496663305</v>
      </c>
      <c r="L916" s="304">
        <f t="shared" ca="1" si="406"/>
        <v>889.92441979420641</v>
      </c>
      <c r="M916" s="306">
        <f t="shared" ca="1" si="422"/>
        <v>-1.4755654603371486</v>
      </c>
      <c r="N916" s="304">
        <f t="shared" ca="1" si="423"/>
        <v>-84.54367327259709</v>
      </c>
      <c r="P916" s="310">
        <f t="shared" ca="1" si="424"/>
        <v>23</v>
      </c>
      <c r="Q916" s="304">
        <f t="shared" ca="1" si="425"/>
        <v>0</v>
      </c>
      <c r="R916" s="306">
        <f t="shared" ca="1" si="426"/>
        <v>0</v>
      </c>
      <c r="S916" s="307">
        <f t="shared" ca="1" si="427"/>
        <v>7.150000000000003</v>
      </c>
      <c r="T916" s="304">
        <f t="shared" ca="1" si="407"/>
        <v>70.141500000000036</v>
      </c>
      <c r="U916" s="311">
        <f t="shared" ca="1" si="408"/>
        <v>0</v>
      </c>
      <c r="V916" s="306">
        <f t="shared" ca="1" si="409"/>
        <v>1.226430187475694</v>
      </c>
      <c r="W916" s="304">
        <f t="shared" ca="1" si="410"/>
        <v>54.707796194168033</v>
      </c>
      <c r="Y916" s="314" t="str">
        <f t="shared" ca="1" si="428"/>
        <v/>
      </c>
      <c r="Z916" s="315" t="str">
        <f t="shared" ca="1" si="429"/>
        <v/>
      </c>
      <c r="AA916" s="316" t="str">
        <f t="shared" ca="1" si="430"/>
        <v/>
      </c>
      <c r="AC916" s="310" t="e">
        <f t="shared" ca="1" si="431"/>
        <v>#N/A</v>
      </c>
      <c r="AD916" s="323" t="e">
        <f t="shared" ca="1" si="432"/>
        <v>#N/A</v>
      </c>
      <c r="AE916" s="324" t="e">
        <f t="shared" ca="1" si="411"/>
        <v>#N/A</v>
      </c>
      <c r="AG916" s="306">
        <f t="shared" ca="1" si="433"/>
        <v>2.1141445769019045</v>
      </c>
      <c r="AH916" s="304">
        <f t="shared" ca="1" si="434"/>
        <v>-7.6514053226893806</v>
      </c>
    </row>
    <row r="917" spans="1:34" x14ac:dyDescent="0.2">
      <c r="A917" s="347">
        <f t="shared" ca="1" si="412"/>
        <v>1E-4</v>
      </c>
      <c r="B917" s="304">
        <f t="shared" ca="1" si="413"/>
        <v>36.736600000001467</v>
      </c>
      <c r="D917" s="306">
        <f t="shared" ca="1" si="414"/>
        <v>-0.72755241328968845</v>
      </c>
      <c r="E917" s="307">
        <f t="shared" ca="1" si="415"/>
        <v>-2.1932289009655186</v>
      </c>
      <c r="F917" s="304">
        <f t="shared" ca="1" si="416"/>
        <v>2.3107543197220397</v>
      </c>
      <c r="G917" s="306">
        <f t="shared" ca="1" si="417"/>
        <v>12.431027942881119</v>
      </c>
      <c r="H917" s="307">
        <f t="shared" ca="1" si="418"/>
        <v>-130.14183770955864</v>
      </c>
      <c r="I917" s="304">
        <f t="shared" ca="1" si="419"/>
        <v>130.7341897826953</v>
      </c>
      <c r="J917" s="306">
        <f t="shared" ca="1" si="420"/>
        <v>889.84792314375909</v>
      </c>
      <c r="K917" s="307">
        <f t="shared" ca="1" si="421"/>
        <v>-11.681202669468115</v>
      </c>
      <c r="L917" s="304">
        <f t="shared" ca="1" si="406"/>
        <v>889.9245905238638</v>
      </c>
      <c r="M917" s="306">
        <f t="shared" ca="1" si="422"/>
        <v>-1.4755661738485788</v>
      </c>
      <c r="N917" s="304">
        <f t="shared" ca="1" si="423"/>
        <v>-84.543714153790674</v>
      </c>
      <c r="P917" s="310">
        <f t="shared" ca="1" si="424"/>
        <v>23</v>
      </c>
      <c r="Q917" s="304">
        <f t="shared" ca="1" si="425"/>
        <v>0</v>
      </c>
      <c r="R917" s="306">
        <f t="shared" ca="1" si="426"/>
        <v>0</v>
      </c>
      <c r="S917" s="307">
        <f t="shared" ca="1" si="427"/>
        <v>7.150000000000003</v>
      </c>
      <c r="T917" s="304">
        <f t="shared" ca="1" si="407"/>
        <v>70.141500000000036</v>
      </c>
      <c r="U917" s="311">
        <f t="shared" ca="1" si="408"/>
        <v>0</v>
      </c>
      <c r="V917" s="306">
        <f t="shared" ca="1" si="409"/>
        <v>1.2264317835747156</v>
      </c>
      <c r="W917" s="304">
        <f t="shared" ca="1" si="410"/>
        <v>54.708044329217522</v>
      </c>
      <c r="Y917" s="314" t="str">
        <f t="shared" ca="1" si="428"/>
        <v/>
      </c>
      <c r="Z917" s="315" t="str">
        <f t="shared" ca="1" si="429"/>
        <v/>
      </c>
      <c r="AA917" s="316" t="str">
        <f t="shared" ca="1" si="430"/>
        <v/>
      </c>
      <c r="AC917" s="310" t="e">
        <f t="shared" ca="1" si="431"/>
        <v>#N/A</v>
      </c>
      <c r="AD917" s="323" t="e">
        <f t="shared" ca="1" si="432"/>
        <v>#N/A</v>
      </c>
      <c r="AE917" s="324" t="e">
        <f t="shared" ca="1" si="411"/>
        <v>#N/A</v>
      </c>
      <c r="AG917" s="306">
        <f t="shared" ca="1" si="433"/>
        <v>2.1141105380093315</v>
      </c>
      <c r="AH917" s="304">
        <f t="shared" ca="1" si="434"/>
        <v>-7.6514400271563652</v>
      </c>
    </row>
    <row r="918" spans="1:34" x14ac:dyDescent="0.2">
      <c r="A918" s="347">
        <f t="shared" ca="1" si="412"/>
        <v>1E-4</v>
      </c>
      <c r="B918" s="304">
        <f t="shared" ca="1" si="413"/>
        <v>36.73670000000147</v>
      </c>
      <c r="D918" s="306">
        <f t="shared" ca="1" si="414"/>
        <v>-0.72755027852984522</v>
      </c>
      <c r="E918" s="307">
        <f t="shared" ca="1" si="415"/>
        <v>-2.1931938348913063</v>
      </c>
      <c r="F918" s="304">
        <f t="shared" ca="1" si="416"/>
        <v>2.3107203649931529</v>
      </c>
      <c r="G918" s="306">
        <f t="shared" ca="1" si="417"/>
        <v>12.430955187853266</v>
      </c>
      <c r="H918" s="307">
        <f t="shared" ca="1" si="418"/>
        <v>-130.14205702894213</v>
      </c>
      <c r="I918" s="304">
        <f t="shared" ca="1" si="419"/>
        <v>130.73440119037852</v>
      </c>
      <c r="J918" s="306">
        <f t="shared" ca="1" si="420"/>
        <v>889.84792314375909</v>
      </c>
      <c r="K918" s="307">
        <f t="shared" ca="1" si="421"/>
        <v>-11.694216864205041</v>
      </c>
      <c r="L918" s="304">
        <f t="shared" ca="1" si="406"/>
        <v>889.92476144409443</v>
      </c>
      <c r="M918" s="306">
        <f t="shared" ca="1" si="422"/>
        <v>-1.4755668873535253</v>
      </c>
      <c r="N918" s="304">
        <f t="shared" ca="1" si="423"/>
        <v>-84.543755034612758</v>
      </c>
      <c r="P918" s="310">
        <f t="shared" ca="1" si="424"/>
        <v>23</v>
      </c>
      <c r="Q918" s="304">
        <f t="shared" ca="1" si="425"/>
        <v>0</v>
      </c>
      <c r="R918" s="306">
        <f t="shared" ca="1" si="426"/>
        <v>0</v>
      </c>
      <c r="S918" s="307">
        <f t="shared" ca="1" si="427"/>
        <v>7.150000000000003</v>
      </c>
      <c r="T918" s="304">
        <f t="shared" ca="1" si="407"/>
        <v>70.141500000000036</v>
      </c>
      <c r="U918" s="311">
        <f t="shared" ca="1" si="408"/>
        <v>0</v>
      </c>
      <c r="V918" s="306">
        <f t="shared" ca="1" si="409"/>
        <v>1.2264333796785056</v>
      </c>
      <c r="W918" s="304">
        <f t="shared" ca="1" si="410"/>
        <v>54.708292462377536</v>
      </c>
      <c r="Y918" s="314" t="str">
        <f t="shared" ca="1" si="428"/>
        <v/>
      </c>
      <c r="Z918" s="315" t="str">
        <f t="shared" ca="1" si="429"/>
        <v/>
      </c>
      <c r="AA918" s="316" t="str">
        <f t="shared" ca="1" si="430"/>
        <v/>
      </c>
      <c r="AC918" s="310" t="e">
        <f t="shared" ca="1" si="431"/>
        <v>#N/A</v>
      </c>
      <c r="AD918" s="323" t="e">
        <f t="shared" ca="1" si="432"/>
        <v>#N/A</v>
      </c>
      <c r="AE918" s="324" t="e">
        <f t="shared" ca="1" si="411"/>
        <v>#N/A</v>
      </c>
      <c r="AG918" s="306">
        <f t="shared" ca="1" si="433"/>
        <v>2.1140764993699985</v>
      </c>
      <c r="AH918" s="304">
        <f t="shared" ca="1" si="434"/>
        <v>-7.651474731359091</v>
      </c>
    </row>
    <row r="919" spans="1:34" x14ac:dyDescent="0.2">
      <c r="A919" s="347">
        <f t="shared" ca="1" si="412"/>
        <v>1E-4</v>
      </c>
      <c r="B919" s="304">
        <f t="shared" ca="1" si="413"/>
        <v>36.736800000001473</v>
      </c>
      <c r="D919" s="306">
        <f t="shared" ca="1" si="414"/>
        <v>-0.72754814374458998</v>
      </c>
      <c r="E919" s="307">
        <f t="shared" ca="1" si="415"/>
        <v>-2.1931587690840448</v>
      </c>
      <c r="F919" s="304">
        <f t="shared" ca="1" si="416"/>
        <v>2.3106864105448062</v>
      </c>
      <c r="G919" s="306">
        <f t="shared" ca="1" si="417"/>
        <v>12.430882433038892</v>
      </c>
      <c r="H919" s="307">
        <f t="shared" ca="1" si="418"/>
        <v>-130.14227634481904</v>
      </c>
      <c r="I919" s="304">
        <f t="shared" ca="1" si="419"/>
        <v>130.73461259465788</v>
      </c>
      <c r="J919" s="306">
        <f t="shared" ca="1" si="420"/>
        <v>889.84792314375909</v>
      </c>
      <c r="K919" s="307">
        <f t="shared" ca="1" si="421"/>
        <v>-11.707231080873729</v>
      </c>
      <c r="L919" s="304">
        <f t="shared" ca="1" si="406"/>
        <v>889.92493255489944</v>
      </c>
      <c r="M919" s="306">
        <f t="shared" ca="1" si="422"/>
        <v>-1.4755676008519885</v>
      </c>
      <c r="N919" s="304">
        <f t="shared" ca="1" si="423"/>
        <v>-84.543795915063399</v>
      </c>
      <c r="P919" s="310">
        <f t="shared" ca="1" si="424"/>
        <v>23</v>
      </c>
      <c r="Q919" s="304">
        <f t="shared" ca="1" si="425"/>
        <v>0</v>
      </c>
      <c r="R919" s="306">
        <f t="shared" ca="1" si="426"/>
        <v>0</v>
      </c>
      <c r="S919" s="307">
        <f t="shared" ca="1" si="427"/>
        <v>7.150000000000003</v>
      </c>
      <c r="T919" s="304">
        <f t="shared" ca="1" si="407"/>
        <v>70.141500000000036</v>
      </c>
      <c r="U919" s="311">
        <f t="shared" ca="1" si="408"/>
        <v>0</v>
      </c>
      <c r="V919" s="306">
        <f t="shared" ca="1" si="409"/>
        <v>1.2264349757870636</v>
      </c>
      <c r="W919" s="304">
        <f t="shared" ca="1" si="410"/>
        <v>54.708540593648074</v>
      </c>
      <c r="Y919" s="314" t="str">
        <f t="shared" ca="1" si="428"/>
        <v/>
      </c>
      <c r="Z919" s="315" t="str">
        <f t="shared" ca="1" si="429"/>
        <v/>
      </c>
      <c r="AA919" s="316" t="str">
        <f t="shared" ca="1" si="430"/>
        <v/>
      </c>
      <c r="AC919" s="310" t="e">
        <f t="shared" ca="1" si="431"/>
        <v>#N/A</v>
      </c>
      <c r="AD919" s="323" t="e">
        <f t="shared" ca="1" si="432"/>
        <v>#N/A</v>
      </c>
      <c r="AE919" s="324" t="e">
        <f t="shared" ca="1" si="411"/>
        <v>#N/A</v>
      </c>
      <c r="AG919" s="306">
        <f t="shared" ca="1" si="433"/>
        <v>2.1140424609839092</v>
      </c>
      <c r="AH919" s="304">
        <f t="shared" ca="1" si="434"/>
        <v>-7.6515094352975543</v>
      </c>
    </row>
    <row r="920" spans="1:34" x14ac:dyDescent="0.2">
      <c r="A920" s="347">
        <f t="shared" ca="1" si="412"/>
        <v>1E-4</v>
      </c>
      <c r="B920" s="304">
        <f t="shared" ca="1" si="413"/>
        <v>36.736900000001476</v>
      </c>
      <c r="D920" s="306">
        <f t="shared" ca="1" si="414"/>
        <v>-0.72754600893392085</v>
      </c>
      <c r="E920" s="307">
        <f t="shared" ca="1" si="415"/>
        <v>-2.1931237035437334</v>
      </c>
      <c r="F920" s="304">
        <f t="shared" ca="1" si="416"/>
        <v>2.310652456376999</v>
      </c>
      <c r="G920" s="306">
        <f t="shared" ca="1" si="417"/>
        <v>12.430809678437999</v>
      </c>
      <c r="H920" s="307">
        <f t="shared" ca="1" si="418"/>
        <v>-130.14249565718939</v>
      </c>
      <c r="I920" s="304">
        <f t="shared" ca="1" si="419"/>
        <v>130.73482399553345</v>
      </c>
      <c r="J920" s="306">
        <f t="shared" ca="1" si="420"/>
        <v>889.84792314375909</v>
      </c>
      <c r="K920" s="307">
        <f t="shared" ca="1" si="421"/>
        <v>-11.720245319473829</v>
      </c>
      <c r="L920" s="304">
        <f t="shared" ca="1" si="406"/>
        <v>889.92510385627963</v>
      </c>
      <c r="M920" s="306">
        <f t="shared" ca="1" si="422"/>
        <v>-1.4755683143439682</v>
      </c>
      <c r="N920" s="304">
        <f t="shared" ca="1" si="423"/>
        <v>-84.543836795142553</v>
      </c>
      <c r="P920" s="310">
        <f t="shared" ca="1" si="424"/>
        <v>23</v>
      </c>
      <c r="Q920" s="304">
        <f t="shared" ca="1" si="425"/>
        <v>0</v>
      </c>
      <c r="R920" s="306">
        <f t="shared" ca="1" si="426"/>
        <v>0</v>
      </c>
      <c r="S920" s="307">
        <f t="shared" ca="1" si="427"/>
        <v>7.150000000000003</v>
      </c>
      <c r="T920" s="304">
        <f t="shared" ca="1" si="407"/>
        <v>70.141500000000036</v>
      </c>
      <c r="U920" s="311">
        <f t="shared" ca="1" si="408"/>
        <v>0</v>
      </c>
      <c r="V920" s="306">
        <f t="shared" ca="1" si="409"/>
        <v>1.22643657190039</v>
      </c>
      <c r="W920" s="304">
        <f t="shared" ca="1" si="410"/>
        <v>54.70878872302918</v>
      </c>
      <c r="Y920" s="314" t="str">
        <f t="shared" ca="1" si="428"/>
        <v/>
      </c>
      <c r="Z920" s="315" t="str">
        <f t="shared" ca="1" si="429"/>
        <v/>
      </c>
      <c r="AA920" s="316" t="str">
        <f t="shared" ca="1" si="430"/>
        <v/>
      </c>
      <c r="AC920" s="310" t="e">
        <f t="shared" ca="1" si="431"/>
        <v>#N/A</v>
      </c>
      <c r="AD920" s="323" t="e">
        <f t="shared" ca="1" si="432"/>
        <v>#N/A</v>
      </c>
      <c r="AE920" s="324" t="e">
        <f t="shared" ca="1" si="411"/>
        <v>#N/A</v>
      </c>
      <c r="AG920" s="306">
        <f t="shared" ca="1" si="433"/>
        <v>2.1140084228510618</v>
      </c>
      <c r="AH920" s="304">
        <f t="shared" ca="1" si="434"/>
        <v>-7.6515441389717553</v>
      </c>
    </row>
    <row r="921" spans="1:34" x14ac:dyDescent="0.2">
      <c r="A921" s="347">
        <f t="shared" ca="1" si="412"/>
        <v>1E-4</v>
      </c>
      <c r="B921" s="304">
        <f t="shared" ca="1" si="413"/>
        <v>36.73700000000148</v>
      </c>
      <c r="D921" s="306">
        <f t="shared" ca="1" si="414"/>
        <v>-0.72754387409784116</v>
      </c>
      <c r="E921" s="307">
        <f t="shared" ca="1" si="415"/>
        <v>-2.1930886382703676</v>
      </c>
      <c r="F921" s="304">
        <f t="shared" ca="1" si="416"/>
        <v>2.3106185024897274</v>
      </c>
      <c r="G921" s="306">
        <f t="shared" ca="1" si="417"/>
        <v>12.430736924050588</v>
      </c>
      <c r="H921" s="307">
        <f t="shared" ca="1" si="418"/>
        <v>-130.14271496605321</v>
      </c>
      <c r="I921" s="304">
        <f t="shared" ca="1" si="419"/>
        <v>130.73503539300521</v>
      </c>
      <c r="J921" s="306">
        <f t="shared" ca="1" si="420"/>
        <v>889.84792314375909</v>
      </c>
      <c r="K921" s="307">
        <f t="shared" ca="1" si="421"/>
        <v>-11.733259580004992</v>
      </c>
      <c r="L921" s="304">
        <f t="shared" ca="1" si="406"/>
        <v>889.92527534823569</v>
      </c>
      <c r="M921" s="306">
        <f t="shared" ca="1" si="422"/>
        <v>-1.4755690278294646</v>
      </c>
      <c r="N921" s="304">
        <f t="shared" ca="1" si="423"/>
        <v>-84.543877674850236</v>
      </c>
      <c r="P921" s="310">
        <f t="shared" ca="1" si="424"/>
        <v>23</v>
      </c>
      <c r="Q921" s="304">
        <f t="shared" ca="1" si="425"/>
        <v>0</v>
      </c>
      <c r="R921" s="306">
        <f t="shared" ca="1" si="426"/>
        <v>0</v>
      </c>
      <c r="S921" s="307">
        <f t="shared" ca="1" si="427"/>
        <v>7.150000000000003</v>
      </c>
      <c r="T921" s="304">
        <f t="shared" ca="1" si="407"/>
        <v>70.141500000000036</v>
      </c>
      <c r="U921" s="311">
        <f t="shared" ca="1" si="408"/>
        <v>0</v>
      </c>
      <c r="V921" s="306">
        <f t="shared" ca="1" si="409"/>
        <v>1.2264381680184844</v>
      </c>
      <c r="W921" s="304">
        <f t="shared" ca="1" si="410"/>
        <v>54.709036850520789</v>
      </c>
      <c r="Y921" s="314" t="str">
        <f t="shared" ca="1" si="428"/>
        <v/>
      </c>
      <c r="Z921" s="315" t="str">
        <f t="shared" ca="1" si="429"/>
        <v/>
      </c>
      <c r="AA921" s="316" t="str">
        <f t="shared" ca="1" si="430"/>
        <v/>
      </c>
      <c r="AC921" s="310" t="e">
        <f t="shared" ca="1" si="431"/>
        <v>#N/A</v>
      </c>
      <c r="AD921" s="323" t="e">
        <f t="shared" ca="1" si="432"/>
        <v>#N/A</v>
      </c>
      <c r="AE921" s="324" t="e">
        <f t="shared" ca="1" si="411"/>
        <v>#N/A</v>
      </c>
      <c r="AG921" s="306">
        <f t="shared" ca="1" si="433"/>
        <v>2.1139743849714536</v>
      </c>
      <c r="AH921" s="304">
        <f t="shared" ca="1" si="434"/>
        <v>-7.6515788423817002</v>
      </c>
    </row>
    <row r="922" spans="1:34" x14ac:dyDescent="0.2">
      <c r="A922" s="347">
        <f t="shared" ca="1" si="412"/>
        <v>1E-4</v>
      </c>
      <c r="B922" s="304">
        <f t="shared" ca="1" si="413"/>
        <v>36.737100000001483</v>
      </c>
      <c r="D922" s="306">
        <f t="shared" ca="1" si="414"/>
        <v>-0.72754173923634968</v>
      </c>
      <c r="E922" s="307">
        <f t="shared" ca="1" si="415"/>
        <v>-2.1930535732639536</v>
      </c>
      <c r="F922" s="304">
        <f t="shared" ca="1" si="416"/>
        <v>2.3105845488829981</v>
      </c>
      <c r="G922" s="306">
        <f t="shared" ca="1" si="417"/>
        <v>12.430664169876664</v>
      </c>
      <c r="H922" s="307">
        <f t="shared" ca="1" si="418"/>
        <v>-130.14293427141052</v>
      </c>
      <c r="I922" s="304">
        <f t="shared" ca="1" si="419"/>
        <v>130.73524678707321</v>
      </c>
      <c r="J922" s="306">
        <f t="shared" ca="1" si="420"/>
        <v>889.84792314375909</v>
      </c>
      <c r="K922" s="307">
        <f t="shared" ca="1" si="421"/>
        <v>-11.746273862466865</v>
      </c>
      <c r="L922" s="304">
        <f t="shared" ca="1" si="406"/>
        <v>889.92544703076862</v>
      </c>
      <c r="M922" s="306">
        <f t="shared" ca="1" si="422"/>
        <v>-1.4755697413084778</v>
      </c>
      <c r="N922" s="304">
        <f t="shared" ca="1" si="423"/>
        <v>-84.543918554186462</v>
      </c>
      <c r="P922" s="310">
        <f t="shared" ca="1" si="424"/>
        <v>23</v>
      </c>
      <c r="Q922" s="304">
        <f t="shared" ca="1" si="425"/>
        <v>0</v>
      </c>
      <c r="R922" s="306">
        <f t="shared" ca="1" si="426"/>
        <v>0</v>
      </c>
      <c r="S922" s="307">
        <f t="shared" ca="1" si="427"/>
        <v>7.150000000000003</v>
      </c>
      <c r="T922" s="304">
        <f t="shared" ca="1" si="407"/>
        <v>70.141500000000036</v>
      </c>
      <c r="U922" s="311">
        <f t="shared" ca="1" si="408"/>
        <v>0</v>
      </c>
      <c r="V922" s="306">
        <f t="shared" ca="1" si="409"/>
        <v>1.2264397641413474</v>
      </c>
      <c r="W922" s="304">
        <f t="shared" ca="1" si="410"/>
        <v>54.709284976122973</v>
      </c>
      <c r="Y922" s="314" t="str">
        <f t="shared" ca="1" si="428"/>
        <v/>
      </c>
      <c r="Z922" s="315" t="str">
        <f t="shared" ca="1" si="429"/>
        <v/>
      </c>
      <c r="AA922" s="316" t="str">
        <f t="shared" ca="1" si="430"/>
        <v/>
      </c>
      <c r="AC922" s="310" t="e">
        <f t="shared" ca="1" si="431"/>
        <v>#N/A</v>
      </c>
      <c r="AD922" s="323" t="e">
        <f t="shared" ca="1" si="432"/>
        <v>#N/A</v>
      </c>
      <c r="AE922" s="324" t="e">
        <f t="shared" ca="1" si="411"/>
        <v>#N/A</v>
      </c>
      <c r="AG922" s="306">
        <f t="shared" ca="1" si="433"/>
        <v>2.1139403473450882</v>
      </c>
      <c r="AH922" s="304">
        <f t="shared" ca="1" si="434"/>
        <v>-7.6516135455273799</v>
      </c>
    </row>
    <row r="923" spans="1:34" x14ac:dyDescent="0.2">
      <c r="A923" s="347">
        <f t="shared" ca="1" si="412"/>
        <v>1E-4</v>
      </c>
      <c r="B923" s="304">
        <f t="shared" ca="1" si="413"/>
        <v>36.737200000001486</v>
      </c>
      <c r="D923" s="306">
        <f t="shared" ca="1" si="414"/>
        <v>-0.72753960434944853</v>
      </c>
      <c r="E923" s="307">
        <f t="shared" ca="1" si="415"/>
        <v>-2.1930185085244851</v>
      </c>
      <c r="F923" s="304">
        <f t="shared" ca="1" si="416"/>
        <v>2.3105505955568058</v>
      </c>
      <c r="G923" s="306">
        <f t="shared" ca="1" si="417"/>
        <v>12.430591415916229</v>
      </c>
      <c r="H923" s="307">
        <f t="shared" ca="1" si="418"/>
        <v>-130.14315357326137</v>
      </c>
      <c r="I923" s="304">
        <f t="shared" ca="1" si="419"/>
        <v>130.73545817773748</v>
      </c>
      <c r="J923" s="306">
        <f t="shared" ca="1" si="420"/>
        <v>889.84792314375909</v>
      </c>
      <c r="K923" s="307">
        <f t="shared" ca="1" si="421"/>
        <v>-11.759288166859099</v>
      </c>
      <c r="L923" s="304">
        <f t="shared" ca="1" si="406"/>
        <v>889.92561890387924</v>
      </c>
      <c r="M923" s="306">
        <f t="shared" ca="1" si="422"/>
        <v>-1.4755704547810078</v>
      </c>
      <c r="N923" s="304">
        <f t="shared" ca="1" si="423"/>
        <v>-84.54395943315123</v>
      </c>
      <c r="P923" s="310">
        <f t="shared" ca="1" si="424"/>
        <v>23</v>
      </c>
      <c r="Q923" s="304">
        <f t="shared" ca="1" si="425"/>
        <v>0</v>
      </c>
      <c r="R923" s="306">
        <f t="shared" ca="1" si="426"/>
        <v>0</v>
      </c>
      <c r="S923" s="307">
        <f t="shared" ca="1" si="427"/>
        <v>7.150000000000003</v>
      </c>
      <c r="T923" s="304">
        <f t="shared" ca="1" si="407"/>
        <v>70.141500000000036</v>
      </c>
      <c r="U923" s="311">
        <f t="shared" ca="1" si="408"/>
        <v>0</v>
      </c>
      <c r="V923" s="306">
        <f t="shared" ca="1" si="409"/>
        <v>1.2264413602689783</v>
      </c>
      <c r="W923" s="304">
        <f t="shared" ca="1" si="410"/>
        <v>54.709533099835674</v>
      </c>
      <c r="Y923" s="314" t="str">
        <f t="shared" ca="1" si="428"/>
        <v/>
      </c>
      <c r="Z923" s="315" t="str">
        <f t="shared" ca="1" si="429"/>
        <v/>
      </c>
      <c r="AA923" s="316" t="str">
        <f t="shared" ca="1" si="430"/>
        <v/>
      </c>
      <c r="AC923" s="310" t="e">
        <f t="shared" ca="1" si="431"/>
        <v>#N/A</v>
      </c>
      <c r="AD923" s="323" t="e">
        <f t="shared" ca="1" si="432"/>
        <v>#N/A</v>
      </c>
      <c r="AE923" s="324" t="e">
        <f t="shared" ca="1" si="411"/>
        <v>#N/A</v>
      </c>
      <c r="AG923" s="306">
        <f t="shared" ca="1" si="433"/>
        <v>2.1139063099719628</v>
      </c>
      <c r="AH923" s="304">
        <f t="shared" ca="1" si="434"/>
        <v>-7.6516482484088044</v>
      </c>
    </row>
    <row r="924" spans="1:34" x14ac:dyDescent="0.2">
      <c r="A924" s="347">
        <f t="shared" ca="1" si="412"/>
        <v>1E-4</v>
      </c>
      <c r="B924" s="304">
        <f t="shared" ca="1" si="413"/>
        <v>36.73730000000149</v>
      </c>
      <c r="D924" s="306">
        <f t="shared" ca="1" si="414"/>
        <v>-0.72753746943713815</v>
      </c>
      <c r="E924" s="307">
        <f t="shared" ca="1" si="415"/>
        <v>-2.1929834440519675</v>
      </c>
      <c r="F924" s="304">
        <f t="shared" ca="1" si="416"/>
        <v>2.3105166425111556</v>
      </c>
      <c r="G924" s="306">
        <f t="shared" ca="1" si="417"/>
        <v>12.430518662169286</v>
      </c>
      <c r="H924" s="307">
        <f t="shared" ca="1" si="418"/>
        <v>-130.14337287160578</v>
      </c>
      <c r="I924" s="304">
        <f t="shared" ca="1" si="419"/>
        <v>130.73566956499803</v>
      </c>
      <c r="J924" s="306">
        <f t="shared" ca="1" si="420"/>
        <v>889.84792314375909</v>
      </c>
      <c r="K924" s="307">
        <f t="shared" ca="1" si="421"/>
        <v>-11.772302493181343</v>
      </c>
      <c r="L924" s="304">
        <f t="shared" ca="1" si="406"/>
        <v>889.92579096756845</v>
      </c>
      <c r="M924" s="306">
        <f t="shared" ca="1" si="422"/>
        <v>-1.4755711682470549</v>
      </c>
      <c r="N924" s="304">
        <f t="shared" ca="1" si="423"/>
        <v>-84.544000311744554</v>
      </c>
      <c r="P924" s="310">
        <f t="shared" ca="1" si="424"/>
        <v>23</v>
      </c>
      <c r="Q924" s="304">
        <f t="shared" ca="1" si="425"/>
        <v>0</v>
      </c>
      <c r="R924" s="306">
        <f t="shared" ca="1" si="426"/>
        <v>0</v>
      </c>
      <c r="S924" s="307">
        <f t="shared" ca="1" si="427"/>
        <v>7.150000000000003</v>
      </c>
      <c r="T924" s="304">
        <f t="shared" ca="1" si="407"/>
        <v>70.141500000000036</v>
      </c>
      <c r="U924" s="311">
        <f t="shared" ca="1" si="408"/>
        <v>0</v>
      </c>
      <c r="V924" s="306">
        <f t="shared" ca="1" si="409"/>
        <v>1.2264429564013768</v>
      </c>
      <c r="W924" s="304">
        <f t="shared" ca="1" si="410"/>
        <v>54.709781221658893</v>
      </c>
      <c r="Y924" s="314" t="str">
        <f t="shared" ca="1" si="428"/>
        <v/>
      </c>
      <c r="Z924" s="315" t="str">
        <f t="shared" ca="1" si="429"/>
        <v/>
      </c>
      <c r="AA924" s="316" t="str">
        <f t="shared" ca="1" si="430"/>
        <v/>
      </c>
      <c r="AC924" s="310" t="e">
        <f t="shared" ca="1" si="431"/>
        <v>#N/A</v>
      </c>
      <c r="AD924" s="323" t="e">
        <f t="shared" ca="1" si="432"/>
        <v>#N/A</v>
      </c>
      <c r="AE924" s="324" t="e">
        <f t="shared" ca="1" si="411"/>
        <v>#N/A</v>
      </c>
      <c r="AG924" s="306">
        <f t="shared" ca="1" si="433"/>
        <v>2.113872272852082</v>
      </c>
      <c r="AH924" s="304">
        <f t="shared" ca="1" si="434"/>
        <v>-7.6516829510259656</v>
      </c>
    </row>
    <row r="925" spans="1:34" x14ac:dyDescent="0.2">
      <c r="A925" s="347">
        <f t="shared" ca="1" si="412"/>
        <v>1E-4</v>
      </c>
      <c r="B925" s="304">
        <f t="shared" ca="1" si="413"/>
        <v>36.737400000001493</v>
      </c>
      <c r="D925" s="306">
        <f t="shared" ca="1" si="414"/>
        <v>-0.72753533449941654</v>
      </c>
      <c r="E925" s="307">
        <f t="shared" ca="1" si="415"/>
        <v>-2.1929483798464027</v>
      </c>
      <c r="F925" s="304">
        <f t="shared" ca="1" si="416"/>
        <v>2.3104826897460495</v>
      </c>
      <c r="G925" s="306">
        <f t="shared" ca="1" si="417"/>
        <v>12.430445908635836</v>
      </c>
      <c r="H925" s="307">
        <f t="shared" ca="1" si="418"/>
        <v>-130.14359216644377</v>
      </c>
      <c r="I925" s="304">
        <f t="shared" ca="1" si="419"/>
        <v>130.73588094885491</v>
      </c>
      <c r="J925" s="306">
        <f t="shared" ca="1" si="420"/>
        <v>889.84792314375909</v>
      </c>
      <c r="K925" s="307">
        <f t="shared" ca="1" si="421"/>
        <v>-11.785316841433245</v>
      </c>
      <c r="L925" s="304">
        <f t="shared" ca="1" si="406"/>
        <v>889.92596322183692</v>
      </c>
      <c r="M925" s="306">
        <f t="shared" ca="1" si="422"/>
        <v>-1.475571881706619</v>
      </c>
      <c r="N925" s="304">
        <f t="shared" ca="1" si="423"/>
        <v>-84.544041189966435</v>
      </c>
      <c r="P925" s="310">
        <f t="shared" ca="1" si="424"/>
        <v>23</v>
      </c>
      <c r="Q925" s="304">
        <f t="shared" ca="1" si="425"/>
        <v>0</v>
      </c>
      <c r="R925" s="306">
        <f t="shared" ca="1" si="426"/>
        <v>0</v>
      </c>
      <c r="S925" s="307">
        <f t="shared" ca="1" si="427"/>
        <v>7.150000000000003</v>
      </c>
      <c r="T925" s="304">
        <f t="shared" ca="1" si="407"/>
        <v>70.141500000000036</v>
      </c>
      <c r="U925" s="311">
        <f t="shared" ca="1" si="408"/>
        <v>0</v>
      </c>
      <c r="V925" s="306">
        <f t="shared" ca="1" si="409"/>
        <v>1.2264445525385437</v>
      </c>
      <c r="W925" s="304">
        <f t="shared" ca="1" si="410"/>
        <v>54.710029341592652</v>
      </c>
      <c r="Y925" s="314" t="str">
        <f t="shared" ca="1" si="428"/>
        <v/>
      </c>
      <c r="Z925" s="315" t="str">
        <f t="shared" ca="1" si="429"/>
        <v/>
      </c>
      <c r="AA925" s="316" t="str">
        <f t="shared" ca="1" si="430"/>
        <v/>
      </c>
      <c r="AC925" s="310" t="e">
        <f t="shared" ca="1" si="431"/>
        <v>#N/A</v>
      </c>
      <c r="AD925" s="323" t="e">
        <f t="shared" ca="1" si="432"/>
        <v>#N/A</v>
      </c>
      <c r="AE925" s="324" t="e">
        <f t="shared" ca="1" si="411"/>
        <v>#N/A</v>
      </c>
      <c r="AG925" s="306">
        <f t="shared" ca="1" si="433"/>
        <v>2.1138382359854484</v>
      </c>
      <c r="AH925" s="304">
        <f t="shared" ca="1" si="434"/>
        <v>-7.6517176533788627</v>
      </c>
    </row>
    <row r="926" spans="1:34" x14ac:dyDescent="0.2">
      <c r="A926" s="347">
        <f t="shared" ca="1" si="412"/>
        <v>1E-4</v>
      </c>
      <c r="B926" s="304">
        <f t="shared" ca="1" si="413"/>
        <v>36.737500000001496</v>
      </c>
      <c r="D926" s="306">
        <f t="shared" ca="1" si="414"/>
        <v>-0.72753319953628692</v>
      </c>
      <c r="E926" s="307">
        <f t="shared" ca="1" si="415"/>
        <v>-2.1929133159077852</v>
      </c>
      <c r="F926" s="304">
        <f t="shared" ca="1" si="416"/>
        <v>2.3104487372614835</v>
      </c>
      <c r="G926" s="306">
        <f t="shared" ca="1" si="417"/>
        <v>12.430373155315882</v>
      </c>
      <c r="H926" s="307">
        <f t="shared" ca="1" si="418"/>
        <v>-130.14381145777537</v>
      </c>
      <c r="I926" s="304">
        <f t="shared" ca="1" si="419"/>
        <v>130.73609232930815</v>
      </c>
      <c r="J926" s="306">
        <f t="shared" ca="1" si="420"/>
        <v>889.84792314375909</v>
      </c>
      <c r="K926" s="307">
        <f t="shared" ca="1" si="421"/>
        <v>-11.798331211614455</v>
      </c>
      <c r="L926" s="304">
        <f t="shared" ca="1" si="406"/>
        <v>889.9261356666857</v>
      </c>
      <c r="M926" s="306">
        <f t="shared" ca="1" si="422"/>
        <v>-1.4755725951597001</v>
      </c>
      <c r="N926" s="304">
        <f t="shared" ca="1" si="423"/>
        <v>-84.544082067816859</v>
      </c>
      <c r="P926" s="310">
        <f t="shared" ca="1" si="424"/>
        <v>23</v>
      </c>
      <c r="Q926" s="304">
        <f t="shared" ca="1" si="425"/>
        <v>0</v>
      </c>
      <c r="R926" s="306">
        <f t="shared" ca="1" si="426"/>
        <v>0</v>
      </c>
      <c r="S926" s="307">
        <f t="shared" ca="1" si="427"/>
        <v>7.150000000000003</v>
      </c>
      <c r="T926" s="304">
        <f t="shared" ca="1" si="407"/>
        <v>70.141500000000036</v>
      </c>
      <c r="U926" s="311">
        <f t="shared" ca="1" si="408"/>
        <v>0</v>
      </c>
      <c r="V926" s="306">
        <f t="shared" ca="1" si="409"/>
        <v>1.2264461486804787</v>
      </c>
      <c r="W926" s="304">
        <f t="shared" ca="1" si="410"/>
        <v>54.710277459636977</v>
      </c>
      <c r="Y926" s="314" t="str">
        <f t="shared" ca="1" si="428"/>
        <v/>
      </c>
      <c r="Z926" s="315" t="str">
        <f t="shared" ca="1" si="429"/>
        <v/>
      </c>
      <c r="AA926" s="316" t="str">
        <f t="shared" ca="1" si="430"/>
        <v/>
      </c>
      <c r="AC926" s="310" t="e">
        <f t="shared" ca="1" si="431"/>
        <v>#N/A</v>
      </c>
      <c r="AD926" s="323" t="e">
        <f t="shared" ca="1" si="432"/>
        <v>#N/A</v>
      </c>
      <c r="AE926" s="324" t="e">
        <f t="shared" ca="1" si="411"/>
        <v>#N/A</v>
      </c>
      <c r="AG926" s="306">
        <f t="shared" ca="1" si="433"/>
        <v>2.1138041993720513</v>
      </c>
      <c r="AH926" s="304">
        <f t="shared" ca="1" si="434"/>
        <v>-7.6517523554675009</v>
      </c>
    </row>
    <row r="927" spans="1:34" x14ac:dyDescent="0.2">
      <c r="A927" s="347">
        <f t="shared" ca="1" si="412"/>
        <v>1E-4</v>
      </c>
      <c r="B927" s="304">
        <f t="shared" ca="1" si="413"/>
        <v>36.7376000000015</v>
      </c>
      <c r="D927" s="306">
        <f t="shared" ca="1" si="414"/>
        <v>-0.72753106454775074</v>
      </c>
      <c r="E927" s="307">
        <f t="shared" ca="1" si="415"/>
        <v>-2.1928782522361132</v>
      </c>
      <c r="F927" s="304">
        <f t="shared" ca="1" si="416"/>
        <v>2.3104147850574566</v>
      </c>
      <c r="G927" s="306">
        <f t="shared" ca="1" si="417"/>
        <v>12.430300402209427</v>
      </c>
      <c r="H927" s="307">
        <f t="shared" ca="1" si="418"/>
        <v>-130.14403074560059</v>
      </c>
      <c r="I927" s="304">
        <f t="shared" ca="1" si="419"/>
        <v>130.73630370635769</v>
      </c>
      <c r="J927" s="306">
        <f t="shared" ca="1" si="420"/>
        <v>889.84792314375909</v>
      </c>
      <c r="K927" s="307">
        <f t="shared" ca="1" si="421"/>
        <v>-11.811345603724623</v>
      </c>
      <c r="L927" s="304">
        <f t="shared" ca="1" si="406"/>
        <v>889.92630830211556</v>
      </c>
      <c r="M927" s="306">
        <f t="shared" ca="1" si="422"/>
        <v>-1.4755733086062985</v>
      </c>
      <c r="N927" s="304">
        <f t="shared" ca="1" si="423"/>
        <v>-84.544122945295854</v>
      </c>
      <c r="P927" s="310">
        <f t="shared" ca="1" si="424"/>
        <v>23</v>
      </c>
      <c r="Q927" s="304">
        <f t="shared" ca="1" si="425"/>
        <v>0</v>
      </c>
      <c r="R927" s="306">
        <f t="shared" ca="1" si="426"/>
        <v>0</v>
      </c>
      <c r="S927" s="307">
        <f t="shared" ca="1" si="427"/>
        <v>7.150000000000003</v>
      </c>
      <c r="T927" s="304">
        <f t="shared" ca="1" si="407"/>
        <v>70.141500000000036</v>
      </c>
      <c r="U927" s="311">
        <f t="shared" ca="1" si="408"/>
        <v>0</v>
      </c>
      <c r="V927" s="306">
        <f t="shared" ca="1" si="409"/>
        <v>1.2264477448271813</v>
      </c>
      <c r="W927" s="304">
        <f t="shared" ca="1" si="410"/>
        <v>54.710525575791742</v>
      </c>
      <c r="Y927" s="314" t="str">
        <f t="shared" ca="1" si="428"/>
        <v/>
      </c>
      <c r="Z927" s="315" t="str">
        <f t="shared" ca="1" si="429"/>
        <v/>
      </c>
      <c r="AA927" s="316" t="str">
        <f t="shared" ca="1" si="430"/>
        <v/>
      </c>
      <c r="AC927" s="310" t="e">
        <f t="shared" ca="1" si="431"/>
        <v>#N/A</v>
      </c>
      <c r="AD927" s="323" t="e">
        <f t="shared" ca="1" si="432"/>
        <v>#N/A</v>
      </c>
      <c r="AE927" s="324" t="e">
        <f t="shared" ca="1" si="411"/>
        <v>#N/A</v>
      </c>
      <c r="AG927" s="306">
        <f t="shared" ca="1" si="433"/>
        <v>2.1137701630118979</v>
      </c>
      <c r="AH927" s="304">
        <f t="shared" ca="1" si="434"/>
        <v>-7.651787057291882</v>
      </c>
    </row>
    <row r="928" spans="1:34" x14ac:dyDescent="0.2">
      <c r="A928" s="347">
        <f t="shared" ca="1" si="412"/>
        <v>1E-4</v>
      </c>
      <c r="B928" s="304">
        <f t="shared" ca="1" si="413"/>
        <v>36.737700000001503</v>
      </c>
      <c r="D928" s="306">
        <f t="shared" ca="1" si="414"/>
        <v>-0.72752892953380421</v>
      </c>
      <c r="E928" s="307">
        <f t="shared" ca="1" si="415"/>
        <v>-2.1928431888314046</v>
      </c>
      <c r="F928" s="304">
        <f t="shared" ca="1" si="416"/>
        <v>2.3103808331339848</v>
      </c>
      <c r="G928" s="306">
        <f t="shared" ca="1" si="417"/>
        <v>12.430227649316475</v>
      </c>
      <c r="H928" s="307">
        <f t="shared" ca="1" si="418"/>
        <v>-130.14425002991948</v>
      </c>
      <c r="I928" s="304">
        <f t="shared" ca="1" si="419"/>
        <v>130.73651508000367</v>
      </c>
      <c r="J928" s="306">
        <f t="shared" ca="1" si="420"/>
        <v>889.84792314375909</v>
      </c>
      <c r="K928" s="307">
        <f t="shared" ca="1" si="421"/>
        <v>-11.8243600177634</v>
      </c>
      <c r="L928" s="304">
        <f t="shared" ca="1" si="406"/>
        <v>889.92648112812719</v>
      </c>
      <c r="M928" s="306">
        <f t="shared" ca="1" si="422"/>
        <v>-1.4755740220464144</v>
      </c>
      <c r="N928" s="304">
        <f t="shared" ca="1" si="423"/>
        <v>-84.544163822403434</v>
      </c>
      <c r="P928" s="310">
        <f t="shared" ca="1" si="424"/>
        <v>23</v>
      </c>
      <c r="Q928" s="304">
        <f t="shared" ca="1" si="425"/>
        <v>0</v>
      </c>
      <c r="R928" s="306">
        <f t="shared" ca="1" si="426"/>
        <v>0</v>
      </c>
      <c r="S928" s="307">
        <f t="shared" ca="1" si="427"/>
        <v>7.150000000000003</v>
      </c>
      <c r="T928" s="304">
        <f t="shared" ca="1" si="407"/>
        <v>70.141500000000036</v>
      </c>
      <c r="U928" s="311">
        <f t="shared" ca="1" si="408"/>
        <v>0</v>
      </c>
      <c r="V928" s="306">
        <f t="shared" ca="1" si="409"/>
        <v>1.2264493409786519</v>
      </c>
      <c r="W928" s="304">
        <f t="shared" ca="1" si="410"/>
        <v>54.710773690057074</v>
      </c>
      <c r="Y928" s="314" t="str">
        <f t="shared" ca="1" si="428"/>
        <v/>
      </c>
      <c r="Z928" s="315" t="str">
        <f t="shared" ca="1" si="429"/>
        <v/>
      </c>
      <c r="AA928" s="316" t="str">
        <f t="shared" ca="1" si="430"/>
        <v/>
      </c>
      <c r="AC928" s="310" t="e">
        <f t="shared" ca="1" si="431"/>
        <v>#N/A</v>
      </c>
      <c r="AD928" s="323" t="e">
        <f t="shared" ca="1" si="432"/>
        <v>#N/A</v>
      </c>
      <c r="AE928" s="324" t="e">
        <f t="shared" ca="1" si="411"/>
        <v>#N/A</v>
      </c>
      <c r="AG928" s="306">
        <f t="shared" ca="1" si="433"/>
        <v>2.1137361269049988</v>
      </c>
      <c r="AH928" s="304">
        <f t="shared" ca="1" si="434"/>
        <v>-7.6518217588519883</v>
      </c>
    </row>
    <row r="929" spans="1:34" x14ac:dyDescent="0.2">
      <c r="A929" s="347">
        <f t="shared" ca="1" si="412"/>
        <v>1E-4</v>
      </c>
      <c r="B929" s="304">
        <f t="shared" ca="1" si="413"/>
        <v>36.737800000001506</v>
      </c>
      <c r="D929" s="306">
        <f t="shared" ca="1" si="414"/>
        <v>-0.72752679449445057</v>
      </c>
      <c r="E929" s="307">
        <f t="shared" ca="1" si="415"/>
        <v>-2.1928081256936389</v>
      </c>
      <c r="F929" s="304">
        <f t="shared" ca="1" si="416"/>
        <v>2.3103468814910499</v>
      </c>
      <c r="G929" s="306">
        <f t="shared" ca="1" si="417"/>
        <v>12.430154896637026</v>
      </c>
      <c r="H929" s="307">
        <f t="shared" ca="1" si="418"/>
        <v>-130.14446931073203</v>
      </c>
      <c r="I929" s="304">
        <f t="shared" ca="1" si="419"/>
        <v>130.73672645024604</v>
      </c>
      <c r="J929" s="306">
        <f t="shared" ca="1" si="420"/>
        <v>889.84792314375909</v>
      </c>
      <c r="K929" s="307">
        <f t="shared" ca="1" si="421"/>
        <v>-11.837374453730433</v>
      </c>
      <c r="L929" s="304">
        <f t="shared" ca="1" si="406"/>
        <v>889.92665414472174</v>
      </c>
      <c r="M929" s="306">
        <f t="shared" ca="1" si="422"/>
        <v>-1.4755747354800475</v>
      </c>
      <c r="N929" s="304">
        <f t="shared" ca="1" si="423"/>
        <v>-84.54420469913957</v>
      </c>
      <c r="P929" s="310">
        <f t="shared" ca="1" si="424"/>
        <v>23</v>
      </c>
      <c r="Q929" s="304">
        <f t="shared" ca="1" si="425"/>
        <v>0</v>
      </c>
      <c r="R929" s="306">
        <f t="shared" ca="1" si="426"/>
        <v>0</v>
      </c>
      <c r="S929" s="307">
        <f t="shared" ca="1" si="427"/>
        <v>7.150000000000003</v>
      </c>
      <c r="T929" s="304">
        <f t="shared" ca="1" si="407"/>
        <v>70.141500000000036</v>
      </c>
      <c r="U929" s="311">
        <f t="shared" ca="1" si="408"/>
        <v>0</v>
      </c>
      <c r="V929" s="306">
        <f t="shared" ca="1" si="409"/>
        <v>1.2264509371348908</v>
      </c>
      <c r="W929" s="304">
        <f t="shared" ca="1" si="410"/>
        <v>54.711021802432938</v>
      </c>
      <c r="Y929" s="314" t="str">
        <f t="shared" ca="1" si="428"/>
        <v/>
      </c>
      <c r="Z929" s="315" t="str">
        <f t="shared" ca="1" si="429"/>
        <v/>
      </c>
      <c r="AA929" s="316" t="str">
        <f t="shared" ca="1" si="430"/>
        <v/>
      </c>
      <c r="AC929" s="310" t="e">
        <f t="shared" ca="1" si="431"/>
        <v>#N/A</v>
      </c>
      <c r="AD929" s="323" t="e">
        <f t="shared" ca="1" si="432"/>
        <v>#N/A</v>
      </c>
      <c r="AE929" s="324" t="e">
        <f t="shared" ca="1" si="411"/>
        <v>#N/A</v>
      </c>
      <c r="AG929" s="306">
        <f t="shared" ca="1" si="433"/>
        <v>2.1137020910513398</v>
      </c>
      <c r="AH929" s="304">
        <f t="shared" ca="1" si="434"/>
        <v>-7.6518564601478394</v>
      </c>
    </row>
    <row r="930" spans="1:34" x14ac:dyDescent="0.2">
      <c r="A930" s="347">
        <f t="shared" ca="1" si="412"/>
        <v>1E-4</v>
      </c>
      <c r="B930" s="304">
        <f t="shared" ca="1" si="413"/>
        <v>36.73790000000151</v>
      </c>
      <c r="D930" s="306">
        <f t="shared" ca="1" si="414"/>
        <v>-0.7275246594296918</v>
      </c>
      <c r="E930" s="307">
        <f t="shared" ca="1" si="415"/>
        <v>-2.1927730628228241</v>
      </c>
      <c r="F930" s="304">
        <f t="shared" ca="1" si="416"/>
        <v>2.3103129301286609</v>
      </c>
      <c r="G930" s="306">
        <f t="shared" ca="1" si="417"/>
        <v>12.430082144171083</v>
      </c>
      <c r="H930" s="307">
        <f t="shared" ca="1" si="418"/>
        <v>-130.14468858803832</v>
      </c>
      <c r="I930" s="304">
        <f t="shared" ca="1" si="419"/>
        <v>130.73693781708485</v>
      </c>
      <c r="J930" s="306">
        <f t="shared" ca="1" si="420"/>
        <v>889.84792314375909</v>
      </c>
      <c r="K930" s="307">
        <f t="shared" ca="1" si="421"/>
        <v>-11.850388911625371</v>
      </c>
      <c r="L930" s="304">
        <f t="shared" ca="1" si="406"/>
        <v>889.92682735189987</v>
      </c>
      <c r="M930" s="306">
        <f t="shared" ca="1" si="422"/>
        <v>-1.4755754489071982</v>
      </c>
      <c r="N930" s="304">
        <f t="shared" ca="1" si="423"/>
        <v>-84.544245575504291</v>
      </c>
      <c r="P930" s="310">
        <f t="shared" ca="1" si="424"/>
        <v>23</v>
      </c>
      <c r="Q930" s="304">
        <f t="shared" ca="1" si="425"/>
        <v>0</v>
      </c>
      <c r="R930" s="306">
        <f t="shared" ca="1" si="426"/>
        <v>0</v>
      </c>
      <c r="S930" s="307">
        <f t="shared" ca="1" si="427"/>
        <v>7.150000000000003</v>
      </c>
      <c r="T930" s="304">
        <f t="shared" ca="1" si="407"/>
        <v>70.141500000000036</v>
      </c>
      <c r="U930" s="311">
        <f t="shared" ca="1" si="408"/>
        <v>0</v>
      </c>
      <c r="V930" s="306">
        <f t="shared" ca="1" si="409"/>
        <v>1.2264525332958973</v>
      </c>
      <c r="W930" s="304">
        <f t="shared" ca="1" si="410"/>
        <v>54.711269912919306</v>
      </c>
      <c r="Y930" s="314" t="str">
        <f t="shared" ca="1" si="428"/>
        <v/>
      </c>
      <c r="Z930" s="315" t="str">
        <f t="shared" ca="1" si="429"/>
        <v/>
      </c>
      <c r="AA930" s="316" t="str">
        <f t="shared" ca="1" si="430"/>
        <v/>
      </c>
      <c r="AC930" s="310" t="e">
        <f t="shared" ca="1" si="431"/>
        <v>#N/A</v>
      </c>
      <c r="AD930" s="323" t="e">
        <f t="shared" ca="1" si="432"/>
        <v>#N/A</v>
      </c>
      <c r="AE930" s="324" t="e">
        <f t="shared" ca="1" si="411"/>
        <v>#N/A</v>
      </c>
      <c r="AG930" s="306">
        <f t="shared" ca="1" si="433"/>
        <v>2.1136680554509253</v>
      </c>
      <c r="AH930" s="304">
        <f t="shared" ca="1" si="434"/>
        <v>-7.6518911611794289</v>
      </c>
    </row>
    <row r="931" spans="1:34" x14ac:dyDescent="0.2">
      <c r="A931" s="347">
        <f t="shared" ca="1" si="412"/>
        <v>1E-4</v>
      </c>
      <c r="B931" s="304">
        <f t="shared" ca="1" si="413"/>
        <v>36.738000000001513</v>
      </c>
      <c r="D931" s="306">
        <f t="shared" ca="1" si="414"/>
        <v>-0.72752252433952569</v>
      </c>
      <c r="E931" s="307">
        <f t="shared" ca="1" si="415"/>
        <v>-2.1927380002189638</v>
      </c>
      <c r="F931" s="304">
        <f t="shared" ca="1" si="416"/>
        <v>2.3102789790468199</v>
      </c>
      <c r="G931" s="306">
        <f t="shared" ca="1" si="417"/>
        <v>12.430009391918649</v>
      </c>
      <c r="H931" s="307">
        <f t="shared" ca="1" si="418"/>
        <v>-130.14490786183833</v>
      </c>
      <c r="I931" s="304">
        <f t="shared" ca="1" si="419"/>
        <v>130.73714918052011</v>
      </c>
      <c r="J931" s="306">
        <f t="shared" ca="1" si="420"/>
        <v>889.84792314375909</v>
      </c>
      <c r="K931" s="307">
        <f t="shared" ca="1" si="421"/>
        <v>-11.863403391447866</v>
      </c>
      <c r="L931" s="304">
        <f t="shared" ca="1" si="406"/>
        <v>889.9270007496624</v>
      </c>
      <c r="M931" s="306">
        <f t="shared" ca="1" si="422"/>
        <v>-1.4755761623278663</v>
      </c>
      <c r="N931" s="304">
        <f t="shared" ca="1" si="423"/>
        <v>-84.544286451497598</v>
      </c>
      <c r="P931" s="310">
        <f t="shared" ca="1" si="424"/>
        <v>23</v>
      </c>
      <c r="Q931" s="304">
        <f t="shared" ca="1" si="425"/>
        <v>0</v>
      </c>
      <c r="R931" s="306">
        <f t="shared" ca="1" si="426"/>
        <v>0</v>
      </c>
      <c r="S931" s="307">
        <f t="shared" ca="1" si="427"/>
        <v>7.150000000000003</v>
      </c>
      <c r="T931" s="304">
        <f t="shared" ca="1" si="407"/>
        <v>70.141500000000036</v>
      </c>
      <c r="U931" s="311">
        <f t="shared" ca="1" si="408"/>
        <v>0</v>
      </c>
      <c r="V931" s="306">
        <f t="shared" ca="1" si="409"/>
        <v>1.226454129461672</v>
      </c>
      <c r="W931" s="304">
        <f t="shared" ca="1" si="410"/>
        <v>54.711518021516191</v>
      </c>
      <c r="Y931" s="314" t="str">
        <f t="shared" ca="1" si="428"/>
        <v/>
      </c>
      <c r="Z931" s="315" t="str">
        <f t="shared" ca="1" si="429"/>
        <v/>
      </c>
      <c r="AA931" s="316" t="str">
        <f t="shared" ca="1" si="430"/>
        <v/>
      </c>
      <c r="AC931" s="310" t="e">
        <f t="shared" ca="1" si="431"/>
        <v>#N/A</v>
      </c>
      <c r="AD931" s="323" t="e">
        <f t="shared" ca="1" si="432"/>
        <v>#N/A</v>
      </c>
      <c r="AE931" s="324" t="e">
        <f t="shared" ca="1" si="411"/>
        <v>#N/A</v>
      </c>
      <c r="AG931" s="306">
        <f t="shared" ca="1" si="433"/>
        <v>2.113634020103758</v>
      </c>
      <c r="AH931" s="304">
        <f t="shared" ca="1" si="434"/>
        <v>-7.6519258619467525</v>
      </c>
    </row>
    <row r="932" spans="1:34" x14ac:dyDescent="0.2">
      <c r="A932" s="347">
        <f t="shared" ca="1" si="412"/>
        <v>1E-4</v>
      </c>
      <c r="B932" s="304">
        <f t="shared" ca="1" si="413"/>
        <v>36.738100000001516</v>
      </c>
      <c r="D932" s="306">
        <f t="shared" ca="1" si="414"/>
        <v>-0.72752038922395545</v>
      </c>
      <c r="E932" s="307">
        <f t="shared" ca="1" si="415"/>
        <v>-2.1927029378820544</v>
      </c>
      <c r="F932" s="304">
        <f t="shared" ca="1" si="416"/>
        <v>2.3102450282455251</v>
      </c>
      <c r="G932" s="306">
        <f t="shared" ca="1" si="417"/>
        <v>12.429936639879726</v>
      </c>
      <c r="H932" s="307">
        <f t="shared" ca="1" si="418"/>
        <v>-130.14512713213213</v>
      </c>
      <c r="I932" s="304">
        <f t="shared" ca="1" si="419"/>
        <v>130.73736054055189</v>
      </c>
      <c r="J932" s="306">
        <f t="shared" ca="1" si="420"/>
        <v>889.84792314375909</v>
      </c>
      <c r="K932" s="307">
        <f t="shared" ca="1" si="421"/>
        <v>-11.876417893197564</v>
      </c>
      <c r="L932" s="304">
        <f t="shared" ca="1" si="406"/>
        <v>889.92717433801022</v>
      </c>
      <c r="M932" s="306">
        <f t="shared" ca="1" si="422"/>
        <v>-1.4755768757420522</v>
      </c>
      <c r="N932" s="304">
        <f t="shared" ca="1" si="423"/>
        <v>-84.54432732711949</v>
      </c>
      <c r="P932" s="310">
        <f t="shared" ca="1" si="424"/>
        <v>23</v>
      </c>
      <c r="Q932" s="304">
        <f t="shared" ca="1" si="425"/>
        <v>0</v>
      </c>
      <c r="R932" s="306">
        <f t="shared" ca="1" si="426"/>
        <v>0</v>
      </c>
      <c r="S932" s="307">
        <f t="shared" ca="1" si="427"/>
        <v>7.150000000000003</v>
      </c>
      <c r="T932" s="304">
        <f t="shared" ca="1" si="407"/>
        <v>70.141500000000036</v>
      </c>
      <c r="U932" s="311">
        <f t="shared" ca="1" si="408"/>
        <v>0</v>
      </c>
      <c r="V932" s="306">
        <f t="shared" ca="1" si="409"/>
        <v>1.2264557256322139</v>
      </c>
      <c r="W932" s="304">
        <f t="shared" ca="1" si="410"/>
        <v>54.711766128223601</v>
      </c>
      <c r="Y932" s="314" t="str">
        <f t="shared" ca="1" si="428"/>
        <v/>
      </c>
      <c r="Z932" s="315" t="str">
        <f t="shared" ca="1" si="429"/>
        <v/>
      </c>
      <c r="AA932" s="316" t="str">
        <f t="shared" ca="1" si="430"/>
        <v/>
      </c>
      <c r="AC932" s="310" t="e">
        <f t="shared" ca="1" si="431"/>
        <v>#N/A</v>
      </c>
      <c r="AD932" s="323" t="e">
        <f t="shared" ca="1" si="432"/>
        <v>#N/A</v>
      </c>
      <c r="AE932" s="324" t="e">
        <f t="shared" ca="1" si="411"/>
        <v>#N/A</v>
      </c>
      <c r="AG932" s="306">
        <f t="shared" ca="1" si="433"/>
        <v>2.1135999850098361</v>
      </c>
      <c r="AH932" s="304">
        <f t="shared" ca="1" si="434"/>
        <v>-7.6519605624498137</v>
      </c>
    </row>
    <row r="933" spans="1:34" x14ac:dyDescent="0.2">
      <c r="A933" s="347">
        <f t="shared" ca="1" si="412"/>
        <v>1E-4</v>
      </c>
      <c r="B933" s="304">
        <f t="shared" ca="1" si="413"/>
        <v>36.73820000000152</v>
      </c>
      <c r="D933" s="306">
        <f t="shared" ca="1" si="414"/>
        <v>-0.72751825408297865</v>
      </c>
      <c r="E933" s="307">
        <f t="shared" ca="1" si="415"/>
        <v>-2.1926678758120959</v>
      </c>
      <c r="F933" s="304">
        <f t="shared" ca="1" si="416"/>
        <v>2.3102110777247766</v>
      </c>
      <c r="G933" s="306">
        <f t="shared" ca="1" si="417"/>
        <v>12.429863888054317</v>
      </c>
      <c r="H933" s="307">
        <f t="shared" ca="1" si="418"/>
        <v>-130.14534639891971</v>
      </c>
      <c r="I933" s="304">
        <f t="shared" ca="1" si="419"/>
        <v>130.73757189718017</v>
      </c>
      <c r="J933" s="306">
        <f t="shared" ca="1" si="420"/>
        <v>889.84792314375909</v>
      </c>
      <c r="K933" s="307">
        <f t="shared" ca="1" si="421"/>
        <v>-11.889432416874117</v>
      </c>
      <c r="L933" s="304">
        <f t="shared" ca="1" si="406"/>
        <v>889.92734811694424</v>
      </c>
      <c r="M933" s="306">
        <f t="shared" ca="1" si="422"/>
        <v>-1.4755775891497558</v>
      </c>
      <c r="N933" s="304">
        <f t="shared" ca="1" si="423"/>
        <v>-84.544368202369981</v>
      </c>
      <c r="P933" s="310">
        <f t="shared" ca="1" si="424"/>
        <v>23</v>
      </c>
      <c r="Q933" s="304">
        <f t="shared" ca="1" si="425"/>
        <v>0</v>
      </c>
      <c r="R933" s="306">
        <f t="shared" ca="1" si="426"/>
        <v>0</v>
      </c>
      <c r="S933" s="307">
        <f t="shared" ca="1" si="427"/>
        <v>7.150000000000003</v>
      </c>
      <c r="T933" s="304">
        <f t="shared" ca="1" si="407"/>
        <v>70.141500000000036</v>
      </c>
      <c r="U933" s="311">
        <f t="shared" ca="1" si="408"/>
        <v>0</v>
      </c>
      <c r="V933" s="306">
        <f t="shared" ca="1" si="409"/>
        <v>1.2264573218075245</v>
      </c>
      <c r="W933" s="304">
        <f t="shared" ca="1" si="410"/>
        <v>54.712014233041543</v>
      </c>
      <c r="Y933" s="314" t="str">
        <f t="shared" ca="1" si="428"/>
        <v/>
      </c>
      <c r="Z933" s="315" t="str">
        <f t="shared" ca="1" si="429"/>
        <v/>
      </c>
      <c r="AA933" s="316" t="str">
        <f t="shared" ca="1" si="430"/>
        <v/>
      </c>
      <c r="AC933" s="310" t="e">
        <f t="shared" ca="1" si="431"/>
        <v>#N/A</v>
      </c>
      <c r="AD933" s="323" t="e">
        <f t="shared" ca="1" si="432"/>
        <v>#N/A</v>
      </c>
      <c r="AE933" s="324" t="e">
        <f t="shared" ca="1" si="411"/>
        <v>#N/A</v>
      </c>
      <c r="AG933" s="306">
        <f t="shared" ca="1" si="433"/>
        <v>2.1135659501691633</v>
      </c>
      <c r="AH933" s="304">
        <f t="shared" ca="1" si="434"/>
        <v>-7.6519952626886125</v>
      </c>
    </row>
    <row r="934" spans="1:34" x14ac:dyDescent="0.2">
      <c r="A934" s="347">
        <f t="shared" ca="1" si="412"/>
        <v>1E-4</v>
      </c>
      <c r="B934" s="304">
        <f t="shared" ca="1" si="413"/>
        <v>36.738300000001523</v>
      </c>
      <c r="D934" s="306">
        <f t="shared" ca="1" si="414"/>
        <v>-0.72751611891659862</v>
      </c>
      <c r="E934" s="307">
        <f t="shared" ca="1" si="415"/>
        <v>-2.1926328140090865</v>
      </c>
      <c r="F934" s="304">
        <f t="shared" ca="1" si="416"/>
        <v>2.3101771274845735</v>
      </c>
      <c r="G934" s="306">
        <f t="shared" ca="1" si="417"/>
        <v>12.429791136442425</v>
      </c>
      <c r="H934" s="307">
        <f t="shared" ca="1" si="418"/>
        <v>-130.14556566220111</v>
      </c>
      <c r="I934" s="304">
        <f t="shared" ca="1" si="419"/>
        <v>130.73778325040502</v>
      </c>
      <c r="J934" s="306">
        <f t="shared" ca="1" si="420"/>
        <v>889.84792314375909</v>
      </c>
      <c r="K934" s="307">
        <f t="shared" ca="1" si="421"/>
        <v>-11.902446962477173</v>
      </c>
      <c r="L934" s="304">
        <f t="shared" ca="1" si="406"/>
        <v>889.92752208646516</v>
      </c>
      <c r="M934" s="306">
        <f t="shared" ca="1" si="422"/>
        <v>-1.4755783025509772</v>
      </c>
      <c r="N934" s="304">
        <f t="shared" ca="1" si="423"/>
        <v>-84.544409077249071</v>
      </c>
      <c r="P934" s="310">
        <f t="shared" ca="1" si="424"/>
        <v>23</v>
      </c>
      <c r="Q934" s="304">
        <f t="shared" ca="1" si="425"/>
        <v>0</v>
      </c>
      <c r="R934" s="306">
        <f t="shared" ca="1" si="426"/>
        <v>0</v>
      </c>
      <c r="S934" s="307">
        <f t="shared" ca="1" si="427"/>
        <v>7.150000000000003</v>
      </c>
      <c r="T934" s="304">
        <f t="shared" ca="1" si="407"/>
        <v>70.141500000000036</v>
      </c>
      <c r="U934" s="311">
        <f t="shared" ca="1" si="408"/>
        <v>0</v>
      </c>
      <c r="V934" s="306">
        <f t="shared" ca="1" si="409"/>
        <v>1.2264589179876022</v>
      </c>
      <c r="W934" s="304">
        <f t="shared" ca="1" si="410"/>
        <v>54.712262335969982</v>
      </c>
      <c r="Y934" s="314" t="str">
        <f t="shared" ca="1" si="428"/>
        <v/>
      </c>
      <c r="Z934" s="315" t="str">
        <f t="shared" ca="1" si="429"/>
        <v/>
      </c>
      <c r="AA934" s="316" t="str">
        <f t="shared" ca="1" si="430"/>
        <v/>
      </c>
      <c r="AC934" s="310" t="e">
        <f t="shared" ca="1" si="431"/>
        <v>#N/A</v>
      </c>
      <c r="AD934" s="323" t="e">
        <f t="shared" ca="1" si="432"/>
        <v>#N/A</v>
      </c>
      <c r="AE934" s="324" t="e">
        <f t="shared" ca="1" si="411"/>
        <v>#N/A</v>
      </c>
      <c r="AG934" s="306">
        <f t="shared" ca="1" si="433"/>
        <v>2.1135319155817331</v>
      </c>
      <c r="AH934" s="304">
        <f t="shared" ca="1" si="434"/>
        <v>-7.6520299626631498</v>
      </c>
    </row>
    <row r="935" spans="1:34" x14ac:dyDescent="0.2">
      <c r="A935" s="347">
        <f t="shared" ca="1" si="412"/>
        <v>1E-4</v>
      </c>
      <c r="B935" s="304">
        <f t="shared" ca="1" si="413"/>
        <v>36.738400000001526</v>
      </c>
      <c r="D935" s="306">
        <f t="shared" ca="1" si="414"/>
        <v>-0.72751398372481446</v>
      </c>
      <c r="E935" s="307">
        <f t="shared" ca="1" si="415"/>
        <v>-2.1925977524730325</v>
      </c>
      <c r="F935" s="304">
        <f t="shared" ca="1" si="416"/>
        <v>2.3101431775249219</v>
      </c>
      <c r="G935" s="306">
        <f t="shared" ca="1" si="417"/>
        <v>12.429718385044053</v>
      </c>
      <c r="H935" s="307">
        <f t="shared" ca="1" si="418"/>
        <v>-130.14578492197634</v>
      </c>
      <c r="I935" s="304">
        <f t="shared" ca="1" si="419"/>
        <v>130.73799460022641</v>
      </c>
      <c r="J935" s="306">
        <f t="shared" ca="1" si="420"/>
        <v>889.84792314375909</v>
      </c>
      <c r="K935" s="307">
        <f t="shared" ca="1" si="421"/>
        <v>-11.915461530006382</v>
      </c>
      <c r="L935" s="304">
        <f t="shared" ca="1" si="406"/>
        <v>889.92769624657399</v>
      </c>
      <c r="M935" s="306">
        <f t="shared" ca="1" si="422"/>
        <v>-1.4755790159457167</v>
      </c>
      <c r="N935" s="304">
        <f t="shared" ca="1" si="423"/>
        <v>-84.544449951756775</v>
      </c>
      <c r="P935" s="310">
        <f t="shared" ca="1" si="424"/>
        <v>23</v>
      </c>
      <c r="Q935" s="304">
        <f t="shared" ca="1" si="425"/>
        <v>0</v>
      </c>
      <c r="R935" s="306">
        <f t="shared" ca="1" si="426"/>
        <v>0</v>
      </c>
      <c r="S935" s="307">
        <f t="shared" ca="1" si="427"/>
        <v>7.150000000000003</v>
      </c>
      <c r="T935" s="304">
        <f t="shared" ca="1" si="407"/>
        <v>70.141500000000036</v>
      </c>
      <c r="U935" s="311">
        <f t="shared" ca="1" si="408"/>
        <v>0</v>
      </c>
      <c r="V935" s="306">
        <f t="shared" ca="1" si="409"/>
        <v>1.2264605141724476</v>
      </c>
      <c r="W935" s="304">
        <f t="shared" ca="1" si="410"/>
        <v>54.712510437008916</v>
      </c>
      <c r="Y935" s="314" t="str">
        <f t="shared" ca="1" si="428"/>
        <v/>
      </c>
      <c r="Z935" s="315" t="str">
        <f t="shared" ca="1" si="429"/>
        <v/>
      </c>
      <c r="AA935" s="316" t="str">
        <f t="shared" ca="1" si="430"/>
        <v/>
      </c>
      <c r="AC935" s="310" t="e">
        <f t="shared" ca="1" si="431"/>
        <v>#N/A</v>
      </c>
      <c r="AD935" s="323" t="e">
        <f t="shared" ca="1" si="432"/>
        <v>#N/A</v>
      </c>
      <c r="AE935" s="324" t="e">
        <f t="shared" ca="1" si="411"/>
        <v>#N/A</v>
      </c>
      <c r="AG935" s="306">
        <f t="shared" ca="1" si="433"/>
        <v>2.1134978812475538</v>
      </c>
      <c r="AH935" s="304">
        <f t="shared" ca="1" si="434"/>
        <v>-7.6520646623734212</v>
      </c>
    </row>
    <row r="936" spans="1:34" x14ac:dyDescent="0.2">
      <c r="A936" s="347">
        <f t="shared" ca="1" si="412"/>
        <v>1E-4</v>
      </c>
      <c r="B936" s="304">
        <f t="shared" ca="1" si="413"/>
        <v>36.73850000000153</v>
      </c>
      <c r="D936" s="306">
        <f t="shared" ca="1" si="414"/>
        <v>-0.72751184850762551</v>
      </c>
      <c r="E936" s="307">
        <f t="shared" ca="1" si="415"/>
        <v>-2.192562691203932</v>
      </c>
      <c r="F936" s="304">
        <f t="shared" ca="1" si="416"/>
        <v>2.3101092278458202</v>
      </c>
      <c r="G936" s="306">
        <f t="shared" ca="1" si="417"/>
        <v>12.429645633859202</v>
      </c>
      <c r="H936" s="307">
        <f t="shared" ca="1" si="418"/>
        <v>-130.14600417824548</v>
      </c>
      <c r="I936" s="304">
        <f t="shared" ca="1" si="419"/>
        <v>130.7382059466444</v>
      </c>
      <c r="J936" s="306">
        <f t="shared" ca="1" si="420"/>
        <v>889.84792314375909</v>
      </c>
      <c r="K936" s="307">
        <f t="shared" ca="1" si="421"/>
        <v>-11.928476119461394</v>
      </c>
      <c r="L936" s="304">
        <f t="shared" ca="1" si="406"/>
        <v>889.92787059727152</v>
      </c>
      <c r="M936" s="306">
        <f t="shared" ca="1" si="422"/>
        <v>-1.4755797293339741</v>
      </c>
      <c r="N936" s="304">
        <f t="shared" ca="1" si="423"/>
        <v>-84.544490825893078</v>
      </c>
      <c r="P936" s="310">
        <f t="shared" ca="1" si="424"/>
        <v>23</v>
      </c>
      <c r="Q936" s="304">
        <f t="shared" ca="1" si="425"/>
        <v>0</v>
      </c>
      <c r="R936" s="306">
        <f t="shared" ca="1" si="426"/>
        <v>0</v>
      </c>
      <c r="S936" s="307">
        <f t="shared" ca="1" si="427"/>
        <v>7.150000000000003</v>
      </c>
      <c r="T936" s="304">
        <f t="shared" ca="1" si="407"/>
        <v>70.141500000000036</v>
      </c>
      <c r="U936" s="311">
        <f t="shared" ca="1" si="408"/>
        <v>0</v>
      </c>
      <c r="V936" s="306">
        <f t="shared" ca="1" si="409"/>
        <v>1.226462110362061</v>
      </c>
      <c r="W936" s="304">
        <f t="shared" ca="1" si="410"/>
        <v>54.712758536158383</v>
      </c>
      <c r="Y936" s="314" t="str">
        <f t="shared" ca="1" si="428"/>
        <v/>
      </c>
      <c r="Z936" s="315" t="str">
        <f t="shared" ca="1" si="429"/>
        <v/>
      </c>
      <c r="AA936" s="316" t="str">
        <f t="shared" ca="1" si="430"/>
        <v/>
      </c>
      <c r="AC936" s="310" t="e">
        <f t="shared" ca="1" si="431"/>
        <v>#N/A</v>
      </c>
      <c r="AD936" s="323" t="e">
        <f t="shared" ca="1" si="432"/>
        <v>#N/A</v>
      </c>
      <c r="AE936" s="324" t="e">
        <f t="shared" ca="1" si="411"/>
        <v>#N/A</v>
      </c>
      <c r="AG936" s="306">
        <f t="shared" ca="1" si="433"/>
        <v>2.1134638471666261</v>
      </c>
      <c r="AH936" s="304">
        <f t="shared" ca="1" si="434"/>
        <v>-7.6520993618194257</v>
      </c>
    </row>
    <row r="937" spans="1:34" x14ac:dyDescent="0.2">
      <c r="A937" s="347">
        <f t="shared" ca="1" si="412"/>
        <v>1E-4</v>
      </c>
      <c r="B937" s="304">
        <f t="shared" ca="1" si="413"/>
        <v>36.738600000001533</v>
      </c>
      <c r="D937" s="306">
        <f t="shared" ca="1" si="414"/>
        <v>-0.72750971326503522</v>
      </c>
      <c r="E937" s="307">
        <f t="shared" ca="1" si="415"/>
        <v>-2.1925276302017833</v>
      </c>
      <c r="F937" s="304">
        <f t="shared" ca="1" si="416"/>
        <v>2.3100752784472678</v>
      </c>
      <c r="G937" s="306">
        <f t="shared" ca="1" si="417"/>
        <v>12.429572882887875</v>
      </c>
      <c r="H937" s="307">
        <f t="shared" ca="1" si="418"/>
        <v>-130.14622343100851</v>
      </c>
      <c r="I937" s="304">
        <f t="shared" ca="1" si="419"/>
        <v>130.738417289659</v>
      </c>
      <c r="J937" s="306">
        <f t="shared" ca="1" si="420"/>
        <v>889.84792314375909</v>
      </c>
      <c r="K937" s="307">
        <f t="shared" ca="1" si="421"/>
        <v>-11.941490730841856</v>
      </c>
      <c r="L937" s="304">
        <f t="shared" ca="1" si="406"/>
        <v>889.92804513855845</v>
      </c>
      <c r="M937" s="306">
        <f t="shared" ca="1" si="422"/>
        <v>-1.4755804427157495</v>
      </c>
      <c r="N937" s="304">
        <f t="shared" ca="1" si="423"/>
        <v>-84.544531699657981</v>
      </c>
      <c r="P937" s="310">
        <f t="shared" ca="1" si="424"/>
        <v>23</v>
      </c>
      <c r="Q937" s="304">
        <f t="shared" ca="1" si="425"/>
        <v>0</v>
      </c>
      <c r="R937" s="306">
        <f t="shared" ca="1" si="426"/>
        <v>0</v>
      </c>
      <c r="S937" s="307">
        <f t="shared" ca="1" si="427"/>
        <v>7.150000000000003</v>
      </c>
      <c r="T937" s="304">
        <f t="shared" ca="1" si="407"/>
        <v>70.141500000000036</v>
      </c>
      <c r="U937" s="311">
        <f t="shared" ca="1" si="408"/>
        <v>0</v>
      </c>
      <c r="V937" s="306">
        <f t="shared" ca="1" si="409"/>
        <v>1.2264637065564421</v>
      </c>
      <c r="W937" s="304">
        <f t="shared" ca="1" si="410"/>
        <v>54.713006633418331</v>
      </c>
      <c r="Y937" s="314" t="str">
        <f t="shared" ca="1" si="428"/>
        <v/>
      </c>
      <c r="Z937" s="315" t="str">
        <f t="shared" ca="1" si="429"/>
        <v/>
      </c>
      <c r="AA937" s="316" t="str">
        <f t="shared" ca="1" si="430"/>
        <v/>
      </c>
      <c r="AC937" s="310" t="e">
        <f t="shared" ca="1" si="431"/>
        <v>#N/A</v>
      </c>
      <c r="AD937" s="323" t="e">
        <f t="shared" ca="1" si="432"/>
        <v>#N/A</v>
      </c>
      <c r="AE937" s="324" t="e">
        <f t="shared" ca="1" si="411"/>
        <v>#N/A</v>
      </c>
      <c r="AG937" s="306">
        <f t="shared" ca="1" si="433"/>
        <v>2.1134298133389446</v>
      </c>
      <c r="AH937" s="304">
        <f t="shared" ca="1" si="434"/>
        <v>-7.6521340610011688</v>
      </c>
    </row>
    <row r="938" spans="1:34" x14ac:dyDescent="0.2">
      <c r="A938" s="347">
        <f t="shared" ca="1" si="412"/>
        <v>1E-4</v>
      </c>
      <c r="B938" s="304">
        <f t="shared" ca="1" si="413"/>
        <v>36.738700000001536</v>
      </c>
      <c r="D938" s="306">
        <f t="shared" ca="1" si="414"/>
        <v>-0.72750757799704269</v>
      </c>
      <c r="E938" s="307">
        <f t="shared" ca="1" si="415"/>
        <v>-2.19249256946659</v>
      </c>
      <c r="F938" s="304">
        <f t="shared" ca="1" si="416"/>
        <v>2.3100413293292683</v>
      </c>
      <c r="G938" s="306">
        <f t="shared" ca="1" si="417"/>
        <v>12.429500132130075</v>
      </c>
      <c r="H938" s="307">
        <f t="shared" ca="1" si="418"/>
        <v>-130.14644268026547</v>
      </c>
      <c r="I938" s="304">
        <f t="shared" ca="1" si="419"/>
        <v>130.73862862927027</v>
      </c>
      <c r="J938" s="306">
        <f t="shared" ca="1" si="420"/>
        <v>889.84792314375909</v>
      </c>
      <c r="K938" s="307">
        <f t="shared" ca="1" si="421"/>
        <v>-11.954505364147421</v>
      </c>
      <c r="L938" s="304">
        <f t="shared" ca="1" si="406"/>
        <v>889.9282198704359</v>
      </c>
      <c r="M938" s="306">
        <f t="shared" ca="1" si="422"/>
        <v>-1.4755811560910432</v>
      </c>
      <c r="N938" s="304">
        <f t="shared" ca="1" si="423"/>
        <v>-84.544572573051525</v>
      </c>
      <c r="P938" s="310">
        <f t="shared" ca="1" si="424"/>
        <v>23</v>
      </c>
      <c r="Q938" s="304">
        <f t="shared" ca="1" si="425"/>
        <v>0</v>
      </c>
      <c r="R938" s="306">
        <f t="shared" ca="1" si="426"/>
        <v>0</v>
      </c>
      <c r="S938" s="307">
        <f t="shared" ca="1" si="427"/>
        <v>7.150000000000003</v>
      </c>
      <c r="T938" s="304">
        <f t="shared" ca="1" si="407"/>
        <v>70.141500000000036</v>
      </c>
      <c r="U938" s="311">
        <f t="shared" ca="1" si="408"/>
        <v>0</v>
      </c>
      <c r="V938" s="306">
        <f t="shared" ca="1" si="409"/>
        <v>1.2264653027555907</v>
      </c>
      <c r="W938" s="304">
        <f t="shared" ca="1" si="410"/>
        <v>54.713254728788826</v>
      </c>
      <c r="Y938" s="314" t="str">
        <f t="shared" ca="1" si="428"/>
        <v/>
      </c>
      <c r="Z938" s="315" t="str">
        <f t="shared" ca="1" si="429"/>
        <v/>
      </c>
      <c r="AA938" s="316" t="str">
        <f t="shared" ca="1" si="430"/>
        <v/>
      </c>
      <c r="AC938" s="310" t="e">
        <f t="shared" ca="1" si="431"/>
        <v>#N/A</v>
      </c>
      <c r="AD938" s="323" t="e">
        <f t="shared" ca="1" si="432"/>
        <v>#N/A</v>
      </c>
      <c r="AE938" s="324" t="e">
        <f t="shared" ca="1" si="411"/>
        <v>#N/A</v>
      </c>
      <c r="AG938" s="306">
        <f t="shared" ca="1" si="433"/>
        <v>2.1133957797645158</v>
      </c>
      <c r="AH938" s="304">
        <f t="shared" ca="1" si="434"/>
        <v>-7.6521687599186441</v>
      </c>
    </row>
    <row r="939" spans="1:34" x14ac:dyDescent="0.2">
      <c r="A939" s="347">
        <f t="shared" ca="1" si="412"/>
        <v>1E-4</v>
      </c>
      <c r="B939" s="304">
        <f t="shared" ca="1" si="413"/>
        <v>36.73880000000154</v>
      </c>
      <c r="D939" s="306">
        <f t="shared" ca="1" si="414"/>
        <v>-0.72750544270364814</v>
      </c>
      <c r="E939" s="307">
        <f t="shared" ca="1" si="415"/>
        <v>-2.1924575089983449</v>
      </c>
      <c r="F939" s="304">
        <f t="shared" ca="1" si="416"/>
        <v>2.3100073804918155</v>
      </c>
      <c r="G939" s="306">
        <f t="shared" ca="1" si="417"/>
        <v>12.429427381585805</v>
      </c>
      <c r="H939" s="307">
        <f t="shared" ca="1" si="418"/>
        <v>-130.14666192601638</v>
      </c>
      <c r="I939" s="304">
        <f t="shared" ca="1" si="419"/>
        <v>130.73883996547818</v>
      </c>
      <c r="J939" s="306">
        <f t="shared" ca="1" si="420"/>
        <v>889.84792314375909</v>
      </c>
      <c r="K939" s="307">
        <f t="shared" ca="1" si="421"/>
        <v>-11.967520019377735</v>
      </c>
      <c r="L939" s="304">
        <f t="shared" ca="1" si="406"/>
        <v>889.92839479290444</v>
      </c>
      <c r="M939" s="306">
        <f t="shared" ca="1" si="422"/>
        <v>-1.4755818694598553</v>
      </c>
      <c r="N939" s="304">
        <f t="shared" ca="1" si="423"/>
        <v>-84.544613446073683</v>
      </c>
      <c r="P939" s="310">
        <f t="shared" ca="1" si="424"/>
        <v>23</v>
      </c>
      <c r="Q939" s="304">
        <f t="shared" ca="1" si="425"/>
        <v>0</v>
      </c>
      <c r="R939" s="306">
        <f t="shared" ca="1" si="426"/>
        <v>0</v>
      </c>
      <c r="S939" s="307">
        <f t="shared" ca="1" si="427"/>
        <v>7.150000000000003</v>
      </c>
      <c r="T939" s="304">
        <f t="shared" ca="1" si="407"/>
        <v>70.141500000000036</v>
      </c>
      <c r="U939" s="311">
        <f t="shared" ca="1" si="408"/>
        <v>0</v>
      </c>
      <c r="V939" s="306">
        <f t="shared" ca="1" si="409"/>
        <v>1.2264668989595071</v>
      </c>
      <c r="W939" s="304">
        <f t="shared" ca="1" si="410"/>
        <v>54.713502822269803</v>
      </c>
      <c r="Y939" s="314" t="str">
        <f t="shared" ca="1" si="428"/>
        <v/>
      </c>
      <c r="Z939" s="315" t="str">
        <f t="shared" ca="1" si="429"/>
        <v/>
      </c>
      <c r="AA939" s="316" t="str">
        <f t="shared" ca="1" si="430"/>
        <v/>
      </c>
      <c r="AC939" s="310" t="e">
        <f t="shared" ca="1" si="431"/>
        <v>#N/A</v>
      </c>
      <c r="AD939" s="323" t="e">
        <f t="shared" ca="1" si="432"/>
        <v>#N/A</v>
      </c>
      <c r="AE939" s="324" t="e">
        <f t="shared" ca="1" si="411"/>
        <v>#N/A</v>
      </c>
      <c r="AG939" s="306">
        <f t="shared" ca="1" si="433"/>
        <v>2.1133617464433287</v>
      </c>
      <c r="AH939" s="304">
        <f t="shared" ca="1" si="434"/>
        <v>-7.6522034585718606</v>
      </c>
    </row>
    <row r="940" spans="1:34" x14ac:dyDescent="0.2">
      <c r="A940" s="347">
        <f t="shared" ca="1" si="412"/>
        <v>1E-4</v>
      </c>
      <c r="B940" s="304">
        <f t="shared" ca="1" si="413"/>
        <v>36.738900000001543</v>
      </c>
      <c r="D940" s="306">
        <f t="shared" ca="1" si="414"/>
        <v>-0.72750330738485214</v>
      </c>
      <c r="E940" s="307">
        <f t="shared" ca="1" si="415"/>
        <v>-2.1924224487970561</v>
      </c>
      <c r="F940" s="304">
        <f t="shared" ca="1" si="416"/>
        <v>2.309973431934917</v>
      </c>
      <c r="G940" s="306">
        <f t="shared" ca="1" si="417"/>
        <v>12.429354631255066</v>
      </c>
      <c r="H940" s="307">
        <f t="shared" ca="1" si="418"/>
        <v>-130.14688116826125</v>
      </c>
      <c r="I940" s="304">
        <f t="shared" ca="1" si="419"/>
        <v>130.73905129828279</v>
      </c>
      <c r="J940" s="306">
        <f t="shared" ca="1" si="420"/>
        <v>889.84792314375909</v>
      </c>
      <c r="K940" s="307">
        <f t="shared" ca="1" si="421"/>
        <v>-11.98053469653245</v>
      </c>
      <c r="L940" s="304">
        <f t="shared" ca="1" si="406"/>
        <v>889.92856990596511</v>
      </c>
      <c r="M940" s="306">
        <f t="shared" ca="1" si="422"/>
        <v>-1.4755825828221854</v>
      </c>
      <c r="N940" s="304">
        <f t="shared" ca="1" si="423"/>
        <v>-84.544654318724469</v>
      </c>
      <c r="P940" s="310">
        <f t="shared" ca="1" si="424"/>
        <v>23</v>
      </c>
      <c r="Q940" s="304">
        <f t="shared" ca="1" si="425"/>
        <v>0</v>
      </c>
      <c r="R940" s="306">
        <f t="shared" ca="1" si="426"/>
        <v>0</v>
      </c>
      <c r="S940" s="307">
        <f t="shared" ca="1" si="427"/>
        <v>7.150000000000003</v>
      </c>
      <c r="T940" s="304">
        <f t="shared" ca="1" si="407"/>
        <v>70.141500000000036</v>
      </c>
      <c r="U940" s="311">
        <f t="shared" ca="1" si="408"/>
        <v>0</v>
      </c>
      <c r="V940" s="306">
        <f t="shared" ca="1" si="409"/>
        <v>1.226468495168191</v>
      </c>
      <c r="W940" s="304">
        <f t="shared" ca="1" si="410"/>
        <v>54.713750913861269</v>
      </c>
      <c r="Y940" s="314" t="str">
        <f t="shared" ca="1" si="428"/>
        <v/>
      </c>
      <c r="Z940" s="315" t="str">
        <f t="shared" ca="1" si="429"/>
        <v/>
      </c>
      <c r="AA940" s="316" t="str">
        <f t="shared" ca="1" si="430"/>
        <v/>
      </c>
      <c r="AC940" s="310" t="e">
        <f t="shared" ca="1" si="431"/>
        <v>#N/A</v>
      </c>
      <c r="AD940" s="323" t="e">
        <f t="shared" ca="1" si="432"/>
        <v>#N/A</v>
      </c>
      <c r="AE940" s="324" t="e">
        <f t="shared" ca="1" si="411"/>
        <v>#N/A</v>
      </c>
      <c r="AG940" s="306">
        <f t="shared" ca="1" si="433"/>
        <v>2.1133277133753969</v>
      </c>
      <c r="AH940" s="304">
        <f t="shared" ca="1" si="434"/>
        <v>-7.6522381569608084</v>
      </c>
    </row>
    <row r="941" spans="1:34" x14ac:dyDescent="0.2">
      <c r="A941" s="347">
        <f t="shared" ca="1" si="412"/>
        <v>1E-4</v>
      </c>
      <c r="B941" s="304">
        <f t="shared" ca="1" si="413"/>
        <v>36.739000000001546</v>
      </c>
      <c r="D941" s="306">
        <f t="shared" ca="1" si="414"/>
        <v>-0.72750117204065734</v>
      </c>
      <c r="E941" s="307">
        <f t="shared" ca="1" si="415"/>
        <v>-2.1923873888627234</v>
      </c>
      <c r="F941" s="304">
        <f t="shared" ca="1" si="416"/>
        <v>2.3099394836585745</v>
      </c>
      <c r="G941" s="306">
        <f t="shared" ca="1" si="417"/>
        <v>12.429281881137863</v>
      </c>
      <c r="H941" s="307">
        <f t="shared" ca="1" si="418"/>
        <v>-130.14710040700012</v>
      </c>
      <c r="I941" s="304">
        <f t="shared" ca="1" si="419"/>
        <v>130.73926262768407</v>
      </c>
      <c r="J941" s="306">
        <f t="shared" ca="1" si="420"/>
        <v>889.84792314375909</v>
      </c>
      <c r="K941" s="307">
        <f t="shared" ca="1" si="421"/>
        <v>-11.993549395611213</v>
      </c>
      <c r="L941" s="304">
        <f t="shared" ca="1" si="406"/>
        <v>889.92874520961868</v>
      </c>
      <c r="M941" s="306">
        <f t="shared" ca="1" si="422"/>
        <v>-1.4755832961780342</v>
      </c>
      <c r="N941" s="304">
        <f t="shared" ca="1" si="423"/>
        <v>-84.544695191003896</v>
      </c>
      <c r="P941" s="310">
        <f t="shared" ca="1" si="424"/>
        <v>23</v>
      </c>
      <c r="Q941" s="304">
        <f t="shared" ca="1" si="425"/>
        <v>0</v>
      </c>
      <c r="R941" s="306">
        <f t="shared" ca="1" si="426"/>
        <v>0</v>
      </c>
      <c r="S941" s="307">
        <f t="shared" ca="1" si="427"/>
        <v>7.150000000000003</v>
      </c>
      <c r="T941" s="304">
        <f t="shared" ca="1" si="407"/>
        <v>70.141500000000036</v>
      </c>
      <c r="U941" s="311">
        <f t="shared" ca="1" si="408"/>
        <v>0</v>
      </c>
      <c r="V941" s="306">
        <f t="shared" ca="1" si="409"/>
        <v>1.2264700913816426</v>
      </c>
      <c r="W941" s="304">
        <f t="shared" ca="1" si="410"/>
        <v>54.71399900356321</v>
      </c>
      <c r="Y941" s="314" t="str">
        <f t="shared" ca="1" si="428"/>
        <v/>
      </c>
      <c r="Z941" s="315" t="str">
        <f t="shared" ca="1" si="429"/>
        <v/>
      </c>
      <c r="AA941" s="316" t="str">
        <f t="shared" ca="1" si="430"/>
        <v/>
      </c>
      <c r="AC941" s="310" t="e">
        <f t="shared" ca="1" si="431"/>
        <v>#N/A</v>
      </c>
      <c r="AD941" s="323" t="e">
        <f t="shared" ca="1" si="432"/>
        <v>#N/A</v>
      </c>
      <c r="AE941" s="324" t="e">
        <f t="shared" ca="1" si="411"/>
        <v>#N/A</v>
      </c>
      <c r="AG941" s="306">
        <f t="shared" ca="1" si="433"/>
        <v>2.1132936805607176</v>
      </c>
      <c r="AH941" s="304">
        <f t="shared" ca="1" si="434"/>
        <v>-7.6522728550854886</v>
      </c>
    </row>
    <row r="942" spans="1:34" x14ac:dyDescent="0.2">
      <c r="A942" s="347">
        <f t="shared" ca="1" si="412"/>
        <v>1E-4</v>
      </c>
      <c r="B942" s="304">
        <f t="shared" ca="1" si="413"/>
        <v>36.73910000000155</v>
      </c>
      <c r="D942" s="306">
        <f t="shared" ca="1" si="414"/>
        <v>-0.72749903667106008</v>
      </c>
      <c r="E942" s="307">
        <f t="shared" ca="1" si="415"/>
        <v>-2.1923523291953479</v>
      </c>
      <c r="F942" s="304">
        <f t="shared" ca="1" si="416"/>
        <v>2.3099055356627871</v>
      </c>
      <c r="G942" s="306">
        <f t="shared" ca="1" si="417"/>
        <v>12.429209131234195</v>
      </c>
      <c r="H942" s="307">
        <f t="shared" ca="1" si="418"/>
        <v>-130.14731964223304</v>
      </c>
      <c r="I942" s="304">
        <f t="shared" ca="1" si="419"/>
        <v>130.73947395368216</v>
      </c>
      <c r="J942" s="306">
        <f t="shared" ca="1" si="420"/>
        <v>889.84792314375909</v>
      </c>
      <c r="K942" s="307">
        <f t="shared" ca="1" si="421"/>
        <v>-12.006564116613674</v>
      </c>
      <c r="L942" s="304">
        <f t="shared" ca="1" si="406"/>
        <v>889.92892070386597</v>
      </c>
      <c r="M942" s="306">
        <f t="shared" ca="1" si="422"/>
        <v>-1.4755840095274015</v>
      </c>
      <c r="N942" s="304">
        <f t="shared" ca="1" si="423"/>
        <v>-84.544736062911966</v>
      </c>
      <c r="P942" s="310">
        <f t="shared" ca="1" si="424"/>
        <v>23</v>
      </c>
      <c r="Q942" s="304">
        <f t="shared" ca="1" si="425"/>
        <v>0</v>
      </c>
      <c r="R942" s="306">
        <f t="shared" ca="1" si="426"/>
        <v>0</v>
      </c>
      <c r="S942" s="307">
        <f t="shared" ca="1" si="427"/>
        <v>7.150000000000003</v>
      </c>
      <c r="T942" s="304">
        <f t="shared" ca="1" si="407"/>
        <v>70.141500000000036</v>
      </c>
      <c r="U942" s="311">
        <f t="shared" ca="1" si="408"/>
        <v>0</v>
      </c>
      <c r="V942" s="306">
        <f t="shared" ca="1" si="409"/>
        <v>1.2264716875998618</v>
      </c>
      <c r="W942" s="304">
        <f t="shared" ca="1" si="410"/>
        <v>54.714247091375711</v>
      </c>
      <c r="Y942" s="314" t="str">
        <f t="shared" ca="1" si="428"/>
        <v/>
      </c>
      <c r="Z942" s="315" t="str">
        <f t="shared" ca="1" si="429"/>
        <v/>
      </c>
      <c r="AA942" s="316" t="str">
        <f t="shared" ca="1" si="430"/>
        <v/>
      </c>
      <c r="AC942" s="310" t="e">
        <f t="shared" ca="1" si="431"/>
        <v>#N/A</v>
      </c>
      <c r="AD942" s="323" t="e">
        <f t="shared" ca="1" si="432"/>
        <v>#N/A</v>
      </c>
      <c r="AE942" s="324" t="e">
        <f t="shared" ca="1" si="411"/>
        <v>#N/A</v>
      </c>
      <c r="AG942" s="306">
        <f t="shared" ca="1" si="433"/>
        <v>2.1132596479992936</v>
      </c>
      <c r="AH942" s="304">
        <f t="shared" ca="1" si="434"/>
        <v>-7.6523075529459001</v>
      </c>
    </row>
    <row r="943" spans="1:34" x14ac:dyDescent="0.2">
      <c r="A943" s="347">
        <f t="shared" ca="1" si="412"/>
        <v>1E-4</v>
      </c>
      <c r="B943" s="304">
        <f t="shared" ca="1" si="413"/>
        <v>36.739200000001553</v>
      </c>
      <c r="D943" s="306">
        <f t="shared" ca="1" si="414"/>
        <v>-0.72749690127606437</v>
      </c>
      <c r="E943" s="307">
        <f t="shared" ca="1" si="415"/>
        <v>-2.192317269794918</v>
      </c>
      <c r="F943" s="304">
        <f t="shared" ca="1" si="416"/>
        <v>2.3098715879475464</v>
      </c>
      <c r="G943" s="306">
        <f t="shared" ca="1" si="417"/>
        <v>12.429136381544067</v>
      </c>
      <c r="H943" s="307">
        <f t="shared" ca="1" si="418"/>
        <v>-130.14753887396003</v>
      </c>
      <c r="I943" s="304">
        <f t="shared" ca="1" si="419"/>
        <v>130.73968527627699</v>
      </c>
      <c r="J943" s="306">
        <f t="shared" ca="1" si="420"/>
        <v>889.84792314375909</v>
      </c>
      <c r="K943" s="307">
        <f t="shared" ca="1" si="421"/>
        <v>-12.019578859539484</v>
      </c>
      <c r="L943" s="304">
        <f t="shared" ca="1" si="406"/>
        <v>889.92909638870788</v>
      </c>
      <c r="M943" s="306">
        <f t="shared" ca="1" si="422"/>
        <v>-1.4755847228702874</v>
      </c>
      <c r="N943" s="304">
        <f t="shared" ca="1" si="423"/>
        <v>-84.544776934448677</v>
      </c>
      <c r="P943" s="310">
        <f t="shared" ca="1" si="424"/>
        <v>23</v>
      </c>
      <c r="Q943" s="304">
        <f t="shared" ca="1" si="425"/>
        <v>0</v>
      </c>
      <c r="R943" s="306">
        <f t="shared" ca="1" si="426"/>
        <v>0</v>
      </c>
      <c r="S943" s="307">
        <f t="shared" ca="1" si="427"/>
        <v>7.150000000000003</v>
      </c>
      <c r="T943" s="304">
        <f t="shared" ca="1" si="407"/>
        <v>70.141500000000036</v>
      </c>
      <c r="U943" s="311">
        <f t="shared" ca="1" si="408"/>
        <v>0</v>
      </c>
      <c r="V943" s="306">
        <f t="shared" ca="1" si="409"/>
        <v>1.2264732838228485</v>
      </c>
      <c r="W943" s="304">
        <f t="shared" ca="1" si="410"/>
        <v>54.714495177298666</v>
      </c>
      <c r="Y943" s="314" t="str">
        <f t="shared" ca="1" si="428"/>
        <v/>
      </c>
      <c r="Z943" s="315" t="str">
        <f t="shared" ca="1" si="429"/>
        <v/>
      </c>
      <c r="AA943" s="316" t="str">
        <f t="shared" ca="1" si="430"/>
        <v/>
      </c>
      <c r="AC943" s="310" t="e">
        <f t="shared" ca="1" si="431"/>
        <v>#N/A</v>
      </c>
      <c r="AD943" s="323" t="e">
        <f t="shared" ca="1" si="432"/>
        <v>#N/A</v>
      </c>
      <c r="AE943" s="324" t="e">
        <f t="shared" ca="1" si="411"/>
        <v>#N/A</v>
      </c>
      <c r="AG943" s="306">
        <f t="shared" ca="1" si="433"/>
        <v>2.1132256156911096</v>
      </c>
      <c r="AH943" s="304">
        <f t="shared" ca="1" si="434"/>
        <v>-7.6523422505420546</v>
      </c>
    </row>
    <row r="944" spans="1:34" x14ac:dyDescent="0.2">
      <c r="A944" s="347">
        <f t="shared" ca="1" si="412"/>
        <v>1E-4</v>
      </c>
      <c r="B944" s="304">
        <f t="shared" ca="1" si="413"/>
        <v>36.739300000001556</v>
      </c>
      <c r="D944" s="306">
        <f t="shared" ca="1" si="414"/>
        <v>-0.72749476585566986</v>
      </c>
      <c r="E944" s="307">
        <f t="shared" ca="1" si="415"/>
        <v>-2.1922822106614488</v>
      </c>
      <c r="F944" s="304">
        <f t="shared" ca="1" si="416"/>
        <v>2.3098376405128662</v>
      </c>
      <c r="G944" s="306">
        <f t="shared" ca="1" si="417"/>
        <v>12.429063632067482</v>
      </c>
      <c r="H944" s="307">
        <f t="shared" ca="1" si="418"/>
        <v>-130.14775810218109</v>
      </c>
      <c r="I944" s="304">
        <f t="shared" ca="1" si="419"/>
        <v>130.73989659546862</v>
      </c>
      <c r="J944" s="306">
        <f t="shared" ca="1" si="420"/>
        <v>889.84792314375909</v>
      </c>
      <c r="K944" s="307">
        <f t="shared" ca="1" si="421"/>
        <v>-12.032593624388291</v>
      </c>
      <c r="L944" s="304">
        <f t="shared" ca="1" si="406"/>
        <v>889.9292722641452</v>
      </c>
      <c r="M944" s="306">
        <f t="shared" ca="1" si="422"/>
        <v>-1.475585436206692</v>
      </c>
      <c r="N944" s="304">
        <f t="shared" ca="1" si="423"/>
        <v>-84.544817805614031</v>
      </c>
      <c r="P944" s="310">
        <f t="shared" ca="1" si="424"/>
        <v>23</v>
      </c>
      <c r="Q944" s="304">
        <f t="shared" ca="1" si="425"/>
        <v>0</v>
      </c>
      <c r="R944" s="306">
        <f t="shared" ca="1" si="426"/>
        <v>0</v>
      </c>
      <c r="S944" s="307">
        <f t="shared" ca="1" si="427"/>
        <v>7.150000000000003</v>
      </c>
      <c r="T944" s="304">
        <f t="shared" ca="1" si="407"/>
        <v>70.141500000000036</v>
      </c>
      <c r="U944" s="311">
        <f t="shared" ca="1" si="408"/>
        <v>0</v>
      </c>
      <c r="V944" s="306">
        <f t="shared" ca="1" si="409"/>
        <v>1.2264748800506025</v>
      </c>
      <c r="W944" s="304">
        <f t="shared" ca="1" si="410"/>
        <v>54.714743261332131</v>
      </c>
      <c r="Y944" s="314" t="str">
        <f t="shared" ca="1" si="428"/>
        <v/>
      </c>
      <c r="Z944" s="315" t="str">
        <f t="shared" ca="1" si="429"/>
        <v/>
      </c>
      <c r="AA944" s="316" t="str">
        <f t="shared" ca="1" si="430"/>
        <v/>
      </c>
      <c r="AC944" s="310" t="e">
        <f t="shared" ca="1" si="431"/>
        <v>#N/A</v>
      </c>
      <c r="AD944" s="323" t="e">
        <f t="shared" ca="1" si="432"/>
        <v>#N/A</v>
      </c>
      <c r="AE944" s="324" t="e">
        <f t="shared" ca="1" si="411"/>
        <v>#N/A</v>
      </c>
      <c r="AG944" s="306">
        <f t="shared" ca="1" si="433"/>
        <v>2.113191583636187</v>
      </c>
      <c r="AH944" s="304">
        <f t="shared" ca="1" si="434"/>
        <v>-7.6523769478739361</v>
      </c>
    </row>
    <row r="945" spans="1:34" x14ac:dyDescent="0.2">
      <c r="A945" s="347">
        <f t="shared" ca="1" si="412"/>
        <v>1E-4</v>
      </c>
      <c r="B945" s="304">
        <f t="shared" ca="1" si="413"/>
        <v>36.739400000001559</v>
      </c>
      <c r="D945" s="306">
        <f t="shared" ca="1" si="414"/>
        <v>-0.72749263040987711</v>
      </c>
      <c r="E945" s="307">
        <f t="shared" ca="1" si="415"/>
        <v>-2.1922471517949331</v>
      </c>
      <c r="F945" s="304">
        <f t="shared" ca="1" si="416"/>
        <v>2.3098036933587407</v>
      </c>
      <c r="G945" s="306">
        <f t="shared" ca="1" si="417"/>
        <v>12.428990882804442</v>
      </c>
      <c r="H945" s="307">
        <f t="shared" ca="1" si="418"/>
        <v>-130.14797732689627</v>
      </c>
      <c r="I945" s="304">
        <f t="shared" ca="1" si="419"/>
        <v>130.74010791125707</v>
      </c>
      <c r="J945" s="306">
        <f t="shared" ca="1" si="420"/>
        <v>889.84792314375909</v>
      </c>
      <c r="K945" s="307">
        <f t="shared" ca="1" si="421"/>
        <v>-12.045608411159744</v>
      </c>
      <c r="L945" s="304">
        <f t="shared" ca="1" si="406"/>
        <v>889.92944833017873</v>
      </c>
      <c r="M945" s="306">
        <f t="shared" ca="1" si="422"/>
        <v>-1.4755861495366156</v>
      </c>
      <c r="N945" s="304">
        <f t="shared" ca="1" si="423"/>
        <v>-84.544858676408055</v>
      </c>
      <c r="P945" s="310">
        <f t="shared" ca="1" si="424"/>
        <v>23</v>
      </c>
      <c r="Q945" s="304">
        <f t="shared" ca="1" si="425"/>
        <v>0</v>
      </c>
      <c r="R945" s="306">
        <f t="shared" ca="1" si="426"/>
        <v>0</v>
      </c>
      <c r="S945" s="307">
        <f t="shared" ca="1" si="427"/>
        <v>7.150000000000003</v>
      </c>
      <c r="T945" s="304">
        <f t="shared" ca="1" si="407"/>
        <v>70.141500000000036</v>
      </c>
      <c r="U945" s="311">
        <f t="shared" ca="1" si="408"/>
        <v>0</v>
      </c>
      <c r="V945" s="306">
        <f t="shared" ca="1" si="409"/>
        <v>1.226476476283124</v>
      </c>
      <c r="W945" s="304">
        <f t="shared" ca="1" si="410"/>
        <v>54.714991343476079</v>
      </c>
      <c r="Y945" s="314" t="str">
        <f t="shared" ca="1" si="428"/>
        <v/>
      </c>
      <c r="Z945" s="315" t="str">
        <f t="shared" ca="1" si="429"/>
        <v/>
      </c>
      <c r="AA945" s="316" t="str">
        <f t="shared" ca="1" si="430"/>
        <v/>
      </c>
      <c r="AC945" s="310" t="e">
        <f t="shared" ca="1" si="431"/>
        <v>#N/A</v>
      </c>
      <c r="AD945" s="323" t="e">
        <f t="shared" ca="1" si="432"/>
        <v>#N/A</v>
      </c>
      <c r="AE945" s="324" t="e">
        <f t="shared" ca="1" si="411"/>
        <v>#N/A</v>
      </c>
      <c r="AG945" s="306">
        <f t="shared" ca="1" si="433"/>
        <v>2.1131575518345151</v>
      </c>
      <c r="AH945" s="304">
        <f t="shared" ca="1" si="434"/>
        <v>-7.6524116449415533</v>
      </c>
    </row>
    <row r="946" spans="1:34" x14ac:dyDescent="0.2">
      <c r="A946" s="347">
        <f t="shared" ca="1" si="412"/>
        <v>1E-4</v>
      </c>
      <c r="B946" s="304">
        <f t="shared" ca="1" si="413"/>
        <v>36.739500000001563</v>
      </c>
      <c r="D946" s="306">
        <f t="shared" ca="1" si="414"/>
        <v>-0.72749049493868501</v>
      </c>
      <c r="E946" s="307">
        <f t="shared" ca="1" si="415"/>
        <v>-2.1922120931953746</v>
      </c>
      <c r="F946" s="304">
        <f t="shared" ca="1" si="416"/>
        <v>2.3097697464851725</v>
      </c>
      <c r="G946" s="306">
        <f t="shared" ca="1" si="417"/>
        <v>12.428918133754948</v>
      </c>
      <c r="H946" s="307">
        <f t="shared" ca="1" si="418"/>
        <v>-130.14819654810557</v>
      </c>
      <c r="I946" s="304">
        <f t="shared" ca="1" si="419"/>
        <v>130.74031922364236</v>
      </c>
      <c r="J946" s="306">
        <f t="shared" ca="1" si="420"/>
        <v>889.84792314375909</v>
      </c>
      <c r="K946" s="307">
        <f t="shared" ca="1" si="421"/>
        <v>-12.058623219853494</v>
      </c>
      <c r="L946" s="304">
        <f t="shared" ca="1" si="406"/>
        <v>889.92962458680961</v>
      </c>
      <c r="M946" s="306">
        <f t="shared" ca="1" si="422"/>
        <v>-1.4755868628600577</v>
      </c>
      <c r="N946" s="304">
        <f t="shared" ca="1" si="423"/>
        <v>-84.544899546830706</v>
      </c>
      <c r="P946" s="310">
        <f t="shared" ca="1" si="424"/>
        <v>23</v>
      </c>
      <c r="Q946" s="304">
        <f t="shared" ca="1" si="425"/>
        <v>0</v>
      </c>
      <c r="R946" s="306">
        <f t="shared" ca="1" si="426"/>
        <v>0</v>
      </c>
      <c r="S946" s="307">
        <f t="shared" ca="1" si="427"/>
        <v>7.150000000000003</v>
      </c>
      <c r="T946" s="304">
        <f t="shared" ca="1" si="407"/>
        <v>70.141500000000036</v>
      </c>
      <c r="U946" s="311">
        <f t="shared" ca="1" si="408"/>
        <v>0</v>
      </c>
      <c r="V946" s="306">
        <f t="shared" ca="1" si="409"/>
        <v>1.226478072520413</v>
      </c>
      <c r="W946" s="304">
        <f t="shared" ca="1" si="410"/>
        <v>54.715239423730516</v>
      </c>
      <c r="Y946" s="314" t="str">
        <f t="shared" ca="1" si="428"/>
        <v/>
      </c>
      <c r="Z946" s="315" t="str">
        <f t="shared" ca="1" si="429"/>
        <v/>
      </c>
      <c r="AA946" s="316" t="str">
        <f t="shared" ca="1" si="430"/>
        <v/>
      </c>
      <c r="AC946" s="310" t="e">
        <f t="shared" ca="1" si="431"/>
        <v>#N/A</v>
      </c>
      <c r="AD946" s="323" t="e">
        <f t="shared" ca="1" si="432"/>
        <v>#N/A</v>
      </c>
      <c r="AE946" s="324" t="e">
        <f t="shared" ca="1" si="411"/>
        <v>#N/A</v>
      </c>
      <c r="AG946" s="306">
        <f t="shared" ca="1" si="433"/>
        <v>2.1131235202860958</v>
      </c>
      <c r="AH946" s="304">
        <f t="shared" ca="1" si="434"/>
        <v>-7.6524463417449029</v>
      </c>
    </row>
    <row r="947" spans="1:34" x14ac:dyDescent="0.2">
      <c r="A947" s="347">
        <f t="shared" ca="1" si="412"/>
        <v>1E-4</v>
      </c>
      <c r="B947" s="304">
        <f t="shared" ca="1" si="413"/>
        <v>36.739600000001566</v>
      </c>
      <c r="D947" s="306">
        <f t="shared" ca="1" si="414"/>
        <v>-0.72748835944209855</v>
      </c>
      <c r="E947" s="307">
        <f t="shared" ca="1" si="415"/>
        <v>-2.1921770348627705</v>
      </c>
      <c r="F947" s="304">
        <f t="shared" ca="1" si="416"/>
        <v>2.3097357998921617</v>
      </c>
      <c r="G947" s="306">
        <f t="shared" ca="1" si="417"/>
        <v>12.428845384919004</v>
      </c>
      <c r="H947" s="307">
        <f t="shared" ca="1" si="418"/>
        <v>-130.14841576580906</v>
      </c>
      <c r="I947" s="304">
        <f t="shared" ca="1" si="419"/>
        <v>130.74053053262452</v>
      </c>
      <c r="J947" s="306">
        <f t="shared" ca="1" si="420"/>
        <v>889.84792314375909</v>
      </c>
      <c r="K947" s="307">
        <f t="shared" ca="1" si="421"/>
        <v>-12.07163805046919</v>
      </c>
      <c r="L947" s="304">
        <f t="shared" ca="1" si="406"/>
        <v>889.92980103403818</v>
      </c>
      <c r="M947" s="306">
        <f t="shared" ca="1" si="422"/>
        <v>-1.4755875761770192</v>
      </c>
      <c r="N947" s="304">
        <f t="shared" ca="1" si="423"/>
        <v>-84.544940416882056</v>
      </c>
      <c r="P947" s="310">
        <f t="shared" ca="1" si="424"/>
        <v>23</v>
      </c>
      <c r="Q947" s="304">
        <f t="shared" ca="1" si="425"/>
        <v>0</v>
      </c>
      <c r="R947" s="306">
        <f t="shared" ca="1" si="426"/>
        <v>0</v>
      </c>
      <c r="S947" s="307">
        <f t="shared" ca="1" si="427"/>
        <v>7.150000000000003</v>
      </c>
      <c r="T947" s="304">
        <f t="shared" ca="1" si="407"/>
        <v>70.141500000000036</v>
      </c>
      <c r="U947" s="311">
        <f t="shared" ca="1" si="408"/>
        <v>0</v>
      </c>
      <c r="V947" s="306">
        <f t="shared" ca="1" si="409"/>
        <v>1.2264796687624695</v>
      </c>
      <c r="W947" s="304">
        <f t="shared" ca="1" si="410"/>
        <v>54.715487502095449</v>
      </c>
      <c r="Y947" s="314" t="str">
        <f t="shared" ca="1" si="428"/>
        <v/>
      </c>
      <c r="Z947" s="315" t="str">
        <f t="shared" ca="1" si="429"/>
        <v/>
      </c>
      <c r="AA947" s="316" t="str">
        <f t="shared" ca="1" si="430"/>
        <v/>
      </c>
      <c r="AC947" s="310" t="e">
        <f t="shared" ca="1" si="431"/>
        <v>#N/A</v>
      </c>
      <c r="AD947" s="323" t="e">
        <f t="shared" ca="1" si="432"/>
        <v>#N/A</v>
      </c>
      <c r="AE947" s="324" t="e">
        <f t="shared" ca="1" si="411"/>
        <v>#N/A</v>
      </c>
      <c r="AG947" s="306">
        <f t="shared" ca="1" si="433"/>
        <v>2.1130894889909309</v>
      </c>
      <c r="AH947" s="304">
        <f t="shared" ca="1" si="434"/>
        <v>-7.6524810382839847</v>
      </c>
    </row>
    <row r="948" spans="1:34" x14ac:dyDescent="0.2">
      <c r="A948" s="347">
        <f t="shared" ca="1" si="412"/>
        <v>1E-4</v>
      </c>
      <c r="B948" s="304">
        <f t="shared" ca="1" si="413"/>
        <v>36.739700000001569</v>
      </c>
      <c r="D948" s="306">
        <f t="shared" ca="1" si="414"/>
        <v>-0.72748622392011209</v>
      </c>
      <c r="E948" s="307">
        <f t="shared" ca="1" si="415"/>
        <v>-2.1921419767971209</v>
      </c>
      <c r="F948" s="304">
        <f t="shared" ca="1" si="416"/>
        <v>2.3097018535797065</v>
      </c>
      <c r="G948" s="306">
        <f t="shared" ca="1" si="417"/>
        <v>12.428772636296612</v>
      </c>
      <c r="H948" s="307">
        <f t="shared" ca="1" si="418"/>
        <v>-130.14863498000673</v>
      </c>
      <c r="I948" s="304">
        <f t="shared" ca="1" si="419"/>
        <v>130.74074183820355</v>
      </c>
      <c r="J948" s="306">
        <f t="shared" ca="1" si="420"/>
        <v>889.84792314375909</v>
      </c>
      <c r="K948" s="307">
        <f t="shared" ca="1" si="421"/>
        <v>-12.08465290300648</v>
      </c>
      <c r="L948" s="304">
        <f t="shared" ca="1" si="406"/>
        <v>889.9299776718658</v>
      </c>
      <c r="M948" s="306">
        <f t="shared" ca="1" si="422"/>
        <v>-1.4755882894874994</v>
      </c>
      <c r="N948" s="304">
        <f t="shared" ca="1" si="423"/>
        <v>-84.544981286562063</v>
      </c>
      <c r="P948" s="310">
        <f t="shared" ca="1" si="424"/>
        <v>23</v>
      </c>
      <c r="Q948" s="304">
        <f t="shared" ca="1" si="425"/>
        <v>0</v>
      </c>
      <c r="R948" s="306">
        <f t="shared" ca="1" si="426"/>
        <v>0</v>
      </c>
      <c r="S948" s="307">
        <f t="shared" ca="1" si="427"/>
        <v>7.150000000000003</v>
      </c>
      <c r="T948" s="304">
        <f t="shared" ca="1" si="407"/>
        <v>70.141500000000036</v>
      </c>
      <c r="U948" s="311">
        <f t="shared" ca="1" si="408"/>
        <v>0</v>
      </c>
      <c r="V948" s="306">
        <f t="shared" ca="1" si="409"/>
        <v>1.2264812650092931</v>
      </c>
      <c r="W948" s="304">
        <f t="shared" ca="1" si="410"/>
        <v>54.715735578570836</v>
      </c>
      <c r="Y948" s="314" t="str">
        <f t="shared" ca="1" si="428"/>
        <v/>
      </c>
      <c r="Z948" s="315" t="str">
        <f t="shared" ca="1" si="429"/>
        <v/>
      </c>
      <c r="AA948" s="316" t="str">
        <f t="shared" ca="1" si="430"/>
        <v/>
      </c>
      <c r="AC948" s="310" t="e">
        <f t="shared" ca="1" si="431"/>
        <v>#N/A</v>
      </c>
      <c r="AD948" s="323" t="e">
        <f t="shared" ca="1" si="432"/>
        <v>#N/A</v>
      </c>
      <c r="AE948" s="324" t="e">
        <f t="shared" ca="1" si="411"/>
        <v>#N/A</v>
      </c>
      <c r="AG948" s="306">
        <f t="shared" ca="1" si="433"/>
        <v>2.1130554579490219</v>
      </c>
      <c r="AH948" s="304">
        <f t="shared" ca="1" si="434"/>
        <v>-7.6525157345588006</v>
      </c>
    </row>
    <row r="949" spans="1:34" x14ac:dyDescent="0.2">
      <c r="A949" s="347">
        <f t="shared" ca="1" si="412"/>
        <v>1E-4</v>
      </c>
      <c r="B949" s="304">
        <f t="shared" ca="1" si="413"/>
        <v>36.739800000001573</v>
      </c>
      <c r="D949" s="306">
        <f t="shared" ca="1" si="414"/>
        <v>-0.72748408837273149</v>
      </c>
      <c r="E949" s="307">
        <f t="shared" ca="1" si="415"/>
        <v>-2.1921069189984328</v>
      </c>
      <c r="F949" s="304">
        <f t="shared" ca="1" si="416"/>
        <v>2.3096679075478157</v>
      </c>
      <c r="G949" s="306">
        <f t="shared" ca="1" si="417"/>
        <v>12.428699887887776</v>
      </c>
      <c r="H949" s="307">
        <f t="shared" ca="1" si="418"/>
        <v>-130.14885419069864</v>
      </c>
      <c r="I949" s="304">
        <f t="shared" ca="1" si="419"/>
        <v>130.74095314037953</v>
      </c>
      <c r="J949" s="306">
        <f t="shared" ca="1" si="420"/>
        <v>889.84792314375909</v>
      </c>
      <c r="K949" s="307">
        <f t="shared" ca="1" si="421"/>
        <v>-12.097667777465016</v>
      </c>
      <c r="L949" s="304">
        <f t="shared" ca="1" si="406"/>
        <v>889.93015450029293</v>
      </c>
      <c r="M949" s="306">
        <f t="shared" ca="1" si="422"/>
        <v>-1.4755890027914988</v>
      </c>
      <c r="N949" s="304">
        <f t="shared" ca="1" si="423"/>
        <v>-84.54502215587074</v>
      </c>
      <c r="P949" s="310">
        <f t="shared" ca="1" si="424"/>
        <v>23</v>
      </c>
      <c r="Q949" s="304">
        <f t="shared" ca="1" si="425"/>
        <v>0</v>
      </c>
      <c r="R949" s="306">
        <f t="shared" ca="1" si="426"/>
        <v>0</v>
      </c>
      <c r="S949" s="307">
        <f t="shared" ca="1" si="427"/>
        <v>7.150000000000003</v>
      </c>
      <c r="T949" s="304">
        <f t="shared" ca="1" si="407"/>
        <v>70.141500000000036</v>
      </c>
      <c r="U949" s="311">
        <f t="shared" ca="1" si="408"/>
        <v>0</v>
      </c>
      <c r="V949" s="306">
        <f t="shared" ca="1" si="409"/>
        <v>1.226482861260884</v>
      </c>
      <c r="W949" s="304">
        <f t="shared" ca="1" si="410"/>
        <v>54.715983653156734</v>
      </c>
      <c r="Y949" s="314" t="str">
        <f t="shared" ca="1" si="428"/>
        <v/>
      </c>
      <c r="Z949" s="315" t="str">
        <f t="shared" ca="1" si="429"/>
        <v/>
      </c>
      <c r="AA949" s="316" t="str">
        <f t="shared" ca="1" si="430"/>
        <v/>
      </c>
      <c r="AC949" s="310" t="e">
        <f t="shared" ca="1" si="431"/>
        <v>#N/A</v>
      </c>
      <c r="AD949" s="323" t="e">
        <f t="shared" ca="1" si="432"/>
        <v>#N/A</v>
      </c>
      <c r="AE949" s="324" t="e">
        <f t="shared" ca="1" si="411"/>
        <v>#N/A</v>
      </c>
      <c r="AG949" s="306">
        <f t="shared" ca="1" si="433"/>
        <v>2.11302142716037</v>
      </c>
      <c r="AH949" s="304">
        <f t="shared" ca="1" si="434"/>
        <v>-7.6525504305693444</v>
      </c>
    </row>
    <row r="950" spans="1:34" x14ac:dyDescent="0.2">
      <c r="A950" s="347">
        <f t="shared" ca="1" si="412"/>
        <v>1E-4</v>
      </c>
      <c r="B950" s="304">
        <f t="shared" ca="1" si="413"/>
        <v>36.739900000001576</v>
      </c>
      <c r="D950" s="306">
        <f t="shared" ca="1" si="414"/>
        <v>-0.72748195279995542</v>
      </c>
      <c r="E950" s="307">
        <f t="shared" ca="1" si="415"/>
        <v>-2.1920718614666974</v>
      </c>
      <c r="F950" s="304">
        <f t="shared" ca="1" si="416"/>
        <v>2.3096339617964809</v>
      </c>
      <c r="G950" s="306">
        <f t="shared" ca="1" si="417"/>
        <v>12.428627139692496</v>
      </c>
      <c r="H950" s="307">
        <f t="shared" ca="1" si="418"/>
        <v>-130.14907339788479</v>
      </c>
      <c r="I950" s="304">
        <f t="shared" ca="1" si="419"/>
        <v>130.74116443915244</v>
      </c>
      <c r="J950" s="306">
        <f t="shared" ca="1" si="420"/>
        <v>889.84792314375909</v>
      </c>
      <c r="K950" s="307">
        <f t="shared" ca="1" si="421"/>
        <v>-12.110682673844446</v>
      </c>
      <c r="L950" s="304">
        <f t="shared" ca="1" si="406"/>
        <v>889.93033151932059</v>
      </c>
      <c r="M950" s="306">
        <f t="shared" ca="1" si="422"/>
        <v>-1.4755897160890177</v>
      </c>
      <c r="N950" s="304">
        <f t="shared" ca="1" si="423"/>
        <v>-84.545063024808101</v>
      </c>
      <c r="P950" s="310">
        <f t="shared" ca="1" si="424"/>
        <v>23</v>
      </c>
      <c r="Q950" s="304">
        <f t="shared" ca="1" si="425"/>
        <v>0</v>
      </c>
      <c r="R950" s="306">
        <f t="shared" ca="1" si="426"/>
        <v>0</v>
      </c>
      <c r="S950" s="307">
        <f t="shared" ca="1" si="427"/>
        <v>7.150000000000003</v>
      </c>
      <c r="T950" s="304">
        <f t="shared" ca="1" si="407"/>
        <v>70.141500000000036</v>
      </c>
      <c r="U950" s="311">
        <f t="shared" ca="1" si="408"/>
        <v>0</v>
      </c>
      <c r="V950" s="306">
        <f t="shared" ca="1" si="409"/>
        <v>1.2264844575172427</v>
      </c>
      <c r="W950" s="304">
        <f t="shared" ca="1" si="410"/>
        <v>54.716231725853106</v>
      </c>
      <c r="Y950" s="314" t="str">
        <f t="shared" ca="1" si="428"/>
        <v/>
      </c>
      <c r="Z950" s="315" t="str">
        <f t="shared" ca="1" si="429"/>
        <v/>
      </c>
      <c r="AA950" s="316" t="str">
        <f t="shared" ca="1" si="430"/>
        <v/>
      </c>
      <c r="AC950" s="310" t="e">
        <f t="shared" ca="1" si="431"/>
        <v>#N/A</v>
      </c>
      <c r="AD950" s="323" t="e">
        <f t="shared" ca="1" si="432"/>
        <v>#N/A</v>
      </c>
      <c r="AE950" s="324" t="e">
        <f t="shared" ca="1" si="411"/>
        <v>#N/A</v>
      </c>
      <c r="AG950" s="306">
        <f t="shared" ca="1" si="433"/>
        <v>2.1129873966249688</v>
      </c>
      <c r="AH950" s="304">
        <f t="shared" ca="1" si="434"/>
        <v>-7.6525851263156239</v>
      </c>
    </row>
    <row r="951" spans="1:34" x14ac:dyDescent="0.2">
      <c r="A951" s="347">
        <f t="shared" ca="1" si="412"/>
        <v>1E-4</v>
      </c>
      <c r="B951" s="304">
        <f t="shared" ca="1" si="413"/>
        <v>36.740000000001579</v>
      </c>
      <c r="D951" s="306">
        <f t="shared" ca="1" si="414"/>
        <v>-0.72747981720178279</v>
      </c>
      <c r="E951" s="307">
        <f t="shared" ca="1" si="415"/>
        <v>-2.1920368042019192</v>
      </c>
      <c r="F951" s="304">
        <f t="shared" ca="1" si="416"/>
        <v>2.3096000163257062</v>
      </c>
      <c r="G951" s="306">
        <f t="shared" ca="1" si="417"/>
        <v>12.428554391710776</v>
      </c>
      <c r="H951" s="307">
        <f t="shared" ca="1" si="418"/>
        <v>-130.14929260156521</v>
      </c>
      <c r="I951" s="304">
        <f t="shared" ca="1" si="419"/>
        <v>130.74137573452236</v>
      </c>
      <c r="J951" s="306">
        <f t="shared" ca="1" si="420"/>
        <v>889.84792314375909</v>
      </c>
      <c r="K951" s="307">
        <f t="shared" ca="1" si="421"/>
        <v>-12.123697592144419</v>
      </c>
      <c r="L951" s="304">
        <f t="shared" ca="1" si="406"/>
        <v>889.93050872894969</v>
      </c>
      <c r="M951" s="306">
        <f t="shared" ca="1" si="422"/>
        <v>-1.4755904293800557</v>
      </c>
      <c r="N951" s="304">
        <f t="shared" ca="1" si="423"/>
        <v>-84.545103893374147</v>
      </c>
      <c r="P951" s="310">
        <f t="shared" ca="1" si="424"/>
        <v>23</v>
      </c>
      <c r="Q951" s="304">
        <f t="shared" ca="1" si="425"/>
        <v>0</v>
      </c>
      <c r="R951" s="306">
        <f t="shared" ca="1" si="426"/>
        <v>0</v>
      </c>
      <c r="S951" s="307">
        <f t="shared" ca="1" si="427"/>
        <v>7.150000000000003</v>
      </c>
      <c r="T951" s="304">
        <f t="shared" ca="1" si="407"/>
        <v>70.141500000000036</v>
      </c>
      <c r="U951" s="311">
        <f t="shared" ca="1" si="408"/>
        <v>0</v>
      </c>
      <c r="V951" s="306">
        <f t="shared" ca="1" si="409"/>
        <v>1.2264860537783686</v>
      </c>
      <c r="W951" s="304">
        <f t="shared" ca="1" si="410"/>
        <v>54.716479796660018</v>
      </c>
      <c r="Y951" s="314" t="str">
        <f t="shared" ca="1" si="428"/>
        <v/>
      </c>
      <c r="Z951" s="315" t="str">
        <f t="shared" ca="1" si="429"/>
        <v/>
      </c>
      <c r="AA951" s="316" t="str">
        <f t="shared" ca="1" si="430"/>
        <v/>
      </c>
      <c r="AC951" s="310" t="e">
        <f t="shared" ca="1" si="431"/>
        <v>#N/A</v>
      </c>
      <c r="AD951" s="323" t="e">
        <f t="shared" ca="1" si="432"/>
        <v>#N/A</v>
      </c>
      <c r="AE951" s="324" t="e">
        <f t="shared" ca="1" si="411"/>
        <v>#N/A</v>
      </c>
      <c r="AG951" s="306">
        <f t="shared" ca="1" si="433"/>
        <v>2.1129533663428237</v>
      </c>
      <c r="AH951" s="304">
        <f t="shared" ca="1" si="434"/>
        <v>-7.652619821797634</v>
      </c>
    </row>
    <row r="952" spans="1:34" x14ac:dyDescent="0.2">
      <c r="A952" s="347">
        <f t="shared" ca="1" si="412"/>
        <v>1E-4</v>
      </c>
      <c r="B952" s="304">
        <f t="shared" ca="1" si="413"/>
        <v>36.740100000001583</v>
      </c>
      <c r="D952" s="306">
        <f t="shared" ca="1" si="414"/>
        <v>-0.72747768157821746</v>
      </c>
      <c r="E952" s="307">
        <f t="shared" ca="1" si="415"/>
        <v>-2.1920017472040909</v>
      </c>
      <c r="F952" s="304">
        <f t="shared" ca="1" si="416"/>
        <v>2.3095660711354862</v>
      </c>
      <c r="G952" s="306">
        <f t="shared" ca="1" si="417"/>
        <v>12.428481643942618</v>
      </c>
      <c r="H952" s="307">
        <f t="shared" ca="1" si="418"/>
        <v>-130.14951180173992</v>
      </c>
      <c r="I952" s="304">
        <f t="shared" ca="1" si="419"/>
        <v>130.74158702648924</v>
      </c>
      <c r="J952" s="306">
        <f t="shared" ca="1" si="420"/>
        <v>889.84792314375909</v>
      </c>
      <c r="K952" s="307">
        <f t="shared" ca="1" si="421"/>
        <v>-12.136712532364584</v>
      </c>
      <c r="L952" s="304">
        <f t="shared" ca="1" si="406"/>
        <v>889.9306861291808</v>
      </c>
      <c r="M952" s="306">
        <f t="shared" ca="1" si="422"/>
        <v>-1.4755911426646133</v>
      </c>
      <c r="N952" s="304">
        <f t="shared" ca="1" si="423"/>
        <v>-84.545144761568892</v>
      </c>
      <c r="P952" s="310">
        <f t="shared" ca="1" si="424"/>
        <v>23</v>
      </c>
      <c r="Q952" s="304">
        <f t="shared" ca="1" si="425"/>
        <v>0</v>
      </c>
      <c r="R952" s="306">
        <f t="shared" ca="1" si="426"/>
        <v>0</v>
      </c>
      <c r="S952" s="307">
        <f t="shared" ca="1" si="427"/>
        <v>7.150000000000003</v>
      </c>
      <c r="T952" s="304">
        <f t="shared" ca="1" si="407"/>
        <v>70.141500000000036</v>
      </c>
      <c r="U952" s="311">
        <f t="shared" ca="1" si="408"/>
        <v>0</v>
      </c>
      <c r="V952" s="306">
        <f t="shared" ca="1" si="409"/>
        <v>1.2264876500442614</v>
      </c>
      <c r="W952" s="304">
        <f t="shared" ca="1" si="410"/>
        <v>54.716727865577333</v>
      </c>
      <c r="Y952" s="314" t="str">
        <f t="shared" ca="1" si="428"/>
        <v/>
      </c>
      <c r="Z952" s="315" t="str">
        <f t="shared" ca="1" si="429"/>
        <v/>
      </c>
      <c r="AA952" s="316" t="str">
        <f t="shared" ca="1" si="430"/>
        <v/>
      </c>
      <c r="AC952" s="310" t="e">
        <f t="shared" ca="1" si="431"/>
        <v>#N/A</v>
      </c>
      <c r="AD952" s="323" t="e">
        <f t="shared" ca="1" si="432"/>
        <v>#N/A</v>
      </c>
      <c r="AE952" s="324" t="e">
        <f t="shared" ca="1" si="411"/>
        <v>#N/A</v>
      </c>
      <c r="AG952" s="306">
        <f t="shared" ca="1" si="433"/>
        <v>2.1129193363139294</v>
      </c>
      <c r="AH952" s="304">
        <f t="shared" ca="1" si="434"/>
        <v>-7.6526545170153835</v>
      </c>
    </row>
    <row r="953" spans="1:34" x14ac:dyDescent="0.2">
      <c r="A953" s="347">
        <f t="shared" ca="1" si="412"/>
        <v>1E-4</v>
      </c>
      <c r="B953" s="304">
        <f t="shared" ca="1" si="413"/>
        <v>36.740200000001586</v>
      </c>
      <c r="D953" s="306">
        <f t="shared" ca="1" si="414"/>
        <v>-0.72747554592925556</v>
      </c>
      <c r="E953" s="307">
        <f t="shared" ca="1" si="415"/>
        <v>-2.1919666904732287</v>
      </c>
      <c r="F953" s="304">
        <f t="shared" ca="1" si="416"/>
        <v>2.3095321262258355</v>
      </c>
      <c r="G953" s="306">
        <f t="shared" ca="1" si="417"/>
        <v>12.428408896388024</v>
      </c>
      <c r="H953" s="307">
        <f t="shared" ca="1" si="418"/>
        <v>-130.14973099840896</v>
      </c>
      <c r="I953" s="304">
        <f t="shared" ca="1" si="419"/>
        <v>130.74179831505313</v>
      </c>
      <c r="J953" s="306">
        <f t="shared" ca="1" si="420"/>
        <v>889.84792314375909</v>
      </c>
      <c r="K953" s="307">
        <f t="shared" ca="1" si="421"/>
        <v>-12.149727494504591</v>
      </c>
      <c r="L953" s="304">
        <f t="shared" ca="1" si="406"/>
        <v>889.93086372001505</v>
      </c>
      <c r="M953" s="306">
        <f t="shared" ca="1" si="422"/>
        <v>-1.4755918559426902</v>
      </c>
      <c r="N953" s="304">
        <f t="shared" ca="1" si="423"/>
        <v>-84.545185629392307</v>
      </c>
      <c r="P953" s="310">
        <f t="shared" ca="1" si="424"/>
        <v>23</v>
      </c>
      <c r="Q953" s="304">
        <f t="shared" ca="1" si="425"/>
        <v>0</v>
      </c>
      <c r="R953" s="306">
        <f t="shared" ca="1" si="426"/>
        <v>0</v>
      </c>
      <c r="S953" s="307">
        <f t="shared" ca="1" si="427"/>
        <v>7.150000000000003</v>
      </c>
      <c r="T953" s="304">
        <f t="shared" ca="1" si="407"/>
        <v>70.141500000000036</v>
      </c>
      <c r="U953" s="311">
        <f t="shared" ca="1" si="408"/>
        <v>0</v>
      </c>
      <c r="V953" s="306">
        <f t="shared" ca="1" si="409"/>
        <v>1.2264892463149217</v>
      </c>
      <c r="W953" s="304">
        <f t="shared" ca="1" si="410"/>
        <v>54.716975932605138</v>
      </c>
      <c r="Y953" s="314" t="str">
        <f t="shared" ca="1" si="428"/>
        <v/>
      </c>
      <c r="Z953" s="315" t="str">
        <f t="shared" ca="1" si="429"/>
        <v/>
      </c>
      <c r="AA953" s="316" t="str">
        <f t="shared" ca="1" si="430"/>
        <v/>
      </c>
      <c r="AC953" s="310" t="e">
        <f t="shared" ca="1" si="431"/>
        <v>#N/A</v>
      </c>
      <c r="AD953" s="323" t="e">
        <f t="shared" ca="1" si="432"/>
        <v>#N/A</v>
      </c>
      <c r="AE953" s="324" t="e">
        <f t="shared" ca="1" si="411"/>
        <v>#N/A</v>
      </c>
      <c r="AG953" s="306">
        <f t="shared" ca="1" si="433"/>
        <v>2.1128853065382982</v>
      </c>
      <c r="AH953" s="304">
        <f t="shared" ca="1" si="434"/>
        <v>-7.6526892119688545</v>
      </c>
    </row>
    <row r="954" spans="1:34" x14ac:dyDescent="0.2">
      <c r="A954" s="347">
        <f t="shared" ca="1" si="412"/>
        <v>1E-4</v>
      </c>
      <c r="B954" s="304">
        <f t="shared" ca="1" si="413"/>
        <v>36.740300000001589</v>
      </c>
      <c r="D954" s="306">
        <f t="shared" ca="1" si="414"/>
        <v>-0.72747341025490264</v>
      </c>
      <c r="E954" s="307">
        <f t="shared" ca="1" si="415"/>
        <v>-2.1919316340093227</v>
      </c>
      <c r="F954" s="304">
        <f t="shared" ca="1" si="416"/>
        <v>2.3094981815967461</v>
      </c>
      <c r="G954" s="306">
        <f t="shared" ca="1" si="417"/>
        <v>12.428336149046999</v>
      </c>
      <c r="H954" s="307">
        <f t="shared" ca="1" si="418"/>
        <v>-130.14995019157234</v>
      </c>
      <c r="I954" s="304">
        <f t="shared" ca="1" si="419"/>
        <v>130.74200960021409</v>
      </c>
      <c r="J954" s="306">
        <f t="shared" ca="1" si="420"/>
        <v>889.84792314375909</v>
      </c>
      <c r="K954" s="307">
        <f t="shared" ca="1" si="421"/>
        <v>-12.162742478564089</v>
      </c>
      <c r="L954" s="304">
        <f t="shared" ca="1" si="406"/>
        <v>889.93104150145325</v>
      </c>
      <c r="M954" s="306">
        <f t="shared" ca="1" si="422"/>
        <v>-1.4755925692142868</v>
      </c>
      <c r="N954" s="304">
        <f t="shared" ca="1" si="423"/>
        <v>-84.54522649684445</v>
      </c>
      <c r="P954" s="310">
        <f t="shared" ca="1" si="424"/>
        <v>23</v>
      </c>
      <c r="Q954" s="304">
        <f t="shared" ca="1" si="425"/>
        <v>0</v>
      </c>
      <c r="R954" s="306">
        <f t="shared" ca="1" si="426"/>
        <v>0</v>
      </c>
      <c r="S954" s="307">
        <f t="shared" ca="1" si="427"/>
        <v>7.150000000000003</v>
      </c>
      <c r="T954" s="304">
        <f t="shared" ca="1" si="407"/>
        <v>70.141500000000036</v>
      </c>
      <c r="U954" s="311">
        <f t="shared" ca="1" si="408"/>
        <v>0</v>
      </c>
      <c r="V954" s="306">
        <f t="shared" ca="1" si="409"/>
        <v>1.2264908425903496</v>
      </c>
      <c r="W954" s="304">
        <f t="shared" ca="1" si="410"/>
        <v>54.717223997743453</v>
      </c>
      <c r="Y954" s="314" t="str">
        <f t="shared" ca="1" si="428"/>
        <v/>
      </c>
      <c r="Z954" s="315" t="str">
        <f t="shared" ca="1" si="429"/>
        <v/>
      </c>
      <c r="AA954" s="316" t="str">
        <f t="shared" ca="1" si="430"/>
        <v/>
      </c>
      <c r="AC954" s="310" t="e">
        <f t="shared" ca="1" si="431"/>
        <v>#N/A</v>
      </c>
      <c r="AD954" s="323" t="e">
        <f t="shared" ca="1" si="432"/>
        <v>#N/A</v>
      </c>
      <c r="AE954" s="324" t="e">
        <f t="shared" ca="1" si="411"/>
        <v>#N/A</v>
      </c>
      <c r="AG954" s="306">
        <f t="shared" ca="1" si="433"/>
        <v>2.1128512770159267</v>
      </c>
      <c r="AH954" s="304">
        <f t="shared" ca="1" si="434"/>
        <v>-7.6527239066580579</v>
      </c>
    </row>
    <row r="955" spans="1:34" x14ac:dyDescent="0.2">
      <c r="A955" s="347">
        <f t="shared" ca="1" si="412"/>
        <v>1E-4</v>
      </c>
      <c r="B955" s="304">
        <f t="shared" ca="1" si="413"/>
        <v>36.740400000001593</v>
      </c>
      <c r="D955" s="306">
        <f t="shared" ca="1" si="414"/>
        <v>-0.72747127455515548</v>
      </c>
      <c r="E955" s="307">
        <f t="shared" ca="1" si="415"/>
        <v>-2.1918965778123702</v>
      </c>
      <c r="F955" s="304">
        <f t="shared" ca="1" si="416"/>
        <v>2.3094642372482155</v>
      </c>
      <c r="G955" s="306">
        <f t="shared" ca="1" si="417"/>
        <v>12.428263401919542</v>
      </c>
      <c r="H955" s="307">
        <f t="shared" ca="1" si="418"/>
        <v>-130.15016938123011</v>
      </c>
      <c r="I955" s="304">
        <f t="shared" ca="1" si="419"/>
        <v>130.74222088197209</v>
      </c>
      <c r="J955" s="306">
        <f t="shared" ca="1" si="420"/>
        <v>889.84792314375909</v>
      </c>
      <c r="K955" s="307">
        <f t="shared" ca="1" si="421"/>
        <v>-12.17575748454273</v>
      </c>
      <c r="L955" s="304">
        <f t="shared" ca="1" si="406"/>
        <v>889.93121947349607</v>
      </c>
      <c r="M955" s="306">
        <f t="shared" ca="1" si="422"/>
        <v>-1.4755932824794031</v>
      </c>
      <c r="N955" s="304">
        <f t="shared" ca="1" si="423"/>
        <v>-84.545267363925277</v>
      </c>
      <c r="P955" s="310">
        <f t="shared" ca="1" si="424"/>
        <v>23</v>
      </c>
      <c r="Q955" s="304">
        <f t="shared" ca="1" si="425"/>
        <v>0</v>
      </c>
      <c r="R955" s="306">
        <f t="shared" ca="1" si="426"/>
        <v>0</v>
      </c>
      <c r="S955" s="307">
        <f t="shared" ca="1" si="427"/>
        <v>7.150000000000003</v>
      </c>
      <c r="T955" s="304">
        <f t="shared" ca="1" si="407"/>
        <v>70.141500000000036</v>
      </c>
      <c r="U955" s="311">
        <f t="shared" ca="1" si="408"/>
        <v>0</v>
      </c>
      <c r="V955" s="306">
        <f t="shared" ca="1" si="409"/>
        <v>1.226492438870544</v>
      </c>
      <c r="W955" s="304">
        <f t="shared" ca="1" si="410"/>
        <v>54.717472060992186</v>
      </c>
      <c r="Y955" s="314" t="str">
        <f t="shared" ca="1" si="428"/>
        <v/>
      </c>
      <c r="Z955" s="315" t="str">
        <f t="shared" ca="1" si="429"/>
        <v/>
      </c>
      <c r="AA955" s="316" t="str">
        <f t="shared" ca="1" si="430"/>
        <v/>
      </c>
      <c r="AC955" s="310" t="e">
        <f t="shared" ca="1" si="431"/>
        <v>#N/A</v>
      </c>
      <c r="AD955" s="323" t="e">
        <f t="shared" ca="1" si="432"/>
        <v>#N/A</v>
      </c>
      <c r="AE955" s="324" t="e">
        <f t="shared" ca="1" si="411"/>
        <v>#N/A</v>
      </c>
      <c r="AG955" s="306">
        <f t="shared" ca="1" si="433"/>
        <v>2.1128172477468041</v>
      </c>
      <c r="AH955" s="304">
        <f t="shared" ca="1" si="434"/>
        <v>-7.6527586010829971</v>
      </c>
    </row>
    <row r="956" spans="1:34" x14ac:dyDescent="0.2">
      <c r="A956" s="347">
        <f t="shared" ca="1" si="412"/>
        <v>1E-4</v>
      </c>
      <c r="B956" s="304">
        <f t="shared" ca="1" si="413"/>
        <v>36.740500000001596</v>
      </c>
      <c r="D956" s="306">
        <f t="shared" ca="1" si="414"/>
        <v>-0.72746913883001552</v>
      </c>
      <c r="E956" s="307">
        <f t="shared" ca="1" si="415"/>
        <v>-2.1918615218823829</v>
      </c>
      <c r="F956" s="304">
        <f t="shared" ca="1" si="416"/>
        <v>2.3094302931802555</v>
      </c>
      <c r="G956" s="306">
        <f t="shared" ca="1" si="417"/>
        <v>12.428190655005659</v>
      </c>
      <c r="H956" s="307">
        <f t="shared" ca="1" si="418"/>
        <v>-130.15038856738229</v>
      </c>
      <c r="I956" s="304">
        <f t="shared" ca="1" si="419"/>
        <v>130.74243216032721</v>
      </c>
      <c r="J956" s="306">
        <f t="shared" ca="1" si="420"/>
        <v>889.84792314375909</v>
      </c>
      <c r="K956" s="307">
        <f t="shared" ca="1" si="421"/>
        <v>-12.188772512440162</v>
      </c>
      <c r="L956" s="304">
        <f t="shared" ca="1" si="406"/>
        <v>889.93139763614442</v>
      </c>
      <c r="M956" s="306">
        <f t="shared" ca="1" si="422"/>
        <v>-1.4755939957380391</v>
      </c>
      <c r="N956" s="304">
        <f t="shared" ca="1" si="423"/>
        <v>-84.545308230634816</v>
      </c>
      <c r="P956" s="310">
        <f t="shared" ca="1" si="424"/>
        <v>23</v>
      </c>
      <c r="Q956" s="304">
        <f t="shared" ca="1" si="425"/>
        <v>0</v>
      </c>
      <c r="R956" s="306">
        <f t="shared" ca="1" si="426"/>
        <v>0</v>
      </c>
      <c r="S956" s="307">
        <f t="shared" ca="1" si="427"/>
        <v>7.150000000000003</v>
      </c>
      <c r="T956" s="304">
        <f t="shared" ca="1" si="407"/>
        <v>70.141500000000036</v>
      </c>
      <c r="U956" s="311">
        <f t="shared" ca="1" si="408"/>
        <v>0</v>
      </c>
      <c r="V956" s="306">
        <f t="shared" ca="1" si="409"/>
        <v>1.2264940351555058</v>
      </c>
      <c r="W956" s="304">
        <f t="shared" ca="1" si="410"/>
        <v>54.717720122351416</v>
      </c>
      <c r="Y956" s="314" t="str">
        <f t="shared" ca="1" si="428"/>
        <v/>
      </c>
      <c r="Z956" s="315" t="str">
        <f t="shared" ca="1" si="429"/>
        <v/>
      </c>
      <c r="AA956" s="316" t="str">
        <f t="shared" ca="1" si="430"/>
        <v/>
      </c>
      <c r="AC956" s="310" t="e">
        <f t="shared" ca="1" si="431"/>
        <v>#N/A</v>
      </c>
      <c r="AD956" s="323" t="e">
        <f t="shared" ca="1" si="432"/>
        <v>#N/A</v>
      </c>
      <c r="AE956" s="324" t="e">
        <f t="shared" ca="1" si="411"/>
        <v>#N/A</v>
      </c>
      <c r="AG956" s="306">
        <f t="shared" ca="1" si="433"/>
        <v>2.112783218730951</v>
      </c>
      <c r="AH956" s="304">
        <f t="shared" ca="1" si="434"/>
        <v>-7.6527932952436588</v>
      </c>
    </row>
    <row r="957" spans="1:34" x14ac:dyDescent="0.2">
      <c r="A957" s="347">
        <f t="shared" ca="1" si="412"/>
        <v>1E-4</v>
      </c>
      <c r="B957" s="304">
        <f t="shared" ca="1" si="413"/>
        <v>36.740600000001599</v>
      </c>
      <c r="D957" s="306">
        <f t="shared" ca="1" si="414"/>
        <v>-0.7274670030794852</v>
      </c>
      <c r="E957" s="307">
        <f t="shared" ca="1" si="415"/>
        <v>-2.1918264662193501</v>
      </c>
      <c r="F957" s="304">
        <f t="shared" ca="1" si="416"/>
        <v>2.309396349392856</v>
      </c>
      <c r="G957" s="306">
        <f t="shared" ca="1" si="417"/>
        <v>12.428117908305351</v>
      </c>
      <c r="H957" s="307">
        <f t="shared" ca="1" si="418"/>
        <v>-130.15060775002891</v>
      </c>
      <c r="I957" s="304">
        <f t="shared" ca="1" si="419"/>
        <v>130.74264343527949</v>
      </c>
      <c r="J957" s="306">
        <f t="shared" ca="1" si="420"/>
        <v>889.84792314375909</v>
      </c>
      <c r="K957" s="307">
        <f t="shared" ca="1" si="421"/>
        <v>-12.201787562256031</v>
      </c>
      <c r="L957" s="304">
        <f t="shared" ca="1" si="406"/>
        <v>889.93157598939922</v>
      </c>
      <c r="M957" s="306">
        <f t="shared" ca="1" si="422"/>
        <v>-1.4755947089901948</v>
      </c>
      <c r="N957" s="304">
        <f t="shared" ca="1" si="423"/>
        <v>-84.545349096973084</v>
      </c>
      <c r="P957" s="310">
        <f t="shared" ca="1" si="424"/>
        <v>23</v>
      </c>
      <c r="Q957" s="304">
        <f t="shared" ca="1" si="425"/>
        <v>0</v>
      </c>
      <c r="R957" s="306">
        <f t="shared" ca="1" si="426"/>
        <v>0</v>
      </c>
      <c r="S957" s="307">
        <f t="shared" ca="1" si="427"/>
        <v>7.150000000000003</v>
      </c>
      <c r="T957" s="304">
        <f t="shared" ca="1" si="407"/>
        <v>70.141500000000036</v>
      </c>
      <c r="U957" s="311">
        <f t="shared" ca="1" si="408"/>
        <v>0</v>
      </c>
      <c r="V957" s="306">
        <f t="shared" ca="1" si="409"/>
        <v>1.2264956314452347</v>
      </c>
      <c r="W957" s="304">
        <f t="shared" ca="1" si="410"/>
        <v>54.717968181821156</v>
      </c>
      <c r="Y957" s="314" t="str">
        <f t="shared" ca="1" si="428"/>
        <v/>
      </c>
      <c r="Z957" s="315" t="str">
        <f t="shared" ca="1" si="429"/>
        <v/>
      </c>
      <c r="AA957" s="316" t="str">
        <f t="shared" ca="1" si="430"/>
        <v/>
      </c>
      <c r="AC957" s="310" t="e">
        <f t="shared" ca="1" si="431"/>
        <v>#N/A</v>
      </c>
      <c r="AD957" s="323" t="e">
        <f t="shared" ca="1" si="432"/>
        <v>#N/A</v>
      </c>
      <c r="AE957" s="324" t="e">
        <f t="shared" ca="1" si="411"/>
        <v>#N/A</v>
      </c>
      <c r="AG957" s="306">
        <f t="shared" ca="1" si="433"/>
        <v>2.1127491899683521</v>
      </c>
      <c r="AH957" s="304">
        <f t="shared" ca="1" si="434"/>
        <v>-7.6528279891400546</v>
      </c>
    </row>
    <row r="958" spans="1:34" x14ac:dyDescent="0.2">
      <c r="A958" s="347">
        <f t="shared" ca="1" si="412"/>
        <v>1E-4</v>
      </c>
      <c r="B958" s="304">
        <f t="shared" ca="1" si="413"/>
        <v>36.740700000001603</v>
      </c>
      <c r="D958" s="306">
        <f t="shared" ca="1" si="414"/>
        <v>-0.72746486730356419</v>
      </c>
      <c r="E958" s="307">
        <f t="shared" ca="1" si="415"/>
        <v>-2.1917914108232699</v>
      </c>
      <c r="F958" s="304">
        <f t="shared" ca="1" si="416"/>
        <v>2.3093624058860169</v>
      </c>
      <c r="G958" s="306">
        <f t="shared" ca="1" si="417"/>
        <v>12.428045161818622</v>
      </c>
      <c r="H958" s="307">
        <f t="shared" ca="1" si="418"/>
        <v>-130.15082692916999</v>
      </c>
      <c r="I958" s="304">
        <f t="shared" ca="1" si="419"/>
        <v>130.74285470682887</v>
      </c>
      <c r="J958" s="306">
        <f t="shared" ca="1" si="420"/>
        <v>889.84792314375909</v>
      </c>
      <c r="K958" s="307">
        <f t="shared" ca="1" si="421"/>
        <v>-12.214802633989992</v>
      </c>
      <c r="L958" s="304">
        <f t="shared" ca="1" si="406"/>
        <v>889.93175453326126</v>
      </c>
      <c r="M958" s="306">
        <f t="shared" ca="1" si="422"/>
        <v>-1.4755954222358707</v>
      </c>
      <c r="N958" s="304">
        <f t="shared" ca="1" si="423"/>
        <v>-84.545389962940064</v>
      </c>
      <c r="P958" s="310">
        <f t="shared" ca="1" si="424"/>
        <v>23</v>
      </c>
      <c r="Q958" s="304">
        <f t="shared" ca="1" si="425"/>
        <v>0</v>
      </c>
      <c r="R958" s="306">
        <f t="shared" ca="1" si="426"/>
        <v>0</v>
      </c>
      <c r="S958" s="307">
        <f t="shared" ca="1" si="427"/>
        <v>7.150000000000003</v>
      </c>
      <c r="T958" s="304">
        <f t="shared" ca="1" si="407"/>
        <v>70.141500000000036</v>
      </c>
      <c r="U958" s="311">
        <f t="shared" ca="1" si="408"/>
        <v>0</v>
      </c>
      <c r="V958" s="306">
        <f t="shared" ca="1" si="409"/>
        <v>1.2264972277397308</v>
      </c>
      <c r="W958" s="304">
        <f t="shared" ca="1" si="410"/>
        <v>54.718216239401322</v>
      </c>
      <c r="Y958" s="314" t="str">
        <f t="shared" ca="1" si="428"/>
        <v/>
      </c>
      <c r="Z958" s="315" t="str">
        <f t="shared" ca="1" si="429"/>
        <v/>
      </c>
      <c r="AA958" s="316" t="str">
        <f t="shared" ca="1" si="430"/>
        <v/>
      </c>
      <c r="AC958" s="310" t="e">
        <f t="shared" ca="1" si="431"/>
        <v>#N/A</v>
      </c>
      <c r="AD958" s="323" t="e">
        <f t="shared" ca="1" si="432"/>
        <v>#N/A</v>
      </c>
      <c r="AE958" s="324" t="e">
        <f t="shared" ca="1" si="411"/>
        <v>#N/A</v>
      </c>
      <c r="AG958" s="306">
        <f t="shared" ca="1" si="433"/>
        <v>2.1127151614590058</v>
      </c>
      <c r="AH958" s="304">
        <f t="shared" ca="1" si="434"/>
        <v>-7.6528626827721862</v>
      </c>
    </row>
    <row r="959" spans="1:34" x14ac:dyDescent="0.2">
      <c r="A959" s="347">
        <f t="shared" ca="1" si="412"/>
        <v>1E-4</v>
      </c>
      <c r="B959" s="304">
        <f t="shared" ca="1" si="413"/>
        <v>36.740800000001606</v>
      </c>
      <c r="D959" s="306">
        <f t="shared" ca="1" si="414"/>
        <v>-0.72746273150225094</v>
      </c>
      <c r="E959" s="307">
        <f t="shared" ca="1" si="415"/>
        <v>-2.1917563556941539</v>
      </c>
      <c r="F959" s="304">
        <f t="shared" ca="1" si="416"/>
        <v>2.3093284626597481</v>
      </c>
      <c r="G959" s="306">
        <f t="shared" ca="1" si="417"/>
        <v>12.427972415545472</v>
      </c>
      <c r="H959" s="307">
        <f t="shared" ca="1" si="418"/>
        <v>-130.15104610480557</v>
      </c>
      <c r="I959" s="304">
        <f t="shared" ca="1" si="419"/>
        <v>130.74306597497545</v>
      </c>
      <c r="J959" s="306">
        <f t="shared" ca="1" si="420"/>
        <v>889.84792314375909</v>
      </c>
      <c r="K959" s="307">
        <f t="shared" ca="1" si="421"/>
        <v>-12.227817727641691</v>
      </c>
      <c r="L959" s="304">
        <f t="shared" ca="1" si="406"/>
        <v>889.93193326773132</v>
      </c>
      <c r="M959" s="306">
        <f t="shared" ca="1" si="422"/>
        <v>-1.4755961354750664</v>
      </c>
      <c r="N959" s="304">
        <f t="shared" ca="1" si="423"/>
        <v>-84.545430828535757</v>
      </c>
      <c r="P959" s="310">
        <f t="shared" ca="1" si="424"/>
        <v>23</v>
      </c>
      <c r="Q959" s="304">
        <f t="shared" ca="1" si="425"/>
        <v>0</v>
      </c>
      <c r="R959" s="306">
        <f t="shared" ca="1" si="426"/>
        <v>0</v>
      </c>
      <c r="S959" s="307">
        <f t="shared" ca="1" si="427"/>
        <v>7.150000000000003</v>
      </c>
      <c r="T959" s="304">
        <f t="shared" ca="1" si="407"/>
        <v>70.141500000000036</v>
      </c>
      <c r="U959" s="311">
        <f t="shared" ca="1" si="408"/>
        <v>0</v>
      </c>
      <c r="V959" s="306">
        <f t="shared" ca="1" si="409"/>
        <v>1.226498824038994</v>
      </c>
      <c r="W959" s="304">
        <f t="shared" ca="1" si="410"/>
        <v>54.718464295091984</v>
      </c>
      <c r="Y959" s="314" t="str">
        <f t="shared" ca="1" si="428"/>
        <v/>
      </c>
      <c r="Z959" s="315" t="str">
        <f t="shared" ca="1" si="429"/>
        <v/>
      </c>
      <c r="AA959" s="316" t="str">
        <f t="shared" ca="1" si="430"/>
        <v/>
      </c>
      <c r="AC959" s="310" t="e">
        <f t="shared" ca="1" si="431"/>
        <v>#N/A</v>
      </c>
      <c r="AD959" s="323" t="e">
        <f t="shared" ca="1" si="432"/>
        <v>#N/A</v>
      </c>
      <c r="AE959" s="324" t="e">
        <f t="shared" ca="1" si="411"/>
        <v>#N/A</v>
      </c>
      <c r="AG959" s="306">
        <f t="shared" ca="1" si="433"/>
        <v>2.1126811332029236</v>
      </c>
      <c r="AH959" s="304">
        <f t="shared" ca="1" si="434"/>
        <v>-7.6528973761400421</v>
      </c>
    </row>
    <row r="960" spans="1:34" x14ac:dyDescent="0.2">
      <c r="A960" s="347">
        <f t="shared" ca="1" si="412"/>
        <v>1E-4</v>
      </c>
      <c r="B960" s="304">
        <f t="shared" ca="1" si="413"/>
        <v>36.740900000001609</v>
      </c>
      <c r="D960" s="306">
        <f t="shared" ca="1" si="414"/>
        <v>-0.72746059567554933</v>
      </c>
      <c r="E960" s="307">
        <f t="shared" ca="1" si="415"/>
        <v>-2.1917213008319942</v>
      </c>
      <c r="F960" s="304">
        <f t="shared" ca="1" si="416"/>
        <v>2.3092945197140433</v>
      </c>
      <c r="G960" s="306">
        <f t="shared" ca="1" si="417"/>
        <v>12.427899669485905</v>
      </c>
      <c r="H960" s="307">
        <f t="shared" ca="1" si="418"/>
        <v>-130.15126527693565</v>
      </c>
      <c r="I960" s="304">
        <f t="shared" ca="1" si="419"/>
        <v>130.74327723971922</v>
      </c>
      <c r="J960" s="306">
        <f t="shared" ca="1" si="420"/>
        <v>889.84792314375909</v>
      </c>
      <c r="K960" s="307">
        <f t="shared" ca="1" si="421"/>
        <v>-12.240832843210779</v>
      </c>
      <c r="L960" s="304">
        <f t="shared" ca="1" si="406"/>
        <v>889.93211219281034</v>
      </c>
      <c r="M960" s="306">
        <f t="shared" ca="1" si="422"/>
        <v>-1.4755968487077824</v>
      </c>
      <c r="N960" s="304">
        <f t="shared" ca="1" si="423"/>
        <v>-84.545471693760192</v>
      </c>
      <c r="P960" s="310">
        <f t="shared" ca="1" si="424"/>
        <v>23</v>
      </c>
      <c r="Q960" s="304">
        <f t="shared" ca="1" si="425"/>
        <v>0</v>
      </c>
      <c r="R960" s="306">
        <f t="shared" ca="1" si="426"/>
        <v>0</v>
      </c>
      <c r="S960" s="307">
        <f t="shared" ca="1" si="427"/>
        <v>7.150000000000003</v>
      </c>
      <c r="T960" s="304">
        <f t="shared" ca="1" si="407"/>
        <v>70.141500000000036</v>
      </c>
      <c r="U960" s="311">
        <f t="shared" ca="1" si="408"/>
        <v>0</v>
      </c>
      <c r="V960" s="306">
        <f t="shared" ca="1" si="409"/>
        <v>1.2265004203430241</v>
      </c>
      <c r="W960" s="304">
        <f t="shared" ca="1" si="410"/>
        <v>54.718712348893092</v>
      </c>
      <c r="Y960" s="314" t="str">
        <f t="shared" ca="1" si="428"/>
        <v/>
      </c>
      <c r="Z960" s="315" t="str">
        <f t="shared" ca="1" si="429"/>
        <v/>
      </c>
      <c r="AA960" s="316" t="str">
        <f t="shared" ca="1" si="430"/>
        <v/>
      </c>
      <c r="AC960" s="310" t="e">
        <f t="shared" ca="1" si="431"/>
        <v>#N/A</v>
      </c>
      <c r="AD960" s="323" t="e">
        <f t="shared" ca="1" si="432"/>
        <v>#N/A</v>
      </c>
      <c r="AE960" s="324" t="e">
        <f t="shared" ca="1" si="411"/>
        <v>#N/A</v>
      </c>
      <c r="AG960" s="306">
        <f t="shared" ca="1" si="433"/>
        <v>2.1126471052000984</v>
      </c>
      <c r="AH960" s="304">
        <f t="shared" ca="1" si="434"/>
        <v>-7.6529320692436311</v>
      </c>
    </row>
    <row r="961" spans="1:34" x14ac:dyDescent="0.2">
      <c r="A961" s="347">
        <f t="shared" ca="1" si="412"/>
        <v>1E-4</v>
      </c>
      <c r="B961" s="304">
        <f t="shared" ca="1" si="413"/>
        <v>36.741000000001613</v>
      </c>
      <c r="D961" s="306">
        <f t="shared" ca="1" si="414"/>
        <v>-0.72745845982345636</v>
      </c>
      <c r="E961" s="307">
        <f t="shared" ca="1" si="415"/>
        <v>-2.1916862462367943</v>
      </c>
      <c r="F961" s="304">
        <f t="shared" ca="1" si="416"/>
        <v>2.3092605770489056</v>
      </c>
      <c r="G961" s="306">
        <f t="shared" ca="1" si="417"/>
        <v>12.427826923639923</v>
      </c>
      <c r="H961" s="307">
        <f t="shared" ca="1" si="418"/>
        <v>-130.15148444556027</v>
      </c>
      <c r="I961" s="304">
        <f t="shared" ca="1" si="419"/>
        <v>130.74348850106023</v>
      </c>
      <c r="J961" s="306">
        <f t="shared" ca="1" si="420"/>
        <v>889.84792314375909</v>
      </c>
      <c r="K961" s="307">
        <f t="shared" ca="1" si="421"/>
        <v>-12.253847980696904</v>
      </c>
      <c r="L961" s="304">
        <f t="shared" ca="1" si="406"/>
        <v>889.9322913084992</v>
      </c>
      <c r="M961" s="306">
        <f t="shared" ca="1" si="422"/>
        <v>-1.4755975619340185</v>
      </c>
      <c r="N961" s="304">
        <f t="shared" ca="1" si="423"/>
        <v>-84.545512558613353</v>
      </c>
      <c r="P961" s="310">
        <f t="shared" ca="1" si="424"/>
        <v>23</v>
      </c>
      <c r="Q961" s="304">
        <f t="shared" ca="1" si="425"/>
        <v>0</v>
      </c>
      <c r="R961" s="306">
        <f t="shared" ca="1" si="426"/>
        <v>0</v>
      </c>
      <c r="S961" s="307">
        <f t="shared" ca="1" si="427"/>
        <v>7.150000000000003</v>
      </c>
      <c r="T961" s="304">
        <f t="shared" ca="1" si="407"/>
        <v>70.141500000000036</v>
      </c>
      <c r="U961" s="311">
        <f t="shared" ca="1" si="408"/>
        <v>0</v>
      </c>
      <c r="V961" s="306">
        <f t="shared" ca="1" si="409"/>
        <v>1.2265020166518212</v>
      </c>
      <c r="W961" s="304">
        <f t="shared" ca="1" si="410"/>
        <v>54.718960400804669</v>
      </c>
      <c r="Y961" s="314" t="str">
        <f t="shared" ca="1" si="428"/>
        <v/>
      </c>
      <c r="Z961" s="315" t="str">
        <f t="shared" ca="1" si="429"/>
        <v/>
      </c>
      <c r="AA961" s="316" t="str">
        <f t="shared" ca="1" si="430"/>
        <v/>
      </c>
      <c r="AC961" s="310" t="e">
        <f t="shared" ca="1" si="431"/>
        <v>#N/A</v>
      </c>
      <c r="AD961" s="323" t="e">
        <f t="shared" ca="1" si="432"/>
        <v>#N/A</v>
      </c>
      <c r="AE961" s="324" t="e">
        <f t="shared" ca="1" si="411"/>
        <v>#N/A</v>
      </c>
      <c r="AG961" s="306">
        <f t="shared" ca="1" si="433"/>
        <v>2.1126130774505345</v>
      </c>
      <c r="AH961" s="304">
        <f t="shared" ca="1" si="434"/>
        <v>-7.6529667620829471</v>
      </c>
    </row>
    <row r="962" spans="1:34" x14ac:dyDescent="0.2">
      <c r="A962" s="347">
        <f t="shared" ca="1" si="412"/>
        <v>1E-4</v>
      </c>
      <c r="B962" s="304">
        <f t="shared" ca="1" si="413"/>
        <v>36.741100000001616</v>
      </c>
      <c r="D962" s="306">
        <f t="shared" ca="1" si="414"/>
        <v>-0.72745632394597559</v>
      </c>
      <c r="E962" s="307">
        <f t="shared" ca="1" si="415"/>
        <v>-2.1916511919085542</v>
      </c>
      <c r="F962" s="304">
        <f t="shared" ca="1" si="416"/>
        <v>2.3092266346643369</v>
      </c>
      <c r="G962" s="306">
        <f t="shared" ca="1" si="417"/>
        <v>12.427754178007529</v>
      </c>
      <c r="H962" s="307">
        <f t="shared" ca="1" si="418"/>
        <v>-130.15170361067948</v>
      </c>
      <c r="I962" s="304">
        <f t="shared" ca="1" si="419"/>
        <v>130.74369975899847</v>
      </c>
      <c r="J962" s="306">
        <f t="shared" ca="1" si="420"/>
        <v>889.84792314375909</v>
      </c>
      <c r="K962" s="307">
        <f t="shared" ca="1" si="421"/>
        <v>-12.266863140099716</v>
      </c>
      <c r="L962" s="304">
        <f t="shared" ca="1" si="406"/>
        <v>889.9324706147986</v>
      </c>
      <c r="M962" s="306">
        <f t="shared" ca="1" si="422"/>
        <v>-1.4755982751537751</v>
      </c>
      <c r="N962" s="304">
        <f t="shared" ca="1" si="423"/>
        <v>-84.545553423095271</v>
      </c>
      <c r="P962" s="310">
        <f t="shared" ca="1" si="424"/>
        <v>23</v>
      </c>
      <c r="Q962" s="304">
        <f t="shared" ca="1" si="425"/>
        <v>0</v>
      </c>
      <c r="R962" s="306">
        <f t="shared" ca="1" si="426"/>
        <v>0</v>
      </c>
      <c r="S962" s="307">
        <f t="shared" ca="1" si="427"/>
        <v>7.150000000000003</v>
      </c>
      <c r="T962" s="304">
        <f t="shared" ca="1" si="407"/>
        <v>70.141500000000036</v>
      </c>
      <c r="U962" s="311">
        <f t="shared" ca="1" si="408"/>
        <v>0</v>
      </c>
      <c r="V962" s="306">
        <f t="shared" ca="1" si="409"/>
        <v>1.2265036129653852</v>
      </c>
      <c r="W962" s="304">
        <f t="shared" ca="1" si="410"/>
        <v>54.719208450826699</v>
      </c>
      <c r="Y962" s="314" t="str">
        <f t="shared" ca="1" si="428"/>
        <v/>
      </c>
      <c r="Z962" s="315" t="str">
        <f t="shared" ca="1" si="429"/>
        <v/>
      </c>
      <c r="AA962" s="316" t="str">
        <f t="shared" ca="1" si="430"/>
        <v/>
      </c>
      <c r="AC962" s="310" t="e">
        <f t="shared" ca="1" si="431"/>
        <v>#N/A</v>
      </c>
      <c r="AD962" s="323" t="e">
        <f t="shared" ca="1" si="432"/>
        <v>#N/A</v>
      </c>
      <c r="AE962" s="324" t="e">
        <f t="shared" ca="1" si="411"/>
        <v>#N/A</v>
      </c>
      <c r="AG962" s="306">
        <f t="shared" ca="1" si="433"/>
        <v>2.1125790499542312</v>
      </c>
      <c r="AH962" s="304">
        <f t="shared" ca="1" si="434"/>
        <v>-7.6530014546579928</v>
      </c>
    </row>
    <row r="963" spans="1:34" x14ac:dyDescent="0.2">
      <c r="A963" s="347">
        <f t="shared" ca="1" si="412"/>
        <v>1E-4</v>
      </c>
      <c r="B963" s="304">
        <f t="shared" ca="1" si="413"/>
        <v>36.741200000001619</v>
      </c>
      <c r="D963" s="306">
        <f t="shared" ca="1" si="414"/>
        <v>-0.72745418804310447</v>
      </c>
      <c r="E963" s="307">
        <f t="shared" ca="1" si="415"/>
        <v>-2.1916161378472738</v>
      </c>
      <c r="F963" s="304">
        <f t="shared" ca="1" si="416"/>
        <v>2.3091926925603357</v>
      </c>
      <c r="G963" s="306">
        <f t="shared" ca="1" si="417"/>
        <v>12.427681432588724</v>
      </c>
      <c r="H963" s="307">
        <f t="shared" ca="1" si="418"/>
        <v>-130.15192277229326</v>
      </c>
      <c r="I963" s="304">
        <f t="shared" ca="1" si="419"/>
        <v>130.74391101353402</v>
      </c>
      <c r="J963" s="306">
        <f t="shared" ca="1" si="420"/>
        <v>889.84792314375909</v>
      </c>
      <c r="K963" s="307">
        <f t="shared" ca="1" si="421"/>
        <v>-12.279878321418865</v>
      </c>
      <c r="L963" s="304">
        <f t="shared" ca="1" si="406"/>
        <v>889.93265011170945</v>
      </c>
      <c r="M963" s="306">
        <f t="shared" ca="1" si="422"/>
        <v>-1.4755989883670517</v>
      </c>
      <c r="N963" s="304">
        <f t="shared" ca="1" si="423"/>
        <v>-84.54559428720593</v>
      </c>
      <c r="P963" s="310">
        <f t="shared" ca="1" si="424"/>
        <v>23</v>
      </c>
      <c r="Q963" s="304">
        <f t="shared" ca="1" si="425"/>
        <v>0</v>
      </c>
      <c r="R963" s="306">
        <f t="shared" ca="1" si="426"/>
        <v>0</v>
      </c>
      <c r="S963" s="307">
        <f t="shared" ca="1" si="427"/>
        <v>7.150000000000003</v>
      </c>
      <c r="T963" s="304">
        <f t="shared" ca="1" si="407"/>
        <v>70.141500000000036</v>
      </c>
      <c r="U963" s="311">
        <f t="shared" ca="1" si="408"/>
        <v>0</v>
      </c>
      <c r="V963" s="306">
        <f t="shared" ca="1" si="409"/>
        <v>1.2265052092837165</v>
      </c>
      <c r="W963" s="304">
        <f t="shared" ca="1" si="410"/>
        <v>54.719456498959232</v>
      </c>
      <c r="Y963" s="314" t="str">
        <f t="shared" ca="1" si="428"/>
        <v/>
      </c>
      <c r="Z963" s="315" t="str">
        <f t="shared" ca="1" si="429"/>
        <v/>
      </c>
      <c r="AA963" s="316" t="str">
        <f t="shared" ca="1" si="430"/>
        <v/>
      </c>
      <c r="AC963" s="310" t="e">
        <f t="shared" ca="1" si="431"/>
        <v>#N/A</v>
      </c>
      <c r="AD963" s="323" t="e">
        <f t="shared" ca="1" si="432"/>
        <v>#N/A</v>
      </c>
      <c r="AE963" s="324" t="e">
        <f t="shared" ca="1" si="411"/>
        <v>#N/A</v>
      </c>
      <c r="AG963" s="306">
        <f t="shared" ca="1" si="433"/>
        <v>2.1125450227111919</v>
      </c>
      <c r="AH963" s="304">
        <f t="shared" ca="1" si="434"/>
        <v>-7.6530361469687662</v>
      </c>
    </row>
    <row r="964" spans="1:34" x14ac:dyDescent="0.2">
      <c r="A964" s="347">
        <f t="shared" ca="1" si="412"/>
        <v>1E-4</v>
      </c>
      <c r="B964" s="304">
        <f t="shared" ca="1" si="413"/>
        <v>36.741300000001623</v>
      </c>
      <c r="D964" s="306">
        <f t="shared" ca="1" si="414"/>
        <v>-0.7274520521148482</v>
      </c>
      <c r="E964" s="307">
        <f t="shared" ca="1" si="415"/>
        <v>-2.1915810840529497</v>
      </c>
      <c r="F964" s="304">
        <f t="shared" ca="1" si="416"/>
        <v>2.3091587507369011</v>
      </c>
      <c r="G964" s="306">
        <f t="shared" ca="1" si="417"/>
        <v>12.427608687383513</v>
      </c>
      <c r="H964" s="307">
        <f t="shared" ca="1" si="418"/>
        <v>-130.15214193040165</v>
      </c>
      <c r="I964" s="304">
        <f t="shared" ca="1" si="419"/>
        <v>130.74412226466683</v>
      </c>
      <c r="J964" s="306">
        <f t="shared" ca="1" si="420"/>
        <v>889.84792314375909</v>
      </c>
      <c r="K964" s="307">
        <f t="shared" ca="1" si="421"/>
        <v>-12.292893524654</v>
      </c>
      <c r="L964" s="304">
        <f t="shared" ref="L964:L1004" ca="1" si="435">SQRT(pos_x^2+pos_z^2)</f>
        <v>889.93282979923254</v>
      </c>
      <c r="M964" s="306">
        <f t="shared" ca="1" si="422"/>
        <v>-1.4755997015738491</v>
      </c>
      <c r="N964" s="304">
        <f t="shared" ca="1" si="423"/>
        <v>-84.54563515094533</v>
      </c>
      <c r="P964" s="310">
        <f t="shared" ca="1" si="424"/>
        <v>23</v>
      </c>
      <c r="Q964" s="304">
        <f t="shared" ca="1" si="425"/>
        <v>0</v>
      </c>
      <c r="R964" s="306">
        <f t="shared" ca="1" si="426"/>
        <v>0</v>
      </c>
      <c r="S964" s="307">
        <f t="shared" ca="1" si="427"/>
        <v>7.150000000000003</v>
      </c>
      <c r="T964" s="304">
        <f t="shared" ref="T964:T1004" ca="1" si="436">m*g</f>
        <v>70.141500000000036</v>
      </c>
      <c r="U964" s="311">
        <f t="shared" ref="U964:U1004" ca="1" si="437">IF(pos_xz&lt;L_rampe,Poids*COS(Beta),0)</f>
        <v>0</v>
      </c>
      <c r="V964" s="306">
        <f t="shared" ref="V964:V1004" ca="1" si="438">Rho_moyen*(20000-Alt_rampe-pos_z)/(20000+Alt_rampe+pos_z)</f>
        <v>1.2265068056068142</v>
      </c>
      <c r="W964" s="304">
        <f t="shared" ref="W964:W1003" ca="1" si="439">1/2*Rho*Sref*Cx*vit_xz^2</f>
        <v>54.719704545202163</v>
      </c>
      <c r="Y964" s="314" t="str">
        <f t="shared" ca="1" si="428"/>
        <v/>
      </c>
      <c r="Z964" s="315" t="str">
        <f t="shared" ca="1" si="429"/>
        <v/>
      </c>
      <c r="AA964" s="316" t="str">
        <f t="shared" ca="1" si="430"/>
        <v/>
      </c>
      <c r="AC964" s="310" t="e">
        <f t="shared" ca="1" si="431"/>
        <v>#N/A</v>
      </c>
      <c r="AD964" s="323" t="e">
        <f t="shared" ca="1" si="432"/>
        <v>#N/A</v>
      </c>
      <c r="AE964" s="324" t="e">
        <f t="shared" ref="AE964:AE1004" ca="1" si="440">IF(t&lt;T_para, pos_z, NA())</f>
        <v>#N/A</v>
      </c>
      <c r="AG964" s="306">
        <f t="shared" ca="1" si="433"/>
        <v>2.1125109957214088</v>
      </c>
      <c r="AH964" s="304">
        <f t="shared" ca="1" si="434"/>
        <v>-7.6530708390152737</v>
      </c>
    </row>
    <row r="965" spans="1:34" x14ac:dyDescent="0.2">
      <c r="A965" s="347">
        <f t="shared" ref="A965:A1004" ca="1" si="441">IF(B964+0.01&lt;=T_ini+ROUNDUP(Temps_fin_propu,0), 0.01, IF(K964&gt;0, 0.1, 0.0001))</f>
        <v>1E-4</v>
      </c>
      <c r="B965" s="304">
        <f t="shared" ref="B965:B1004" ca="1" si="442">B964+pas</f>
        <v>36.741400000001626</v>
      </c>
      <c r="D965" s="306">
        <f t="shared" ref="D965:D1004" ca="1" si="443">IF(AND(L964&lt;L_rampe,Poussee&lt;Poids*SIN(M964)),0,(-W964+Poussee)/m*COS(M964)-U964/m*SIN(M964))</f>
        <v>-0.7274499161612018</v>
      </c>
      <c r="E965" s="307">
        <f t="shared" ref="E965:E1004" ca="1" si="444">IF(AND(L964&lt;L_rampe,Poussee&lt;Poids*SIN(M964)),0,(-W964+Poussee)/m*SIN(M964)+U964/m*COS(M964)-Poids/m)</f>
        <v>-2.1915460305255916</v>
      </c>
      <c r="F965" s="304">
        <f t="shared" ref="F965:F1004" ca="1" si="445">SQRT(acc_x^2+acc_z^2)</f>
        <v>2.3091248091940413</v>
      </c>
      <c r="G965" s="306">
        <f t="shared" ref="G965:G1004" ca="1" si="446">G964+acc_x*pas</f>
        <v>12.427535942391897</v>
      </c>
      <c r="H965" s="307">
        <f t="shared" ref="H965:H1004" ca="1" si="447">H964+acc_z*pas</f>
        <v>-130.15236108500471</v>
      </c>
      <c r="I965" s="304">
        <f t="shared" ref="I965:I1004" ca="1" si="448">SQRT(vit_x^2+vit_z^2)</f>
        <v>130.74433351239699</v>
      </c>
      <c r="J965" s="306">
        <f t="shared" ref="J965:J1004" ca="1" si="449">J964+0.5*(vit_x+G964)*pas*(K964&gt;=0)</f>
        <v>889.84792314375909</v>
      </c>
      <c r="K965" s="307">
        <f t="shared" ref="K965:K1004" ca="1" si="450">K964+0.5*(vit_z+H964)*pas</f>
        <v>-12.30590874980477</v>
      </c>
      <c r="L965" s="304">
        <f t="shared" ca="1" si="435"/>
        <v>889.93300967736889</v>
      </c>
      <c r="M965" s="306">
        <f t="shared" ref="M965:M1004" ca="1" si="451">IF(AND(L964&gt;L_rampe,G965&gt;0),ATAN2(G965,H965),$M$4)</f>
        <v>-1.4756004147741668</v>
      </c>
      <c r="N965" s="304">
        <f t="shared" ref="N965:N1004" ca="1" si="452">DEGREES(Beta)</f>
        <v>-84.545676014313486</v>
      </c>
      <c r="P965" s="310">
        <f t="shared" ref="P965:P1004" ca="1" si="453">MATCH(t-pas/2-T_ini,CdP_t)</f>
        <v>23</v>
      </c>
      <c r="Q965" s="304">
        <f t="shared" ref="Q965:Q1004" ca="1" si="454">(INDEX(CdP,2,i_P+1)-INDEX(CdP,2,i_P+0))/(INDEX(CdP,1,i_P+1)-INDEX(CdP,1,i_P+0))*(t-pas/2-T_ini-INDEX(CdP,1,i_P+0))+INDEX(CdP,2,i_P+0)</f>
        <v>0</v>
      </c>
      <c r="R965" s="306">
        <f t="shared" ref="R965:R1004" ca="1" si="455">Poussee/(g*ISP)</f>
        <v>0</v>
      </c>
      <c r="S965" s="307">
        <f t="shared" ref="S965:S1004" ca="1" si="456">S964-Débit*pas</f>
        <v>7.150000000000003</v>
      </c>
      <c r="T965" s="304">
        <f t="shared" ca="1" si="436"/>
        <v>70.141500000000036</v>
      </c>
      <c r="U965" s="311">
        <f t="shared" ca="1" si="437"/>
        <v>0</v>
      </c>
      <c r="V965" s="306">
        <f t="shared" ca="1" si="438"/>
        <v>1.2265084019346792</v>
      </c>
      <c r="W965" s="304">
        <f t="shared" ca="1" si="439"/>
        <v>54.719952589555582</v>
      </c>
      <c r="Y965" s="314" t="str">
        <f t="shared" ref="Y965:Y1003" ca="1" si="457">IF(AND(pos_z&lt;=0,K964&gt;0),"Impact balistique","") &amp; IF(AND(H966&lt;0,vit_z&gt;=0),"Apogée","") &amp; IF(AND(Poussee=0,Q964&gt;0),"Fin de propulsion","") &amp; IF(AND(L966&gt;L_rampe,pos_xz&lt;=L_rampe),"Sortie de rampe","")</f>
        <v/>
      </c>
      <c r="Z965" s="315" t="str">
        <f t="shared" ref="Z965:Z1004" ca="1" si="458">IF(ABS(t-T_para)&lt;pas/2,"Para","")</f>
        <v/>
      </c>
      <c r="AA965" s="316" t="str">
        <f t="shared" ref="AA965:AA1004" ca="1" si="459">IF(ABS(t-T_satellite)&lt;pas/2,"Satellite","")</f>
        <v/>
      </c>
      <c r="AC965" s="310" t="e">
        <f t="shared" ref="AC965:AC1004" ca="1" si="460">IF(ABS(t-ROUND(t,0))&lt;0.001,t,NA())</f>
        <v>#N/A</v>
      </c>
      <c r="AD965" s="323" t="e">
        <f t="shared" ref="AD965:AD1004" ca="1" si="461">IF(ABS(t-ROUND(t,0))&lt;0.001,pos_x,NA())</f>
        <v>#N/A</v>
      </c>
      <c r="AE965" s="324" t="e">
        <f t="shared" ca="1" si="440"/>
        <v>#N/A</v>
      </c>
      <c r="AG965" s="306">
        <f t="shared" ref="AG965:AG1004" ca="1" si="462">IF(AND(L964&lt;L_rampe,Poussee&lt;Poids*SIN(M964)),0,(-W964+Poussee)/m-Poids*SIN(M964)/m)</f>
        <v>2.112476968984895</v>
      </c>
      <c r="AH965" s="304">
        <f t="shared" ref="AH965:AH1004" ca="1" si="463">IF(AND(L964&lt;L_rampe,Poussee&lt;Poids*SIN(M964)), g*SIN(M964), (-W964+Poussee)/m)</f>
        <v>-7.653105530797502</v>
      </c>
    </row>
    <row r="966" spans="1:34" x14ac:dyDescent="0.2">
      <c r="A966" s="347">
        <f t="shared" ca="1" si="441"/>
        <v>1E-4</v>
      </c>
      <c r="B966" s="304">
        <f t="shared" ca="1" si="442"/>
        <v>36.741500000001629</v>
      </c>
      <c r="D966" s="306">
        <f t="shared" ca="1" si="443"/>
        <v>-0.72744778018217082</v>
      </c>
      <c r="E966" s="307">
        <f t="shared" ca="1" si="444"/>
        <v>-2.1915109772651906</v>
      </c>
      <c r="F966" s="304">
        <f t="shared" ca="1" si="445"/>
        <v>2.309090867931749</v>
      </c>
      <c r="G966" s="306">
        <f t="shared" ca="1" si="446"/>
        <v>12.427463197613879</v>
      </c>
      <c r="H966" s="307">
        <f t="shared" ca="1" si="447"/>
        <v>-130.15258023610244</v>
      </c>
      <c r="I966" s="304">
        <f t="shared" ca="1" si="448"/>
        <v>130.74454475672448</v>
      </c>
      <c r="J966" s="306">
        <f t="shared" ca="1" si="449"/>
        <v>889.84792314375909</v>
      </c>
      <c r="K966" s="307">
        <f t="shared" ca="1" si="450"/>
        <v>-12.318923996870826</v>
      </c>
      <c r="L966" s="304">
        <f t="shared" ca="1" si="435"/>
        <v>889.93318974611907</v>
      </c>
      <c r="M966" s="306">
        <f t="shared" ca="1" si="451"/>
        <v>-1.4756011279680052</v>
      </c>
      <c r="N966" s="304">
        <f t="shared" ca="1" si="452"/>
        <v>-84.545716877310397</v>
      </c>
      <c r="P966" s="310">
        <f t="shared" ca="1" si="453"/>
        <v>23</v>
      </c>
      <c r="Q966" s="304">
        <f t="shared" ca="1" si="454"/>
        <v>0</v>
      </c>
      <c r="R966" s="306">
        <f t="shared" ca="1" si="455"/>
        <v>0</v>
      </c>
      <c r="S966" s="307">
        <f t="shared" ca="1" si="456"/>
        <v>7.150000000000003</v>
      </c>
      <c r="T966" s="304">
        <f t="shared" ca="1" si="436"/>
        <v>70.141500000000036</v>
      </c>
      <c r="U966" s="311">
        <f t="shared" ca="1" si="437"/>
        <v>0</v>
      </c>
      <c r="V966" s="306">
        <f t="shared" ca="1" si="438"/>
        <v>1.2265099982673111</v>
      </c>
      <c r="W966" s="304">
        <f t="shared" ca="1" si="439"/>
        <v>54.720200632019434</v>
      </c>
      <c r="Y966" s="314" t="str">
        <f t="shared" ca="1" si="457"/>
        <v/>
      </c>
      <c r="Z966" s="315" t="str">
        <f t="shared" ca="1" si="458"/>
        <v/>
      </c>
      <c r="AA966" s="316" t="str">
        <f t="shared" ca="1" si="459"/>
        <v/>
      </c>
      <c r="AC966" s="310" t="e">
        <f t="shared" ca="1" si="460"/>
        <v>#N/A</v>
      </c>
      <c r="AD966" s="323" t="e">
        <f t="shared" ca="1" si="461"/>
        <v>#N/A</v>
      </c>
      <c r="AE966" s="324" t="e">
        <f t="shared" ca="1" si="440"/>
        <v>#N/A</v>
      </c>
      <c r="AG966" s="306">
        <f t="shared" ca="1" si="462"/>
        <v>2.1124429425016391</v>
      </c>
      <c r="AH966" s="304">
        <f t="shared" ca="1" si="463"/>
        <v>-7.6531402223154625</v>
      </c>
    </row>
    <row r="967" spans="1:34" x14ac:dyDescent="0.2">
      <c r="A967" s="347">
        <f t="shared" ca="1" si="441"/>
        <v>1E-4</v>
      </c>
      <c r="B967" s="304">
        <f t="shared" ca="1" si="442"/>
        <v>36.741600000001633</v>
      </c>
      <c r="D967" s="306">
        <f t="shared" ca="1" si="443"/>
        <v>-0.72744564417775281</v>
      </c>
      <c r="E967" s="307">
        <f t="shared" ca="1" si="444"/>
        <v>-2.191475924271753</v>
      </c>
      <c r="F967" s="304">
        <f t="shared" ca="1" si="445"/>
        <v>2.309056926950031</v>
      </c>
      <c r="G967" s="306">
        <f t="shared" ca="1" si="446"/>
        <v>12.42739045304946</v>
      </c>
      <c r="H967" s="307">
        <f t="shared" ca="1" si="447"/>
        <v>-130.15279938369486</v>
      </c>
      <c r="I967" s="304">
        <f t="shared" ca="1" si="448"/>
        <v>130.74475599764935</v>
      </c>
      <c r="J967" s="306">
        <f t="shared" ca="1" si="449"/>
        <v>889.84792314375909</v>
      </c>
      <c r="K967" s="307">
        <f t="shared" ca="1" si="450"/>
        <v>-12.331939265851815</v>
      </c>
      <c r="L967" s="304">
        <f t="shared" ca="1" si="435"/>
        <v>889.93337000548422</v>
      </c>
      <c r="M967" s="306">
        <f t="shared" ca="1" si="451"/>
        <v>-1.4756018411553644</v>
      </c>
      <c r="N967" s="304">
        <f t="shared" ca="1" si="452"/>
        <v>-84.545757739936079</v>
      </c>
      <c r="P967" s="310">
        <f t="shared" ca="1" si="453"/>
        <v>23</v>
      </c>
      <c r="Q967" s="304">
        <f t="shared" ca="1" si="454"/>
        <v>0</v>
      </c>
      <c r="R967" s="306">
        <f t="shared" ca="1" si="455"/>
        <v>0</v>
      </c>
      <c r="S967" s="307">
        <f t="shared" ca="1" si="456"/>
        <v>7.150000000000003</v>
      </c>
      <c r="T967" s="304">
        <f t="shared" ca="1" si="436"/>
        <v>70.141500000000036</v>
      </c>
      <c r="U967" s="311">
        <f t="shared" ca="1" si="437"/>
        <v>0</v>
      </c>
      <c r="V967" s="306">
        <f t="shared" ca="1" si="438"/>
        <v>1.22651159460471</v>
      </c>
      <c r="W967" s="304">
        <f t="shared" ca="1" si="439"/>
        <v>54.720448672593768</v>
      </c>
      <c r="Y967" s="314" t="str">
        <f t="shared" ca="1" si="457"/>
        <v/>
      </c>
      <c r="Z967" s="315" t="str">
        <f t="shared" ca="1" si="458"/>
        <v/>
      </c>
      <c r="AA967" s="316" t="str">
        <f t="shared" ca="1" si="459"/>
        <v/>
      </c>
      <c r="AC967" s="310" t="e">
        <f t="shared" ca="1" si="460"/>
        <v>#N/A</v>
      </c>
      <c r="AD967" s="323" t="e">
        <f t="shared" ca="1" si="461"/>
        <v>#N/A</v>
      </c>
      <c r="AE967" s="324" t="e">
        <f t="shared" ca="1" si="440"/>
        <v>#N/A</v>
      </c>
      <c r="AG967" s="306">
        <f t="shared" ca="1" si="462"/>
        <v>2.1124089162716482</v>
      </c>
      <c r="AH967" s="304">
        <f t="shared" ca="1" si="463"/>
        <v>-7.6531749135691483</v>
      </c>
    </row>
    <row r="968" spans="1:34" x14ac:dyDescent="0.2">
      <c r="A968" s="347">
        <f t="shared" ca="1" si="441"/>
        <v>1E-4</v>
      </c>
      <c r="B968" s="304">
        <f t="shared" ca="1" si="442"/>
        <v>36.741700000001636</v>
      </c>
      <c r="D968" s="306">
        <f t="shared" ca="1" si="443"/>
        <v>-0.72744350814794911</v>
      </c>
      <c r="E968" s="307">
        <f t="shared" ca="1" si="444"/>
        <v>-2.1914408715452716</v>
      </c>
      <c r="F968" s="304">
        <f t="shared" ca="1" si="445"/>
        <v>2.30902298624888</v>
      </c>
      <c r="G968" s="306">
        <f t="shared" ca="1" si="446"/>
        <v>12.427317708698645</v>
      </c>
      <c r="H968" s="307">
        <f t="shared" ca="1" si="447"/>
        <v>-130.15301852778202</v>
      </c>
      <c r="I968" s="304">
        <f t="shared" ca="1" si="448"/>
        <v>130.74496723517163</v>
      </c>
      <c r="J968" s="306">
        <f t="shared" ca="1" si="449"/>
        <v>889.84792314375909</v>
      </c>
      <c r="K968" s="307">
        <f t="shared" ca="1" si="450"/>
        <v>-12.344954556747389</v>
      </c>
      <c r="L968" s="304">
        <f t="shared" ca="1" si="435"/>
        <v>889.93355045546491</v>
      </c>
      <c r="M968" s="306">
        <f t="shared" ca="1" si="451"/>
        <v>-1.4756025543362445</v>
      </c>
      <c r="N968" s="304">
        <f t="shared" ca="1" si="452"/>
        <v>-84.545798602190544</v>
      </c>
      <c r="P968" s="310">
        <f t="shared" ca="1" si="453"/>
        <v>23</v>
      </c>
      <c r="Q968" s="304">
        <f t="shared" ca="1" si="454"/>
        <v>0</v>
      </c>
      <c r="R968" s="306">
        <f t="shared" ca="1" si="455"/>
        <v>0</v>
      </c>
      <c r="S968" s="307">
        <f t="shared" ca="1" si="456"/>
        <v>7.150000000000003</v>
      </c>
      <c r="T968" s="304">
        <f t="shared" ca="1" si="436"/>
        <v>70.141500000000036</v>
      </c>
      <c r="U968" s="311">
        <f t="shared" ca="1" si="437"/>
        <v>0</v>
      </c>
      <c r="V968" s="306">
        <f t="shared" ca="1" si="438"/>
        <v>1.2265131909468756</v>
      </c>
      <c r="W968" s="304">
        <f t="shared" ca="1" si="439"/>
        <v>54.720696711278535</v>
      </c>
      <c r="Y968" s="314" t="str">
        <f t="shared" ca="1" si="457"/>
        <v/>
      </c>
      <c r="Z968" s="315" t="str">
        <f t="shared" ca="1" si="458"/>
        <v/>
      </c>
      <c r="AA968" s="316" t="str">
        <f t="shared" ca="1" si="459"/>
        <v/>
      </c>
      <c r="AC968" s="310" t="e">
        <f t="shared" ca="1" si="460"/>
        <v>#N/A</v>
      </c>
      <c r="AD968" s="323" t="e">
        <f t="shared" ca="1" si="461"/>
        <v>#N/A</v>
      </c>
      <c r="AE968" s="324" t="e">
        <f t="shared" ca="1" si="440"/>
        <v>#N/A</v>
      </c>
      <c r="AG968" s="306">
        <f t="shared" ca="1" si="462"/>
        <v>2.1123748902949195</v>
      </c>
      <c r="AH968" s="304">
        <f t="shared" ca="1" si="463"/>
        <v>-7.6532096045585654</v>
      </c>
    </row>
    <row r="969" spans="1:34" x14ac:dyDescent="0.2">
      <c r="A969" s="347">
        <f t="shared" ca="1" si="441"/>
        <v>1E-4</v>
      </c>
      <c r="B969" s="304">
        <f t="shared" ca="1" si="442"/>
        <v>36.741800000001639</v>
      </c>
      <c r="D969" s="306">
        <f t="shared" ca="1" si="443"/>
        <v>-0.72744137209275905</v>
      </c>
      <c r="E969" s="307">
        <f t="shared" ca="1" si="444"/>
        <v>-2.1914058190857535</v>
      </c>
      <c r="F969" s="304">
        <f t="shared" ca="1" si="445"/>
        <v>2.3089890458283033</v>
      </c>
      <c r="G969" s="306">
        <f t="shared" ca="1" si="446"/>
        <v>12.427244964561435</v>
      </c>
      <c r="H969" s="307">
        <f t="shared" ca="1" si="447"/>
        <v>-130.15323766836394</v>
      </c>
      <c r="I969" s="304">
        <f t="shared" ca="1" si="448"/>
        <v>130.74517846929135</v>
      </c>
      <c r="J969" s="306">
        <f t="shared" ca="1" si="449"/>
        <v>889.84792314375909</v>
      </c>
      <c r="K969" s="307">
        <f t="shared" ca="1" si="450"/>
        <v>-12.357969869557197</v>
      </c>
      <c r="L969" s="304">
        <f t="shared" ca="1" si="435"/>
        <v>889.93373109606216</v>
      </c>
      <c r="M969" s="306">
        <f t="shared" ca="1" si="451"/>
        <v>-1.4756032675106454</v>
      </c>
      <c r="N969" s="304">
        <f t="shared" ca="1" si="452"/>
        <v>-84.545839464073765</v>
      </c>
      <c r="P969" s="310">
        <f t="shared" ca="1" si="453"/>
        <v>23</v>
      </c>
      <c r="Q969" s="304">
        <f t="shared" ca="1" si="454"/>
        <v>0</v>
      </c>
      <c r="R969" s="306">
        <f t="shared" ca="1" si="455"/>
        <v>0</v>
      </c>
      <c r="S969" s="307">
        <f t="shared" ca="1" si="456"/>
        <v>7.150000000000003</v>
      </c>
      <c r="T969" s="304">
        <f t="shared" ca="1" si="436"/>
        <v>70.141500000000036</v>
      </c>
      <c r="U969" s="311">
        <f t="shared" ca="1" si="437"/>
        <v>0</v>
      </c>
      <c r="V969" s="306">
        <f t="shared" ca="1" si="438"/>
        <v>1.2265147872938076</v>
      </c>
      <c r="W969" s="304">
        <f t="shared" ca="1" si="439"/>
        <v>54.720944748073755</v>
      </c>
      <c r="Y969" s="314" t="str">
        <f t="shared" ca="1" si="457"/>
        <v/>
      </c>
      <c r="Z969" s="315" t="str">
        <f t="shared" ca="1" si="458"/>
        <v/>
      </c>
      <c r="AA969" s="316" t="str">
        <f t="shared" ca="1" si="459"/>
        <v/>
      </c>
      <c r="AC969" s="310" t="e">
        <f t="shared" ca="1" si="460"/>
        <v>#N/A</v>
      </c>
      <c r="AD969" s="323" t="e">
        <f t="shared" ca="1" si="461"/>
        <v>#N/A</v>
      </c>
      <c r="AE969" s="324" t="e">
        <f t="shared" ca="1" si="440"/>
        <v>#N/A</v>
      </c>
      <c r="AG969" s="306">
        <f t="shared" ca="1" si="462"/>
        <v>2.1123408645714559</v>
      </c>
      <c r="AH969" s="304">
        <f t="shared" ca="1" si="463"/>
        <v>-7.6532442952837076</v>
      </c>
    </row>
    <row r="970" spans="1:34" x14ac:dyDescent="0.2">
      <c r="A970" s="347">
        <f t="shared" ca="1" si="441"/>
        <v>1E-4</v>
      </c>
      <c r="B970" s="304">
        <f t="shared" ca="1" si="442"/>
        <v>36.741900000001642</v>
      </c>
      <c r="D970" s="306">
        <f t="shared" ca="1" si="443"/>
        <v>-0.72743923601218563</v>
      </c>
      <c r="E970" s="307">
        <f t="shared" ca="1" si="444"/>
        <v>-2.191370766893197</v>
      </c>
      <c r="F970" s="304">
        <f t="shared" ca="1" si="445"/>
        <v>2.3089551056883004</v>
      </c>
      <c r="G970" s="306">
        <f t="shared" ca="1" si="446"/>
        <v>12.427172220637834</v>
      </c>
      <c r="H970" s="307">
        <f t="shared" ca="1" si="447"/>
        <v>-130.15345680544064</v>
      </c>
      <c r="I970" s="304">
        <f t="shared" ca="1" si="448"/>
        <v>130.74538970000853</v>
      </c>
      <c r="J970" s="306">
        <f t="shared" ca="1" si="449"/>
        <v>889.84792314375909</v>
      </c>
      <c r="K970" s="307">
        <f t="shared" ca="1" si="450"/>
        <v>-12.370985204280887</v>
      </c>
      <c r="L970" s="304">
        <f t="shared" ca="1" si="435"/>
        <v>889.93391192727665</v>
      </c>
      <c r="M970" s="306">
        <f t="shared" ca="1" si="451"/>
        <v>-1.4756039806785672</v>
      </c>
      <c r="N970" s="304">
        <f t="shared" ca="1" si="452"/>
        <v>-84.54588032558577</v>
      </c>
      <c r="P970" s="310">
        <f t="shared" ca="1" si="453"/>
        <v>23</v>
      </c>
      <c r="Q970" s="304">
        <f t="shared" ca="1" si="454"/>
        <v>0</v>
      </c>
      <c r="R970" s="306">
        <f t="shared" ca="1" si="455"/>
        <v>0</v>
      </c>
      <c r="S970" s="307">
        <f t="shared" ca="1" si="456"/>
        <v>7.150000000000003</v>
      </c>
      <c r="T970" s="304">
        <f t="shared" ca="1" si="436"/>
        <v>70.141500000000036</v>
      </c>
      <c r="U970" s="311">
        <f t="shared" ca="1" si="437"/>
        <v>0</v>
      </c>
      <c r="V970" s="306">
        <f t="shared" ca="1" si="438"/>
        <v>1.2265163836455066</v>
      </c>
      <c r="W970" s="304">
        <f t="shared" ca="1" si="439"/>
        <v>54.721192782979443</v>
      </c>
      <c r="Y970" s="314" t="str">
        <f t="shared" ca="1" si="457"/>
        <v/>
      </c>
      <c r="Z970" s="315" t="str">
        <f t="shared" ca="1" si="458"/>
        <v/>
      </c>
      <c r="AA970" s="316" t="str">
        <f t="shared" ca="1" si="459"/>
        <v/>
      </c>
      <c r="AC970" s="310" t="e">
        <f t="shared" ca="1" si="460"/>
        <v>#N/A</v>
      </c>
      <c r="AD970" s="323" t="e">
        <f t="shared" ca="1" si="461"/>
        <v>#N/A</v>
      </c>
      <c r="AE970" s="324" t="e">
        <f t="shared" ca="1" si="440"/>
        <v>#N/A</v>
      </c>
      <c r="AG970" s="306">
        <f t="shared" ca="1" si="462"/>
        <v>2.1123068391012545</v>
      </c>
      <c r="AH970" s="304">
        <f t="shared" ca="1" si="463"/>
        <v>-7.6532789857445778</v>
      </c>
    </row>
    <row r="971" spans="1:34" x14ac:dyDescent="0.2">
      <c r="A971" s="347">
        <f t="shared" ca="1" si="441"/>
        <v>1E-4</v>
      </c>
      <c r="B971" s="304">
        <f t="shared" ca="1" si="442"/>
        <v>36.742000000001646</v>
      </c>
      <c r="D971" s="306">
        <f t="shared" ca="1" si="443"/>
        <v>-0.72743709990622862</v>
      </c>
      <c r="E971" s="307">
        <f t="shared" ca="1" si="444"/>
        <v>-2.1913357149675985</v>
      </c>
      <c r="F971" s="304">
        <f t="shared" ca="1" si="445"/>
        <v>2.3089211658288682</v>
      </c>
      <c r="G971" s="306">
        <f t="shared" ca="1" si="446"/>
        <v>12.427099476927843</v>
      </c>
      <c r="H971" s="307">
        <f t="shared" ca="1" si="447"/>
        <v>-130.15367593901215</v>
      </c>
      <c r="I971" s="304">
        <f t="shared" ca="1" si="448"/>
        <v>130.74560092732318</v>
      </c>
      <c r="J971" s="306">
        <f t="shared" ca="1" si="449"/>
        <v>889.84792314375909</v>
      </c>
      <c r="K971" s="307">
        <f t="shared" ca="1" si="450"/>
        <v>-12.384000560918109</v>
      </c>
      <c r="L971" s="304">
        <f t="shared" ca="1" si="435"/>
        <v>889.93409294910941</v>
      </c>
      <c r="M971" s="306">
        <f t="shared" ca="1" si="451"/>
        <v>-1.4756046938400103</v>
      </c>
      <c r="N971" s="304">
        <f t="shared" ca="1" si="452"/>
        <v>-84.545921186726574</v>
      </c>
      <c r="P971" s="310">
        <f t="shared" ca="1" si="453"/>
        <v>23</v>
      </c>
      <c r="Q971" s="304">
        <f t="shared" ca="1" si="454"/>
        <v>0</v>
      </c>
      <c r="R971" s="306">
        <f t="shared" ca="1" si="455"/>
        <v>0</v>
      </c>
      <c r="S971" s="307">
        <f t="shared" ca="1" si="456"/>
        <v>7.150000000000003</v>
      </c>
      <c r="T971" s="304">
        <f t="shared" ca="1" si="436"/>
        <v>70.141500000000036</v>
      </c>
      <c r="U971" s="311">
        <f t="shared" ca="1" si="437"/>
        <v>0</v>
      </c>
      <c r="V971" s="306">
        <f t="shared" ca="1" si="438"/>
        <v>1.2265179800019723</v>
      </c>
      <c r="W971" s="304">
        <f t="shared" ca="1" si="439"/>
        <v>54.721440815995557</v>
      </c>
      <c r="Y971" s="314" t="str">
        <f t="shared" ca="1" si="457"/>
        <v/>
      </c>
      <c r="Z971" s="315" t="str">
        <f t="shared" ca="1" si="458"/>
        <v/>
      </c>
      <c r="AA971" s="316" t="str">
        <f t="shared" ca="1" si="459"/>
        <v/>
      </c>
      <c r="AC971" s="310" t="e">
        <f t="shared" ca="1" si="460"/>
        <v>#N/A</v>
      </c>
      <c r="AD971" s="323" t="e">
        <f t="shared" ca="1" si="461"/>
        <v>#N/A</v>
      </c>
      <c r="AE971" s="324" t="e">
        <f t="shared" ca="1" si="440"/>
        <v>#N/A</v>
      </c>
      <c r="AG971" s="306">
        <f t="shared" ca="1" si="462"/>
        <v>2.112272813884319</v>
      </c>
      <c r="AH971" s="304">
        <f t="shared" ca="1" si="463"/>
        <v>-7.6533136759411775</v>
      </c>
    </row>
    <row r="972" spans="1:34" x14ac:dyDescent="0.2">
      <c r="A972" s="347">
        <f t="shared" ca="1" si="441"/>
        <v>1E-4</v>
      </c>
      <c r="B972" s="304">
        <f t="shared" ca="1" si="442"/>
        <v>36.742100000001649</v>
      </c>
      <c r="D972" s="306">
        <f t="shared" ca="1" si="443"/>
        <v>-0.72743496377488714</v>
      </c>
      <c r="E972" s="307">
        <f t="shared" ca="1" si="444"/>
        <v>-2.1913006633089651</v>
      </c>
      <c r="F972" s="304">
        <f t="shared" ca="1" si="445"/>
        <v>2.3088872262500137</v>
      </c>
      <c r="G972" s="306">
        <f t="shared" ca="1" si="446"/>
        <v>12.427026733431466</v>
      </c>
      <c r="H972" s="307">
        <f t="shared" ca="1" si="447"/>
        <v>-130.15389506907849</v>
      </c>
      <c r="I972" s="304">
        <f t="shared" ca="1" si="448"/>
        <v>130.74581215123533</v>
      </c>
      <c r="J972" s="306">
        <f t="shared" ca="1" si="449"/>
        <v>889.84792314375909</v>
      </c>
      <c r="K972" s="307">
        <f t="shared" ca="1" si="450"/>
        <v>-12.397015939468513</v>
      </c>
      <c r="L972" s="304">
        <f t="shared" ca="1" si="435"/>
        <v>889.93427416156123</v>
      </c>
      <c r="M972" s="306">
        <f t="shared" ca="1" si="451"/>
        <v>-1.4756054069949744</v>
      </c>
      <c r="N972" s="304">
        <f t="shared" ca="1" si="452"/>
        <v>-84.545962047496161</v>
      </c>
      <c r="P972" s="310">
        <f t="shared" ca="1" si="453"/>
        <v>23</v>
      </c>
      <c r="Q972" s="304">
        <f t="shared" ca="1" si="454"/>
        <v>0</v>
      </c>
      <c r="R972" s="306">
        <f t="shared" ca="1" si="455"/>
        <v>0</v>
      </c>
      <c r="S972" s="307">
        <f t="shared" ca="1" si="456"/>
        <v>7.150000000000003</v>
      </c>
      <c r="T972" s="304">
        <f t="shared" ca="1" si="436"/>
        <v>70.141500000000036</v>
      </c>
      <c r="U972" s="311">
        <f t="shared" ca="1" si="437"/>
        <v>0</v>
      </c>
      <c r="V972" s="306">
        <f t="shared" ca="1" si="438"/>
        <v>1.2265195763632051</v>
      </c>
      <c r="W972" s="304">
        <f t="shared" ca="1" si="439"/>
        <v>54.721688847122124</v>
      </c>
      <c r="Y972" s="314" t="str">
        <f t="shared" ca="1" si="457"/>
        <v/>
      </c>
      <c r="Z972" s="315" t="str">
        <f t="shared" ca="1" si="458"/>
        <v/>
      </c>
      <c r="AA972" s="316" t="str">
        <f t="shared" ca="1" si="459"/>
        <v/>
      </c>
      <c r="AC972" s="310" t="e">
        <f t="shared" ca="1" si="460"/>
        <v>#N/A</v>
      </c>
      <c r="AD972" s="323" t="e">
        <f t="shared" ca="1" si="461"/>
        <v>#N/A</v>
      </c>
      <c r="AE972" s="324" t="e">
        <f t="shared" ca="1" si="440"/>
        <v>#N/A</v>
      </c>
      <c r="AG972" s="306">
        <f t="shared" ca="1" si="462"/>
        <v>2.1122387889206475</v>
      </c>
      <c r="AH972" s="304">
        <f t="shared" ca="1" si="463"/>
        <v>-7.6533483658735015</v>
      </c>
    </row>
    <row r="973" spans="1:34" x14ac:dyDescent="0.2">
      <c r="A973" s="347">
        <f t="shared" ca="1" si="441"/>
        <v>1E-4</v>
      </c>
      <c r="B973" s="304">
        <f t="shared" ca="1" si="442"/>
        <v>36.742200000001652</v>
      </c>
      <c r="D973" s="306">
        <f t="shared" ca="1" si="443"/>
        <v>-0.72743282761816264</v>
      </c>
      <c r="E973" s="307">
        <f t="shared" ca="1" si="444"/>
        <v>-2.1912656119172924</v>
      </c>
      <c r="F973" s="304">
        <f t="shared" ca="1" si="445"/>
        <v>2.3088532869517331</v>
      </c>
      <c r="G973" s="306">
        <f t="shared" ca="1" si="446"/>
        <v>12.426953990148705</v>
      </c>
      <c r="H973" s="307">
        <f t="shared" ca="1" si="447"/>
        <v>-130.15411419563969</v>
      </c>
      <c r="I973" s="304">
        <f t="shared" ca="1" si="448"/>
        <v>130.746023371745</v>
      </c>
      <c r="J973" s="306">
        <f t="shared" ca="1" si="449"/>
        <v>889.84792314375909</v>
      </c>
      <c r="K973" s="307">
        <f t="shared" ca="1" si="450"/>
        <v>-12.410031339931749</v>
      </c>
      <c r="L973" s="304">
        <f t="shared" ca="1" si="435"/>
        <v>889.9344555646328</v>
      </c>
      <c r="M973" s="306">
        <f t="shared" ca="1" si="451"/>
        <v>-1.4756061201434598</v>
      </c>
      <c r="N973" s="304">
        <f t="shared" ca="1" si="452"/>
        <v>-84.546002907894533</v>
      </c>
      <c r="P973" s="310">
        <f t="shared" ca="1" si="453"/>
        <v>23</v>
      </c>
      <c r="Q973" s="304">
        <f t="shared" ca="1" si="454"/>
        <v>0</v>
      </c>
      <c r="R973" s="306">
        <f t="shared" ca="1" si="455"/>
        <v>0</v>
      </c>
      <c r="S973" s="307">
        <f t="shared" ca="1" si="456"/>
        <v>7.150000000000003</v>
      </c>
      <c r="T973" s="304">
        <f t="shared" ca="1" si="436"/>
        <v>70.141500000000036</v>
      </c>
      <c r="U973" s="311">
        <f t="shared" ca="1" si="437"/>
        <v>0</v>
      </c>
      <c r="V973" s="306">
        <f t="shared" ca="1" si="438"/>
        <v>1.2265211727292038</v>
      </c>
      <c r="W973" s="304">
        <f t="shared" ca="1" si="439"/>
        <v>54.721936876359109</v>
      </c>
      <c r="Y973" s="314" t="str">
        <f t="shared" ca="1" si="457"/>
        <v/>
      </c>
      <c r="Z973" s="315" t="str">
        <f t="shared" ca="1" si="458"/>
        <v/>
      </c>
      <c r="AA973" s="316" t="str">
        <f t="shared" ca="1" si="459"/>
        <v/>
      </c>
      <c r="AC973" s="310" t="e">
        <f t="shared" ca="1" si="460"/>
        <v>#N/A</v>
      </c>
      <c r="AD973" s="323" t="e">
        <f t="shared" ca="1" si="461"/>
        <v>#N/A</v>
      </c>
      <c r="AE973" s="324" t="e">
        <f t="shared" ca="1" si="440"/>
        <v>#N/A</v>
      </c>
      <c r="AG973" s="306">
        <f t="shared" ca="1" si="462"/>
        <v>2.1122047642102446</v>
      </c>
      <c r="AH973" s="304">
        <f t="shared" ca="1" si="463"/>
        <v>-7.6533830555415525</v>
      </c>
    </row>
    <row r="974" spans="1:34" x14ac:dyDescent="0.2">
      <c r="A974" s="347">
        <f t="shared" ca="1" si="441"/>
        <v>1E-4</v>
      </c>
      <c r="B974" s="304">
        <f t="shared" ca="1" si="442"/>
        <v>36.742300000001656</v>
      </c>
      <c r="D974" s="306">
        <f t="shared" ca="1" si="443"/>
        <v>-0.72743069143605599</v>
      </c>
      <c r="E974" s="307">
        <f t="shared" ca="1" si="444"/>
        <v>-2.1912305607925857</v>
      </c>
      <c r="F974" s="304">
        <f t="shared" ca="1" si="445"/>
        <v>2.308819347934032</v>
      </c>
      <c r="G974" s="306">
        <f t="shared" ca="1" si="446"/>
        <v>12.426881247079562</v>
      </c>
      <c r="H974" s="307">
        <f t="shared" ca="1" si="447"/>
        <v>-130.15433331869576</v>
      </c>
      <c r="I974" s="304">
        <f t="shared" ca="1" si="448"/>
        <v>130.74623458885222</v>
      </c>
      <c r="J974" s="306">
        <f t="shared" ca="1" si="449"/>
        <v>889.84792314375909</v>
      </c>
      <c r="K974" s="307">
        <f t="shared" ca="1" si="450"/>
        <v>-12.423046762307465</v>
      </c>
      <c r="L974" s="304">
        <f t="shared" ca="1" si="435"/>
        <v>889.93463715832513</v>
      </c>
      <c r="M974" s="306">
        <f t="shared" ca="1" si="451"/>
        <v>-1.4756068332854664</v>
      </c>
      <c r="N974" s="304">
        <f t="shared" ca="1" si="452"/>
        <v>-84.546043767921702</v>
      </c>
      <c r="P974" s="310">
        <f t="shared" ca="1" si="453"/>
        <v>23</v>
      </c>
      <c r="Q974" s="304">
        <f t="shared" ca="1" si="454"/>
        <v>0</v>
      </c>
      <c r="R974" s="306">
        <f t="shared" ca="1" si="455"/>
        <v>0</v>
      </c>
      <c r="S974" s="307">
        <f t="shared" ca="1" si="456"/>
        <v>7.150000000000003</v>
      </c>
      <c r="T974" s="304">
        <f t="shared" ca="1" si="436"/>
        <v>70.141500000000036</v>
      </c>
      <c r="U974" s="311">
        <f t="shared" ca="1" si="437"/>
        <v>0</v>
      </c>
      <c r="V974" s="306">
        <f t="shared" ca="1" si="438"/>
        <v>1.2265227690999698</v>
      </c>
      <c r="W974" s="304">
        <f t="shared" ca="1" si="439"/>
        <v>54.722184903706548</v>
      </c>
      <c r="Y974" s="314" t="str">
        <f t="shared" ca="1" si="457"/>
        <v/>
      </c>
      <c r="Z974" s="315" t="str">
        <f t="shared" ca="1" si="458"/>
        <v/>
      </c>
      <c r="AA974" s="316" t="str">
        <f t="shared" ca="1" si="459"/>
        <v/>
      </c>
      <c r="AC974" s="310" t="e">
        <f t="shared" ca="1" si="460"/>
        <v>#N/A</v>
      </c>
      <c r="AD974" s="323" t="e">
        <f t="shared" ca="1" si="461"/>
        <v>#N/A</v>
      </c>
      <c r="AE974" s="324" t="e">
        <f t="shared" ca="1" si="440"/>
        <v>#N/A</v>
      </c>
      <c r="AG974" s="306">
        <f t="shared" ca="1" si="462"/>
        <v>2.1121707397531084</v>
      </c>
      <c r="AH974" s="304">
        <f t="shared" ca="1" si="463"/>
        <v>-7.6534177449453269</v>
      </c>
    </row>
    <row r="975" spans="1:34" x14ac:dyDescent="0.2">
      <c r="A975" s="347">
        <f t="shared" ca="1" si="441"/>
        <v>1E-4</v>
      </c>
      <c r="B975" s="304">
        <f t="shared" ca="1" si="442"/>
        <v>36.742400000001659</v>
      </c>
      <c r="D975" s="306">
        <f t="shared" ca="1" si="443"/>
        <v>-0.72742855522856875</v>
      </c>
      <c r="E975" s="307">
        <f t="shared" ca="1" si="444"/>
        <v>-2.1911955099348388</v>
      </c>
      <c r="F975" s="304">
        <f t="shared" ca="1" si="445"/>
        <v>2.3087854091969056</v>
      </c>
      <c r="G975" s="306">
        <f t="shared" ca="1" si="446"/>
        <v>12.42680850422404</v>
      </c>
      <c r="H975" s="307">
        <f t="shared" ca="1" si="447"/>
        <v>-130.15455243824675</v>
      </c>
      <c r="I975" s="304">
        <f t="shared" ca="1" si="448"/>
        <v>130.74644580255702</v>
      </c>
      <c r="J975" s="306">
        <f t="shared" ca="1" si="449"/>
        <v>889.84792314375909</v>
      </c>
      <c r="K975" s="307">
        <f t="shared" ca="1" si="450"/>
        <v>-12.436062206595311</v>
      </c>
      <c r="L975" s="304">
        <f t="shared" ca="1" si="435"/>
        <v>889.93481894263903</v>
      </c>
      <c r="M975" s="306">
        <f t="shared" ca="1" si="451"/>
        <v>-1.4756075464209946</v>
      </c>
      <c r="N975" s="304">
        <f t="shared" ca="1" si="452"/>
        <v>-84.546084627577699</v>
      </c>
      <c r="P975" s="310">
        <f t="shared" ca="1" si="453"/>
        <v>23</v>
      </c>
      <c r="Q975" s="304">
        <f t="shared" ca="1" si="454"/>
        <v>0</v>
      </c>
      <c r="R975" s="306">
        <f t="shared" ca="1" si="455"/>
        <v>0</v>
      </c>
      <c r="S975" s="307">
        <f t="shared" ca="1" si="456"/>
        <v>7.150000000000003</v>
      </c>
      <c r="T975" s="304">
        <f t="shared" ca="1" si="436"/>
        <v>70.141500000000036</v>
      </c>
      <c r="U975" s="311">
        <f t="shared" ca="1" si="437"/>
        <v>0</v>
      </c>
      <c r="V975" s="306">
        <f t="shared" ca="1" si="438"/>
        <v>1.2265243654755018</v>
      </c>
      <c r="W975" s="304">
        <f t="shared" ca="1" si="439"/>
        <v>54.722432929164405</v>
      </c>
      <c r="Y975" s="314" t="str">
        <f t="shared" ca="1" si="457"/>
        <v/>
      </c>
      <c r="Z975" s="315" t="str">
        <f t="shared" ca="1" si="458"/>
        <v/>
      </c>
      <c r="AA975" s="316" t="str">
        <f t="shared" ca="1" si="459"/>
        <v/>
      </c>
      <c r="AC975" s="310" t="e">
        <f t="shared" ca="1" si="460"/>
        <v>#N/A</v>
      </c>
      <c r="AD975" s="323" t="e">
        <f t="shared" ca="1" si="461"/>
        <v>#N/A</v>
      </c>
      <c r="AE975" s="324" t="e">
        <f t="shared" ca="1" si="440"/>
        <v>#N/A</v>
      </c>
      <c r="AG975" s="306">
        <f t="shared" ca="1" si="462"/>
        <v>2.1121367155492363</v>
      </c>
      <c r="AH975" s="304">
        <f t="shared" ca="1" si="463"/>
        <v>-7.6534524340848291</v>
      </c>
    </row>
    <row r="976" spans="1:34" x14ac:dyDescent="0.2">
      <c r="A976" s="347">
        <f t="shared" ca="1" si="441"/>
        <v>1E-4</v>
      </c>
      <c r="B976" s="304">
        <f t="shared" ca="1" si="442"/>
        <v>36.742500000001662</v>
      </c>
      <c r="D976" s="306">
        <f t="shared" ca="1" si="443"/>
        <v>-0.72742641899569849</v>
      </c>
      <c r="E976" s="307">
        <f t="shared" ca="1" si="444"/>
        <v>-2.1911604593440579</v>
      </c>
      <c r="F976" s="304">
        <f t="shared" ca="1" si="445"/>
        <v>2.3087514707403582</v>
      </c>
      <c r="G976" s="306">
        <f t="shared" ca="1" si="446"/>
        <v>12.42673576158214</v>
      </c>
      <c r="H976" s="307">
        <f t="shared" ca="1" si="447"/>
        <v>-130.15477155429269</v>
      </c>
      <c r="I976" s="304">
        <f t="shared" ca="1" si="448"/>
        <v>130.74665701285943</v>
      </c>
      <c r="J976" s="306">
        <f t="shared" ca="1" si="449"/>
        <v>889.84792314375909</v>
      </c>
      <c r="K976" s="307">
        <f t="shared" ca="1" si="450"/>
        <v>-12.449077672794939</v>
      </c>
      <c r="L976" s="304">
        <f t="shared" ca="1" si="435"/>
        <v>889.93500091757528</v>
      </c>
      <c r="M976" s="306">
        <f t="shared" ca="1" si="451"/>
        <v>-1.4756082595500444</v>
      </c>
      <c r="N976" s="304">
        <f t="shared" ca="1" si="452"/>
        <v>-84.546125486862493</v>
      </c>
      <c r="P976" s="310">
        <f t="shared" ca="1" si="453"/>
        <v>23</v>
      </c>
      <c r="Q976" s="304">
        <f t="shared" ca="1" si="454"/>
        <v>0</v>
      </c>
      <c r="R976" s="306">
        <f t="shared" ca="1" si="455"/>
        <v>0</v>
      </c>
      <c r="S976" s="307">
        <f t="shared" ca="1" si="456"/>
        <v>7.150000000000003</v>
      </c>
      <c r="T976" s="304">
        <f t="shared" ca="1" si="436"/>
        <v>70.141500000000036</v>
      </c>
      <c r="U976" s="311">
        <f t="shared" ca="1" si="437"/>
        <v>0</v>
      </c>
      <c r="V976" s="306">
        <f t="shared" ca="1" si="438"/>
        <v>1.2265259618558009</v>
      </c>
      <c r="W976" s="304">
        <f t="shared" ca="1" si="439"/>
        <v>54.722680952732716</v>
      </c>
      <c r="Y976" s="314" t="str">
        <f t="shared" ca="1" si="457"/>
        <v/>
      </c>
      <c r="Z976" s="315" t="str">
        <f t="shared" ca="1" si="458"/>
        <v/>
      </c>
      <c r="AA976" s="316" t="str">
        <f t="shared" ca="1" si="459"/>
        <v/>
      </c>
      <c r="AC976" s="310" t="e">
        <f t="shared" ca="1" si="460"/>
        <v>#N/A</v>
      </c>
      <c r="AD976" s="323" t="e">
        <f t="shared" ca="1" si="461"/>
        <v>#N/A</v>
      </c>
      <c r="AE976" s="324" t="e">
        <f t="shared" ca="1" si="440"/>
        <v>#N/A</v>
      </c>
      <c r="AG976" s="306">
        <f t="shared" ca="1" si="462"/>
        <v>2.1121026915986372</v>
      </c>
      <c r="AH976" s="304">
        <f t="shared" ca="1" si="463"/>
        <v>-7.6534871229600538</v>
      </c>
    </row>
    <row r="977" spans="1:34" x14ac:dyDescent="0.2">
      <c r="A977" s="347">
        <f t="shared" ca="1" si="441"/>
        <v>1E-4</v>
      </c>
      <c r="B977" s="304">
        <f t="shared" ca="1" si="442"/>
        <v>36.742600000001666</v>
      </c>
      <c r="D977" s="306">
        <f t="shared" ca="1" si="443"/>
        <v>-0.72742428273744686</v>
      </c>
      <c r="E977" s="307">
        <f t="shared" ca="1" si="444"/>
        <v>-2.1911254090202377</v>
      </c>
      <c r="F977" s="304">
        <f t="shared" ca="1" si="445"/>
        <v>2.3087175325643874</v>
      </c>
      <c r="G977" s="306">
        <f t="shared" ca="1" si="446"/>
        <v>12.426663019153867</v>
      </c>
      <c r="H977" s="307">
        <f t="shared" ca="1" si="447"/>
        <v>-130.15499066683358</v>
      </c>
      <c r="I977" s="304">
        <f t="shared" ca="1" si="448"/>
        <v>130.74686821975945</v>
      </c>
      <c r="J977" s="306">
        <f t="shared" ca="1" si="449"/>
        <v>889.84792314375909</v>
      </c>
      <c r="K977" s="307">
        <f t="shared" ca="1" si="450"/>
        <v>-12.462093160905996</v>
      </c>
      <c r="L977" s="304">
        <f t="shared" ca="1" si="435"/>
        <v>889.93518308313469</v>
      </c>
      <c r="M977" s="306">
        <f t="shared" ca="1" si="451"/>
        <v>-1.4756089726726156</v>
      </c>
      <c r="N977" s="304">
        <f t="shared" ca="1" si="452"/>
        <v>-84.546166345776101</v>
      </c>
      <c r="P977" s="310">
        <f t="shared" ca="1" si="453"/>
        <v>23</v>
      </c>
      <c r="Q977" s="304">
        <f t="shared" ca="1" si="454"/>
        <v>0</v>
      </c>
      <c r="R977" s="306">
        <f t="shared" ca="1" si="455"/>
        <v>0</v>
      </c>
      <c r="S977" s="307">
        <f t="shared" ca="1" si="456"/>
        <v>7.150000000000003</v>
      </c>
      <c r="T977" s="304">
        <f t="shared" ca="1" si="436"/>
        <v>70.141500000000036</v>
      </c>
      <c r="U977" s="311">
        <f t="shared" ca="1" si="437"/>
        <v>0</v>
      </c>
      <c r="V977" s="306">
        <f t="shared" ca="1" si="438"/>
        <v>1.2265275582408663</v>
      </c>
      <c r="W977" s="304">
        <f t="shared" ca="1" si="439"/>
        <v>54.722928974411445</v>
      </c>
      <c r="Y977" s="314" t="str">
        <f t="shared" ca="1" si="457"/>
        <v/>
      </c>
      <c r="Z977" s="315" t="str">
        <f t="shared" ca="1" si="458"/>
        <v/>
      </c>
      <c r="AA977" s="316" t="str">
        <f t="shared" ca="1" si="459"/>
        <v/>
      </c>
      <c r="AC977" s="310" t="e">
        <f t="shared" ca="1" si="460"/>
        <v>#N/A</v>
      </c>
      <c r="AD977" s="323" t="e">
        <f t="shared" ca="1" si="461"/>
        <v>#N/A</v>
      </c>
      <c r="AE977" s="324" t="e">
        <f t="shared" ca="1" si="440"/>
        <v>#N/A</v>
      </c>
      <c r="AG977" s="306">
        <f t="shared" ca="1" si="462"/>
        <v>2.1120686679013021</v>
      </c>
      <c r="AH977" s="304">
        <f t="shared" ca="1" si="463"/>
        <v>-7.6535218115710064</v>
      </c>
    </row>
    <row r="978" spans="1:34" x14ac:dyDescent="0.2">
      <c r="A978" s="347">
        <f t="shared" ca="1" si="441"/>
        <v>1E-4</v>
      </c>
      <c r="B978" s="304">
        <f t="shared" ca="1" si="442"/>
        <v>36.742700000001669</v>
      </c>
      <c r="D978" s="306">
        <f t="shared" ca="1" si="443"/>
        <v>-0.7274221464538162</v>
      </c>
      <c r="E978" s="307">
        <f t="shared" ca="1" si="444"/>
        <v>-2.1910903589633834</v>
      </c>
      <c r="F978" s="304">
        <f t="shared" ca="1" si="445"/>
        <v>2.3086835946689979</v>
      </c>
      <c r="G978" s="306">
        <f t="shared" ca="1" si="446"/>
        <v>12.426590276939223</v>
      </c>
      <c r="H978" s="307">
        <f t="shared" ca="1" si="447"/>
        <v>-130.15520977586948</v>
      </c>
      <c r="I978" s="304">
        <f t="shared" ca="1" si="448"/>
        <v>130.74707942325713</v>
      </c>
      <c r="J978" s="306">
        <f t="shared" ca="1" si="449"/>
        <v>889.84792314375909</v>
      </c>
      <c r="K978" s="307">
        <f t="shared" ca="1" si="450"/>
        <v>-12.475108670928131</v>
      </c>
      <c r="L978" s="304">
        <f t="shared" ca="1" si="435"/>
        <v>889.93536543931816</v>
      </c>
      <c r="M978" s="306">
        <f t="shared" ca="1" si="451"/>
        <v>-1.4756096857887084</v>
      </c>
      <c r="N978" s="304">
        <f t="shared" ca="1" si="452"/>
        <v>-84.54620720431852</v>
      </c>
      <c r="P978" s="310">
        <f t="shared" ca="1" si="453"/>
        <v>23</v>
      </c>
      <c r="Q978" s="304">
        <f t="shared" ca="1" si="454"/>
        <v>0</v>
      </c>
      <c r="R978" s="306">
        <f t="shared" ca="1" si="455"/>
        <v>0</v>
      </c>
      <c r="S978" s="307">
        <f t="shared" ca="1" si="456"/>
        <v>7.150000000000003</v>
      </c>
      <c r="T978" s="304">
        <f t="shared" ca="1" si="436"/>
        <v>70.141500000000036</v>
      </c>
      <c r="U978" s="311">
        <f t="shared" ca="1" si="437"/>
        <v>0</v>
      </c>
      <c r="V978" s="306">
        <f t="shared" ca="1" si="438"/>
        <v>1.2265291546306984</v>
      </c>
      <c r="W978" s="304">
        <f t="shared" ca="1" si="439"/>
        <v>54.723176994200614</v>
      </c>
      <c r="Y978" s="314" t="str">
        <f t="shared" ca="1" si="457"/>
        <v/>
      </c>
      <c r="Z978" s="315" t="str">
        <f t="shared" ca="1" si="458"/>
        <v/>
      </c>
      <c r="AA978" s="316" t="str">
        <f t="shared" ca="1" si="459"/>
        <v/>
      </c>
      <c r="AC978" s="310" t="e">
        <f t="shared" ca="1" si="460"/>
        <v>#N/A</v>
      </c>
      <c r="AD978" s="323" t="e">
        <f t="shared" ca="1" si="461"/>
        <v>#N/A</v>
      </c>
      <c r="AE978" s="324" t="e">
        <f t="shared" ca="1" si="440"/>
        <v>#N/A</v>
      </c>
      <c r="AG978" s="306">
        <f t="shared" ca="1" si="462"/>
        <v>2.11203464445724</v>
      </c>
      <c r="AH978" s="304">
        <f t="shared" ca="1" si="463"/>
        <v>-7.6535564999176815</v>
      </c>
    </row>
    <row r="979" spans="1:34" x14ac:dyDescent="0.2">
      <c r="A979" s="347">
        <f t="shared" ca="1" si="441"/>
        <v>1E-4</v>
      </c>
      <c r="B979" s="304">
        <f t="shared" ca="1" si="442"/>
        <v>36.742800000001672</v>
      </c>
      <c r="D979" s="306">
        <f t="shared" ca="1" si="443"/>
        <v>-0.72742001014480662</v>
      </c>
      <c r="E979" s="307">
        <f t="shared" ca="1" si="444"/>
        <v>-2.1910553091734917</v>
      </c>
      <c r="F979" s="304">
        <f t="shared" ca="1" si="445"/>
        <v>2.308649657054187</v>
      </c>
      <c r="G979" s="306">
        <f t="shared" ca="1" si="446"/>
        <v>12.426517534938208</v>
      </c>
      <c r="H979" s="307">
        <f t="shared" ca="1" si="447"/>
        <v>-130.15542888140041</v>
      </c>
      <c r="I979" s="304">
        <f t="shared" ca="1" si="448"/>
        <v>130.74729062335251</v>
      </c>
      <c r="J979" s="306">
        <f t="shared" ca="1" si="449"/>
        <v>889.84792314375909</v>
      </c>
      <c r="K979" s="307">
        <f t="shared" ca="1" si="450"/>
        <v>-12.488124202860995</v>
      </c>
      <c r="L979" s="304">
        <f t="shared" ca="1" si="435"/>
        <v>889.93554798612661</v>
      </c>
      <c r="M979" s="306">
        <f t="shared" ca="1" si="451"/>
        <v>-1.4756103988983231</v>
      </c>
      <c r="N979" s="304">
        <f t="shared" ca="1" si="452"/>
        <v>-84.546248062489781</v>
      </c>
      <c r="P979" s="310">
        <f t="shared" ca="1" si="453"/>
        <v>23</v>
      </c>
      <c r="Q979" s="304">
        <f t="shared" ca="1" si="454"/>
        <v>0</v>
      </c>
      <c r="R979" s="306">
        <f t="shared" ca="1" si="455"/>
        <v>0</v>
      </c>
      <c r="S979" s="307">
        <f t="shared" ca="1" si="456"/>
        <v>7.150000000000003</v>
      </c>
      <c r="T979" s="304">
        <f t="shared" ca="1" si="436"/>
        <v>70.141500000000036</v>
      </c>
      <c r="U979" s="311">
        <f t="shared" ca="1" si="437"/>
        <v>0</v>
      </c>
      <c r="V979" s="306">
        <f t="shared" ca="1" si="438"/>
        <v>1.226530751025297</v>
      </c>
      <c r="W979" s="304">
        <f t="shared" ca="1" si="439"/>
        <v>54.723425012100222</v>
      </c>
      <c r="Y979" s="314" t="str">
        <f t="shared" ca="1" si="457"/>
        <v/>
      </c>
      <c r="Z979" s="315" t="str">
        <f t="shared" ca="1" si="458"/>
        <v/>
      </c>
      <c r="AA979" s="316" t="str">
        <f t="shared" ca="1" si="459"/>
        <v/>
      </c>
      <c r="AC979" s="310" t="e">
        <f t="shared" ca="1" si="460"/>
        <v>#N/A</v>
      </c>
      <c r="AD979" s="323" t="e">
        <f t="shared" ca="1" si="461"/>
        <v>#N/A</v>
      </c>
      <c r="AE979" s="324" t="e">
        <f t="shared" ca="1" si="440"/>
        <v>#N/A</v>
      </c>
      <c r="AG979" s="306">
        <f t="shared" ca="1" si="462"/>
        <v>2.1120006212664419</v>
      </c>
      <c r="AH979" s="304">
        <f t="shared" ca="1" si="463"/>
        <v>-7.6535911880000826</v>
      </c>
    </row>
    <row r="980" spans="1:34" x14ac:dyDescent="0.2">
      <c r="A980" s="347">
        <f t="shared" ca="1" si="441"/>
        <v>1E-4</v>
      </c>
      <c r="B980" s="304">
        <f t="shared" ca="1" si="442"/>
        <v>36.742900000001676</v>
      </c>
      <c r="D980" s="306">
        <f t="shared" ca="1" si="443"/>
        <v>-0.72741787381041745</v>
      </c>
      <c r="E980" s="307">
        <f t="shared" ca="1" si="444"/>
        <v>-2.1910202596505624</v>
      </c>
      <c r="F980" s="304">
        <f t="shared" ca="1" si="445"/>
        <v>2.3086157197199548</v>
      </c>
      <c r="G980" s="306">
        <f t="shared" ca="1" si="446"/>
        <v>12.426444793150827</v>
      </c>
      <c r="H980" s="307">
        <f t="shared" ca="1" si="447"/>
        <v>-130.15564798342638</v>
      </c>
      <c r="I980" s="304">
        <f t="shared" ca="1" si="448"/>
        <v>130.74750182004561</v>
      </c>
      <c r="J980" s="306">
        <f t="shared" ca="1" si="449"/>
        <v>889.84792314375909</v>
      </c>
      <c r="K980" s="307">
        <f t="shared" ca="1" si="450"/>
        <v>-12.501139756704235</v>
      </c>
      <c r="L980" s="304">
        <f t="shared" ca="1" si="435"/>
        <v>889.93573072356071</v>
      </c>
      <c r="M980" s="306">
        <f t="shared" ca="1" si="451"/>
        <v>-1.4756111120014597</v>
      </c>
      <c r="N980" s="304">
        <f t="shared" ca="1" si="452"/>
        <v>-84.546288920289854</v>
      </c>
      <c r="P980" s="310">
        <f t="shared" ca="1" si="453"/>
        <v>23</v>
      </c>
      <c r="Q980" s="304">
        <f t="shared" ca="1" si="454"/>
        <v>0</v>
      </c>
      <c r="R980" s="306">
        <f t="shared" ca="1" si="455"/>
        <v>0</v>
      </c>
      <c r="S980" s="307">
        <f t="shared" ca="1" si="456"/>
        <v>7.150000000000003</v>
      </c>
      <c r="T980" s="304">
        <f t="shared" ca="1" si="436"/>
        <v>70.141500000000036</v>
      </c>
      <c r="U980" s="311">
        <f t="shared" ca="1" si="437"/>
        <v>0</v>
      </c>
      <c r="V980" s="306">
        <f t="shared" ca="1" si="438"/>
        <v>1.2265323474246617</v>
      </c>
      <c r="W980" s="304">
        <f t="shared" ca="1" si="439"/>
        <v>54.723673028110262</v>
      </c>
      <c r="Y980" s="314" t="str">
        <f t="shared" ca="1" si="457"/>
        <v/>
      </c>
      <c r="Z980" s="315" t="str">
        <f t="shared" ca="1" si="458"/>
        <v/>
      </c>
      <c r="AA980" s="316" t="str">
        <f t="shared" ca="1" si="459"/>
        <v/>
      </c>
      <c r="AC980" s="310" t="e">
        <f t="shared" ca="1" si="460"/>
        <v>#N/A</v>
      </c>
      <c r="AD980" s="323" t="e">
        <f t="shared" ca="1" si="461"/>
        <v>#N/A</v>
      </c>
      <c r="AE980" s="324" t="e">
        <f t="shared" ca="1" si="440"/>
        <v>#N/A</v>
      </c>
      <c r="AG980" s="306">
        <f t="shared" ca="1" si="462"/>
        <v>2.1119665983289151</v>
      </c>
      <c r="AH980" s="304">
        <f t="shared" ca="1" si="463"/>
        <v>-7.6536258758182099</v>
      </c>
    </row>
    <row r="981" spans="1:34" x14ac:dyDescent="0.2">
      <c r="A981" s="347">
        <f t="shared" ca="1" si="441"/>
        <v>1E-4</v>
      </c>
      <c r="B981" s="304">
        <f t="shared" ca="1" si="442"/>
        <v>36.743000000001679</v>
      </c>
      <c r="D981" s="306">
        <f t="shared" ca="1" si="443"/>
        <v>-0.7274157374506498</v>
      </c>
      <c r="E981" s="307">
        <f t="shared" ca="1" si="444"/>
        <v>-2.1909852103945973</v>
      </c>
      <c r="F981" s="304">
        <f t="shared" ca="1" si="445"/>
        <v>2.308581782666304</v>
      </c>
      <c r="G981" s="306">
        <f t="shared" ca="1" si="446"/>
        <v>12.426372051577081</v>
      </c>
      <c r="H981" s="307">
        <f t="shared" ca="1" si="447"/>
        <v>-130.15586708194741</v>
      </c>
      <c r="I981" s="304">
        <f t="shared" ca="1" si="448"/>
        <v>130.74771301333641</v>
      </c>
      <c r="J981" s="306">
        <f t="shared" ca="1" si="449"/>
        <v>889.84792314375909</v>
      </c>
      <c r="K981" s="307">
        <f t="shared" ca="1" si="450"/>
        <v>-12.514155332457504</v>
      </c>
      <c r="L981" s="304">
        <f t="shared" ca="1" si="435"/>
        <v>889.93591365162149</v>
      </c>
      <c r="M981" s="306">
        <f t="shared" ca="1" si="451"/>
        <v>-1.4756118250981183</v>
      </c>
      <c r="N981" s="304">
        <f t="shared" ca="1" si="452"/>
        <v>-84.546329777718782</v>
      </c>
      <c r="P981" s="310">
        <f t="shared" ca="1" si="453"/>
        <v>23</v>
      </c>
      <c r="Q981" s="304">
        <f t="shared" ca="1" si="454"/>
        <v>0</v>
      </c>
      <c r="R981" s="306">
        <f t="shared" ca="1" si="455"/>
        <v>0</v>
      </c>
      <c r="S981" s="307">
        <f t="shared" ca="1" si="456"/>
        <v>7.150000000000003</v>
      </c>
      <c r="T981" s="304">
        <f t="shared" ca="1" si="436"/>
        <v>70.141500000000036</v>
      </c>
      <c r="U981" s="311">
        <f t="shared" ca="1" si="437"/>
        <v>0</v>
      </c>
      <c r="V981" s="306">
        <f t="shared" ca="1" si="438"/>
        <v>1.2265339438287934</v>
      </c>
      <c r="W981" s="304">
        <f t="shared" ca="1" si="439"/>
        <v>54.723921042230728</v>
      </c>
      <c r="Y981" s="314" t="str">
        <f t="shared" ca="1" si="457"/>
        <v/>
      </c>
      <c r="Z981" s="315" t="str">
        <f t="shared" ca="1" si="458"/>
        <v/>
      </c>
      <c r="AA981" s="316" t="str">
        <f t="shared" ca="1" si="459"/>
        <v/>
      </c>
      <c r="AC981" s="310" t="e">
        <f t="shared" ca="1" si="460"/>
        <v>#N/A</v>
      </c>
      <c r="AD981" s="323" t="e">
        <f t="shared" ca="1" si="461"/>
        <v>#N/A</v>
      </c>
      <c r="AE981" s="324" t="e">
        <f t="shared" ca="1" si="440"/>
        <v>#N/A</v>
      </c>
      <c r="AG981" s="306">
        <f t="shared" ca="1" si="462"/>
        <v>2.1119325756446541</v>
      </c>
      <c r="AH981" s="304">
        <f t="shared" ca="1" si="463"/>
        <v>-7.6536605633720614</v>
      </c>
    </row>
    <row r="982" spans="1:34" x14ac:dyDescent="0.2">
      <c r="A982" s="347">
        <f t="shared" ca="1" si="441"/>
        <v>1E-4</v>
      </c>
      <c r="B982" s="304">
        <f t="shared" ca="1" si="442"/>
        <v>36.743100000001682</v>
      </c>
      <c r="D982" s="306">
        <f t="shared" ca="1" si="443"/>
        <v>-0.72741360106550335</v>
      </c>
      <c r="E982" s="307">
        <f t="shared" ca="1" si="444"/>
        <v>-2.1909501614055964</v>
      </c>
      <c r="F982" s="304">
        <f t="shared" ca="1" si="445"/>
        <v>2.3085478458932345</v>
      </c>
      <c r="G982" s="306">
        <f t="shared" ca="1" si="446"/>
        <v>12.426299310216974</v>
      </c>
      <c r="H982" s="307">
        <f t="shared" ca="1" si="447"/>
        <v>-130.15608617696356</v>
      </c>
      <c r="I982" s="304">
        <f t="shared" ca="1" si="448"/>
        <v>130.74792420322495</v>
      </c>
      <c r="J982" s="306">
        <f t="shared" ca="1" si="449"/>
        <v>889.84792314375909</v>
      </c>
      <c r="K982" s="307">
        <f t="shared" ca="1" si="450"/>
        <v>-12.52717093012045</v>
      </c>
      <c r="L982" s="304">
        <f t="shared" ca="1" si="435"/>
        <v>889.93609677030963</v>
      </c>
      <c r="M982" s="306">
        <f t="shared" ca="1" si="451"/>
        <v>-1.4756125381882987</v>
      </c>
      <c r="N982" s="304">
        <f t="shared" ca="1" si="452"/>
        <v>-84.546370634776537</v>
      </c>
      <c r="P982" s="310">
        <f t="shared" ca="1" si="453"/>
        <v>23</v>
      </c>
      <c r="Q982" s="304">
        <f t="shared" ca="1" si="454"/>
        <v>0</v>
      </c>
      <c r="R982" s="306">
        <f t="shared" ca="1" si="455"/>
        <v>0</v>
      </c>
      <c r="S982" s="307">
        <f t="shared" ca="1" si="456"/>
        <v>7.150000000000003</v>
      </c>
      <c r="T982" s="304">
        <f t="shared" ca="1" si="436"/>
        <v>70.141500000000036</v>
      </c>
      <c r="U982" s="311">
        <f t="shared" ca="1" si="437"/>
        <v>0</v>
      </c>
      <c r="V982" s="306">
        <f t="shared" ca="1" si="438"/>
        <v>1.2265355402376912</v>
      </c>
      <c r="W982" s="304">
        <f t="shared" ca="1" si="439"/>
        <v>54.724169054461576</v>
      </c>
      <c r="Y982" s="314" t="str">
        <f t="shared" ca="1" si="457"/>
        <v/>
      </c>
      <c r="Z982" s="315" t="str">
        <f t="shared" ca="1" si="458"/>
        <v/>
      </c>
      <c r="AA982" s="316" t="str">
        <f t="shared" ca="1" si="459"/>
        <v/>
      </c>
      <c r="AC982" s="310" t="e">
        <f t="shared" ca="1" si="460"/>
        <v>#N/A</v>
      </c>
      <c r="AD982" s="323" t="e">
        <f t="shared" ca="1" si="461"/>
        <v>#N/A</v>
      </c>
      <c r="AE982" s="324" t="e">
        <f t="shared" ca="1" si="440"/>
        <v>#N/A</v>
      </c>
      <c r="AG982" s="306">
        <f t="shared" ca="1" si="462"/>
        <v>2.1118985532136643</v>
      </c>
      <c r="AH982" s="304">
        <f t="shared" ca="1" si="463"/>
        <v>-7.6536952506616371</v>
      </c>
    </row>
    <row r="983" spans="1:34" x14ac:dyDescent="0.2">
      <c r="A983" s="347">
        <f t="shared" ca="1" si="441"/>
        <v>1E-4</v>
      </c>
      <c r="B983" s="304">
        <f t="shared" ca="1" si="442"/>
        <v>36.743200000001686</v>
      </c>
      <c r="D983" s="306">
        <f t="shared" ca="1" si="443"/>
        <v>-0.72741146465498019</v>
      </c>
      <c r="E983" s="307">
        <f t="shared" ca="1" si="444"/>
        <v>-2.1909151126835669</v>
      </c>
      <c r="F983" s="304">
        <f t="shared" ca="1" si="445"/>
        <v>2.3085139094007534</v>
      </c>
      <c r="G983" s="306">
        <f t="shared" ca="1" si="446"/>
        <v>12.426226569070508</v>
      </c>
      <c r="H983" s="307">
        <f t="shared" ca="1" si="447"/>
        <v>-130.15630526847482</v>
      </c>
      <c r="I983" s="304">
        <f t="shared" ca="1" si="448"/>
        <v>130.74813538971131</v>
      </c>
      <c r="J983" s="306">
        <f t="shared" ca="1" si="449"/>
        <v>889.84792314375909</v>
      </c>
      <c r="K983" s="307">
        <f t="shared" ca="1" si="450"/>
        <v>-12.540186549692722</v>
      </c>
      <c r="L983" s="304">
        <f t="shared" ca="1" si="435"/>
        <v>889.93628007962593</v>
      </c>
      <c r="M983" s="306">
        <f t="shared" ca="1" si="451"/>
        <v>-1.4756132512720015</v>
      </c>
      <c r="N983" s="304">
        <f t="shared" ca="1" si="452"/>
        <v>-84.546411491463147</v>
      </c>
      <c r="P983" s="310">
        <f t="shared" ca="1" si="453"/>
        <v>23</v>
      </c>
      <c r="Q983" s="304">
        <f t="shared" ca="1" si="454"/>
        <v>0</v>
      </c>
      <c r="R983" s="306">
        <f t="shared" ca="1" si="455"/>
        <v>0</v>
      </c>
      <c r="S983" s="307">
        <f t="shared" ca="1" si="456"/>
        <v>7.150000000000003</v>
      </c>
      <c r="T983" s="304">
        <f t="shared" ca="1" si="436"/>
        <v>70.141500000000036</v>
      </c>
      <c r="U983" s="311">
        <f t="shared" ca="1" si="437"/>
        <v>0</v>
      </c>
      <c r="V983" s="306">
        <f t="shared" ca="1" si="438"/>
        <v>1.2265371366513556</v>
      </c>
      <c r="W983" s="304">
        <f t="shared" ca="1" si="439"/>
        <v>54.7244170648029</v>
      </c>
      <c r="Y983" s="314" t="str">
        <f t="shared" ca="1" si="457"/>
        <v/>
      </c>
      <c r="Z983" s="315" t="str">
        <f t="shared" ca="1" si="458"/>
        <v/>
      </c>
      <c r="AA983" s="316" t="str">
        <f t="shared" ca="1" si="459"/>
        <v/>
      </c>
      <c r="AC983" s="310" t="e">
        <f t="shared" ca="1" si="460"/>
        <v>#N/A</v>
      </c>
      <c r="AD983" s="323" t="e">
        <f t="shared" ca="1" si="461"/>
        <v>#N/A</v>
      </c>
      <c r="AE983" s="324" t="e">
        <f t="shared" ca="1" si="440"/>
        <v>#N/A</v>
      </c>
      <c r="AG983" s="306">
        <f t="shared" ca="1" si="462"/>
        <v>2.1118645310359527</v>
      </c>
      <c r="AH983" s="304">
        <f t="shared" ca="1" si="463"/>
        <v>-7.6537299376869301</v>
      </c>
    </row>
    <row r="984" spans="1:34" x14ac:dyDescent="0.2">
      <c r="A984" s="347">
        <f t="shared" ca="1" si="441"/>
        <v>1E-4</v>
      </c>
      <c r="B984" s="304">
        <f t="shared" ca="1" si="442"/>
        <v>36.743300000001689</v>
      </c>
      <c r="D984" s="306">
        <f t="shared" ca="1" si="443"/>
        <v>-0.72740932821907966</v>
      </c>
      <c r="E984" s="307">
        <f t="shared" ca="1" si="444"/>
        <v>-2.1908800642284936</v>
      </c>
      <c r="F984" s="304">
        <f t="shared" ca="1" si="445"/>
        <v>2.308479973188847</v>
      </c>
      <c r="G984" s="306">
        <f t="shared" ca="1" si="446"/>
        <v>12.426153828137686</v>
      </c>
      <c r="H984" s="307">
        <f t="shared" ca="1" si="447"/>
        <v>-130.15652435648124</v>
      </c>
      <c r="I984" s="304">
        <f t="shared" ca="1" si="448"/>
        <v>130.74834657279547</v>
      </c>
      <c r="J984" s="306">
        <f t="shared" ca="1" si="449"/>
        <v>889.84792314375909</v>
      </c>
      <c r="K984" s="307">
        <f t="shared" ca="1" si="450"/>
        <v>-12.55320219117397</v>
      </c>
      <c r="L984" s="304">
        <f t="shared" ca="1" si="435"/>
        <v>889.93646357957141</v>
      </c>
      <c r="M984" s="306">
        <f t="shared" ca="1" si="451"/>
        <v>-1.4756139643492265</v>
      </c>
      <c r="N984" s="304">
        <f t="shared" ca="1" si="452"/>
        <v>-84.546452347778597</v>
      </c>
      <c r="P984" s="310">
        <f t="shared" ca="1" si="453"/>
        <v>23</v>
      </c>
      <c r="Q984" s="304">
        <f t="shared" ca="1" si="454"/>
        <v>0</v>
      </c>
      <c r="R984" s="306">
        <f t="shared" ca="1" si="455"/>
        <v>0</v>
      </c>
      <c r="S984" s="307">
        <f t="shared" ca="1" si="456"/>
        <v>7.150000000000003</v>
      </c>
      <c r="T984" s="304">
        <f t="shared" ca="1" si="436"/>
        <v>70.141500000000036</v>
      </c>
      <c r="U984" s="311">
        <f t="shared" ca="1" si="437"/>
        <v>0</v>
      </c>
      <c r="V984" s="306">
        <f t="shared" ca="1" si="438"/>
        <v>1.2265387330697861</v>
      </c>
      <c r="W984" s="304">
        <f t="shared" ca="1" si="439"/>
        <v>54.724665073254634</v>
      </c>
      <c r="Y984" s="314" t="str">
        <f t="shared" ca="1" si="457"/>
        <v/>
      </c>
      <c r="Z984" s="315" t="str">
        <f t="shared" ca="1" si="458"/>
        <v/>
      </c>
      <c r="AA984" s="316" t="str">
        <f t="shared" ca="1" si="459"/>
        <v/>
      </c>
      <c r="AC984" s="310" t="e">
        <f t="shared" ca="1" si="460"/>
        <v>#N/A</v>
      </c>
      <c r="AD984" s="323" t="e">
        <f t="shared" ca="1" si="461"/>
        <v>#N/A</v>
      </c>
      <c r="AE984" s="324" t="e">
        <f t="shared" ca="1" si="440"/>
        <v>#N/A</v>
      </c>
      <c r="AG984" s="306">
        <f t="shared" ca="1" si="462"/>
        <v>2.1118305091115053</v>
      </c>
      <c r="AH984" s="304">
        <f t="shared" ca="1" si="463"/>
        <v>-7.6537646244479545</v>
      </c>
    </row>
    <row r="985" spans="1:34" x14ac:dyDescent="0.2">
      <c r="A985" s="347">
        <f t="shared" ca="1" si="441"/>
        <v>1E-4</v>
      </c>
      <c r="B985" s="304">
        <f t="shared" ca="1" si="442"/>
        <v>36.743400000001692</v>
      </c>
      <c r="D985" s="306">
        <f t="shared" ca="1" si="443"/>
        <v>-0.72740719175780211</v>
      </c>
      <c r="E985" s="307">
        <f t="shared" ca="1" si="444"/>
        <v>-2.1908450160403881</v>
      </c>
      <c r="F985" s="304">
        <f t="shared" ca="1" si="445"/>
        <v>2.3084460372575268</v>
      </c>
      <c r="G985" s="306">
        <f t="shared" ca="1" si="446"/>
        <v>12.42608108741851</v>
      </c>
      <c r="H985" s="307">
        <f t="shared" ca="1" si="447"/>
        <v>-130.15674344098284</v>
      </c>
      <c r="I985" s="304">
        <f t="shared" ca="1" si="448"/>
        <v>130.74855775247744</v>
      </c>
      <c r="J985" s="306">
        <f t="shared" ca="1" si="449"/>
        <v>889.84792314375909</v>
      </c>
      <c r="K985" s="307">
        <f t="shared" ca="1" si="450"/>
        <v>-12.566217854563844</v>
      </c>
      <c r="L985" s="304">
        <f t="shared" ca="1" si="435"/>
        <v>889.93664727014686</v>
      </c>
      <c r="M985" s="306">
        <f t="shared" ca="1" si="451"/>
        <v>-1.4756146774199737</v>
      </c>
      <c r="N985" s="304">
        <f t="shared" ca="1" si="452"/>
        <v>-84.546493203722903</v>
      </c>
      <c r="P985" s="310">
        <f t="shared" ca="1" si="453"/>
        <v>23</v>
      </c>
      <c r="Q985" s="304">
        <f t="shared" ca="1" si="454"/>
        <v>0</v>
      </c>
      <c r="R985" s="306">
        <f t="shared" ca="1" si="455"/>
        <v>0</v>
      </c>
      <c r="S985" s="307">
        <f t="shared" ca="1" si="456"/>
        <v>7.150000000000003</v>
      </c>
      <c r="T985" s="304">
        <f t="shared" ca="1" si="436"/>
        <v>70.141500000000036</v>
      </c>
      <c r="U985" s="311">
        <f t="shared" ca="1" si="437"/>
        <v>0</v>
      </c>
      <c r="V985" s="306">
        <f t="shared" ca="1" si="438"/>
        <v>1.2265403294929831</v>
      </c>
      <c r="W985" s="304">
        <f t="shared" ca="1" si="439"/>
        <v>54.724913079816773</v>
      </c>
      <c r="Y985" s="314" t="str">
        <f t="shared" ca="1" si="457"/>
        <v/>
      </c>
      <c r="Z985" s="315" t="str">
        <f t="shared" ca="1" si="458"/>
        <v/>
      </c>
      <c r="AA985" s="316" t="str">
        <f t="shared" ca="1" si="459"/>
        <v/>
      </c>
      <c r="AC985" s="310" t="e">
        <f t="shared" ca="1" si="460"/>
        <v>#N/A</v>
      </c>
      <c r="AD985" s="323" t="e">
        <f t="shared" ca="1" si="461"/>
        <v>#N/A</v>
      </c>
      <c r="AE985" s="324" t="e">
        <f t="shared" ca="1" si="440"/>
        <v>#N/A</v>
      </c>
      <c r="AG985" s="306">
        <f t="shared" ca="1" si="462"/>
        <v>2.1117964874403299</v>
      </c>
      <c r="AH985" s="304">
        <f t="shared" ca="1" si="463"/>
        <v>-7.6537993109447005</v>
      </c>
    </row>
    <row r="986" spans="1:34" x14ac:dyDescent="0.2">
      <c r="A986" s="347">
        <f t="shared" ca="1" si="441"/>
        <v>1E-4</v>
      </c>
      <c r="B986" s="304">
        <f t="shared" ca="1" si="442"/>
        <v>36.743500000001696</v>
      </c>
      <c r="D986" s="306">
        <f t="shared" ca="1" si="443"/>
        <v>-0.72740505527115018</v>
      </c>
      <c r="E986" s="307">
        <f t="shared" ca="1" si="444"/>
        <v>-2.1908099681192494</v>
      </c>
      <c r="F986" s="304">
        <f t="shared" ca="1" si="445"/>
        <v>2.3084121016067933</v>
      </c>
      <c r="G986" s="306">
        <f t="shared" ca="1" si="446"/>
        <v>12.426008346912983</v>
      </c>
      <c r="H986" s="307">
        <f t="shared" ca="1" si="447"/>
        <v>-130.15696252197964</v>
      </c>
      <c r="I986" s="304">
        <f t="shared" ca="1" si="448"/>
        <v>130.74876892875727</v>
      </c>
      <c r="J986" s="306">
        <f t="shared" ca="1" si="449"/>
        <v>889.84792314375909</v>
      </c>
      <c r="K986" s="307">
        <f t="shared" ca="1" si="450"/>
        <v>-12.579233539861992</v>
      </c>
      <c r="L986" s="304">
        <f t="shared" ca="1" si="435"/>
        <v>889.93683115135298</v>
      </c>
      <c r="M986" s="306">
        <f t="shared" ca="1" si="451"/>
        <v>-1.4756153904842433</v>
      </c>
      <c r="N986" s="304">
        <f t="shared" ca="1" si="452"/>
        <v>-84.546534059296079</v>
      </c>
      <c r="P986" s="310">
        <f t="shared" ca="1" si="453"/>
        <v>23</v>
      </c>
      <c r="Q986" s="304">
        <f t="shared" ca="1" si="454"/>
        <v>0</v>
      </c>
      <c r="R986" s="306">
        <f t="shared" ca="1" si="455"/>
        <v>0</v>
      </c>
      <c r="S986" s="307">
        <f t="shared" ca="1" si="456"/>
        <v>7.150000000000003</v>
      </c>
      <c r="T986" s="304">
        <f t="shared" ca="1" si="436"/>
        <v>70.141500000000036</v>
      </c>
      <c r="U986" s="311">
        <f t="shared" ca="1" si="437"/>
        <v>0</v>
      </c>
      <c r="V986" s="306">
        <f t="shared" ca="1" si="438"/>
        <v>1.2265419259209462</v>
      </c>
      <c r="W986" s="304">
        <f t="shared" ca="1" si="439"/>
        <v>54.725161084489329</v>
      </c>
      <c r="Y986" s="314" t="str">
        <f t="shared" ca="1" si="457"/>
        <v/>
      </c>
      <c r="Z986" s="315" t="str">
        <f t="shared" ca="1" si="458"/>
        <v/>
      </c>
      <c r="AA986" s="316" t="str">
        <f t="shared" ca="1" si="459"/>
        <v/>
      </c>
      <c r="AC986" s="310" t="e">
        <f t="shared" ca="1" si="460"/>
        <v>#N/A</v>
      </c>
      <c r="AD986" s="323" t="e">
        <f t="shared" ca="1" si="461"/>
        <v>#N/A</v>
      </c>
      <c r="AE986" s="324" t="e">
        <f t="shared" ca="1" si="440"/>
        <v>#N/A</v>
      </c>
      <c r="AG986" s="306">
        <f t="shared" ca="1" si="462"/>
        <v>2.1117624660224283</v>
      </c>
      <c r="AH986" s="304">
        <f t="shared" ca="1" si="463"/>
        <v>-7.6538339971771681</v>
      </c>
    </row>
    <row r="987" spans="1:34" x14ac:dyDescent="0.2">
      <c r="A987" s="347">
        <f t="shared" ca="1" si="441"/>
        <v>1E-4</v>
      </c>
      <c r="B987" s="304">
        <f t="shared" ca="1" si="442"/>
        <v>36.743600000001699</v>
      </c>
      <c r="D987" s="306">
        <f t="shared" ca="1" si="443"/>
        <v>-0.72740291875912211</v>
      </c>
      <c r="E987" s="307">
        <f t="shared" ca="1" si="444"/>
        <v>-2.1907749204650777</v>
      </c>
      <c r="F987" s="304">
        <f t="shared" ca="1" si="445"/>
        <v>2.3083781662366452</v>
      </c>
      <c r="G987" s="306">
        <f t="shared" ca="1" si="446"/>
        <v>12.425935606621108</v>
      </c>
      <c r="H987" s="307">
        <f t="shared" ca="1" si="447"/>
        <v>-130.15718159947167</v>
      </c>
      <c r="I987" s="304">
        <f t="shared" ca="1" si="448"/>
        <v>130.74898010163497</v>
      </c>
      <c r="J987" s="306">
        <f t="shared" ca="1" si="449"/>
        <v>889.84792314375909</v>
      </c>
      <c r="K987" s="307">
        <f t="shared" ca="1" si="450"/>
        <v>-12.592249247068064</v>
      </c>
      <c r="L987" s="304">
        <f t="shared" ca="1" si="435"/>
        <v>889.93701522319077</v>
      </c>
      <c r="M987" s="306">
        <f t="shared" ca="1" si="451"/>
        <v>-1.4756161035420352</v>
      </c>
      <c r="N987" s="304">
        <f t="shared" ca="1" si="452"/>
        <v>-84.546574914498109</v>
      </c>
      <c r="P987" s="310">
        <f t="shared" ca="1" si="453"/>
        <v>23</v>
      </c>
      <c r="Q987" s="304">
        <f t="shared" ca="1" si="454"/>
        <v>0</v>
      </c>
      <c r="R987" s="306">
        <f t="shared" ca="1" si="455"/>
        <v>0</v>
      </c>
      <c r="S987" s="307">
        <f t="shared" ca="1" si="456"/>
        <v>7.150000000000003</v>
      </c>
      <c r="T987" s="304">
        <f t="shared" ca="1" si="436"/>
        <v>70.141500000000036</v>
      </c>
      <c r="U987" s="311">
        <f t="shared" ca="1" si="437"/>
        <v>0</v>
      </c>
      <c r="V987" s="306">
        <f t="shared" ca="1" si="438"/>
        <v>1.2265435223536756</v>
      </c>
      <c r="W987" s="304">
        <f t="shared" ca="1" si="439"/>
        <v>54.725409087272283</v>
      </c>
      <c r="Y987" s="314" t="str">
        <f t="shared" ca="1" si="457"/>
        <v/>
      </c>
      <c r="Z987" s="315" t="str">
        <f t="shared" ca="1" si="458"/>
        <v/>
      </c>
      <c r="AA987" s="316" t="str">
        <f t="shared" ca="1" si="459"/>
        <v/>
      </c>
      <c r="AC987" s="310" t="e">
        <f t="shared" ca="1" si="460"/>
        <v>#N/A</v>
      </c>
      <c r="AD987" s="323" t="e">
        <f t="shared" ca="1" si="461"/>
        <v>#N/A</v>
      </c>
      <c r="AE987" s="324" t="e">
        <f t="shared" ca="1" si="440"/>
        <v>#N/A</v>
      </c>
      <c r="AG987" s="306">
        <f t="shared" ca="1" si="462"/>
        <v>2.1117284448577989</v>
      </c>
      <c r="AH987" s="304">
        <f t="shared" ca="1" si="463"/>
        <v>-7.6538686831453573</v>
      </c>
    </row>
    <row r="988" spans="1:34" x14ac:dyDescent="0.2">
      <c r="A988" s="347">
        <f t="shared" ca="1" si="441"/>
        <v>1E-4</v>
      </c>
      <c r="B988" s="304">
        <f t="shared" ca="1" si="442"/>
        <v>36.743700000001702</v>
      </c>
      <c r="D988" s="306">
        <f t="shared" ca="1" si="443"/>
        <v>-0.72740078222172055</v>
      </c>
      <c r="E988" s="307">
        <f t="shared" ca="1" si="444"/>
        <v>-2.1907398730778729</v>
      </c>
      <c r="F988" s="304">
        <f t="shared" ca="1" si="445"/>
        <v>2.3083442311470845</v>
      </c>
      <c r="G988" s="306">
        <f t="shared" ca="1" si="446"/>
        <v>12.425862866542886</v>
      </c>
      <c r="H988" s="307">
        <f t="shared" ca="1" si="447"/>
        <v>-130.15740067345897</v>
      </c>
      <c r="I988" s="304">
        <f t="shared" ca="1" si="448"/>
        <v>130.74919127111059</v>
      </c>
      <c r="J988" s="306">
        <f t="shared" ca="1" si="449"/>
        <v>889.84792314375909</v>
      </c>
      <c r="K988" s="307">
        <f t="shared" ca="1" si="450"/>
        <v>-12.605264976181711</v>
      </c>
      <c r="L988" s="304">
        <f t="shared" ca="1" si="435"/>
        <v>889.93719948566104</v>
      </c>
      <c r="M988" s="306">
        <f t="shared" ca="1" si="451"/>
        <v>-1.4756168165933499</v>
      </c>
      <c r="N988" s="304">
        <f t="shared" ca="1" si="452"/>
        <v>-84.546615769329009</v>
      </c>
      <c r="P988" s="310">
        <f t="shared" ca="1" si="453"/>
        <v>23</v>
      </c>
      <c r="Q988" s="304">
        <f t="shared" ca="1" si="454"/>
        <v>0</v>
      </c>
      <c r="R988" s="306">
        <f t="shared" ca="1" si="455"/>
        <v>0</v>
      </c>
      <c r="S988" s="307">
        <f t="shared" ca="1" si="456"/>
        <v>7.150000000000003</v>
      </c>
      <c r="T988" s="304">
        <f t="shared" ca="1" si="436"/>
        <v>70.141500000000036</v>
      </c>
      <c r="U988" s="311">
        <f t="shared" ca="1" si="437"/>
        <v>0</v>
      </c>
      <c r="V988" s="306">
        <f t="shared" ca="1" si="438"/>
        <v>1.2265451187911713</v>
      </c>
      <c r="W988" s="304">
        <f t="shared" ca="1" si="439"/>
        <v>54.725657088165661</v>
      </c>
      <c r="Y988" s="314" t="str">
        <f t="shared" ca="1" si="457"/>
        <v/>
      </c>
      <c r="Z988" s="315" t="str">
        <f t="shared" ca="1" si="458"/>
        <v/>
      </c>
      <c r="AA988" s="316" t="str">
        <f t="shared" ca="1" si="459"/>
        <v/>
      </c>
      <c r="AC988" s="310" t="e">
        <f t="shared" ca="1" si="460"/>
        <v>#N/A</v>
      </c>
      <c r="AD988" s="323" t="e">
        <f t="shared" ca="1" si="461"/>
        <v>#N/A</v>
      </c>
      <c r="AE988" s="324" t="e">
        <f t="shared" ca="1" si="440"/>
        <v>#N/A</v>
      </c>
      <c r="AG988" s="306">
        <f t="shared" ca="1" si="462"/>
        <v>2.1116944239464459</v>
      </c>
      <c r="AH988" s="304">
        <f t="shared" ca="1" si="463"/>
        <v>-7.6539033688492673</v>
      </c>
    </row>
    <row r="989" spans="1:34" x14ac:dyDescent="0.2">
      <c r="A989" s="347">
        <f t="shared" ca="1" si="441"/>
        <v>1E-4</v>
      </c>
      <c r="B989" s="304">
        <f t="shared" ca="1" si="442"/>
        <v>36.743800000001706</v>
      </c>
      <c r="D989" s="306">
        <f t="shared" ca="1" si="443"/>
        <v>-0.72739864565894352</v>
      </c>
      <c r="E989" s="307">
        <f t="shared" ca="1" si="444"/>
        <v>-2.190704825957634</v>
      </c>
      <c r="F989" s="304">
        <f t="shared" ca="1" si="445"/>
        <v>2.3083102963381101</v>
      </c>
      <c r="G989" s="306">
        <f t="shared" ca="1" si="446"/>
        <v>12.42579012667832</v>
      </c>
      <c r="H989" s="307">
        <f t="shared" ca="1" si="447"/>
        <v>-130.15761974394155</v>
      </c>
      <c r="I989" s="304">
        <f t="shared" ca="1" si="448"/>
        <v>130.74940243718416</v>
      </c>
      <c r="J989" s="306">
        <f t="shared" ca="1" si="449"/>
        <v>889.84792314375909</v>
      </c>
      <c r="K989" s="307">
        <f t="shared" ca="1" si="450"/>
        <v>-12.618280727202581</v>
      </c>
      <c r="L989" s="304">
        <f t="shared" ca="1" si="435"/>
        <v>889.93738393876447</v>
      </c>
      <c r="M989" s="306">
        <f t="shared" ca="1" si="451"/>
        <v>-1.4756175296381873</v>
      </c>
      <c r="N989" s="304">
        <f t="shared" ca="1" si="452"/>
        <v>-84.546656623788792</v>
      </c>
      <c r="P989" s="310">
        <f t="shared" ca="1" si="453"/>
        <v>23</v>
      </c>
      <c r="Q989" s="304">
        <f t="shared" ca="1" si="454"/>
        <v>0</v>
      </c>
      <c r="R989" s="306">
        <f t="shared" ca="1" si="455"/>
        <v>0</v>
      </c>
      <c r="S989" s="307">
        <f t="shared" ca="1" si="456"/>
        <v>7.150000000000003</v>
      </c>
      <c r="T989" s="304">
        <f t="shared" ca="1" si="436"/>
        <v>70.141500000000036</v>
      </c>
      <c r="U989" s="311">
        <f t="shared" ca="1" si="437"/>
        <v>0</v>
      </c>
      <c r="V989" s="306">
        <f t="shared" ca="1" si="438"/>
        <v>1.2265467152334333</v>
      </c>
      <c r="W989" s="304">
        <f t="shared" ca="1" si="439"/>
        <v>54.725905087169458</v>
      </c>
      <c r="Y989" s="314" t="str">
        <f t="shared" ca="1" si="457"/>
        <v/>
      </c>
      <c r="Z989" s="315" t="str">
        <f t="shared" ca="1" si="458"/>
        <v/>
      </c>
      <c r="AA989" s="316" t="str">
        <f t="shared" ca="1" si="459"/>
        <v/>
      </c>
      <c r="AC989" s="310" t="e">
        <f t="shared" ca="1" si="460"/>
        <v>#N/A</v>
      </c>
      <c r="AD989" s="323" t="e">
        <f t="shared" ca="1" si="461"/>
        <v>#N/A</v>
      </c>
      <c r="AE989" s="324" t="e">
        <f t="shared" ca="1" si="440"/>
        <v>#N/A</v>
      </c>
      <c r="AG989" s="306">
        <f t="shared" ca="1" si="462"/>
        <v>2.111660403288365</v>
      </c>
      <c r="AH989" s="304">
        <f t="shared" ca="1" si="463"/>
        <v>-7.6539380542889006</v>
      </c>
    </row>
    <row r="990" spans="1:34" x14ac:dyDescent="0.2">
      <c r="A990" s="347">
        <f t="shared" ca="1" si="441"/>
        <v>1E-4</v>
      </c>
      <c r="B990" s="304">
        <f t="shared" ca="1" si="442"/>
        <v>36.743900000001709</v>
      </c>
      <c r="D990" s="306">
        <f t="shared" ca="1" si="443"/>
        <v>-0.72739650907079245</v>
      </c>
      <c r="E990" s="307">
        <f t="shared" ca="1" si="444"/>
        <v>-2.1906697791043612</v>
      </c>
      <c r="F990" s="304">
        <f t="shared" ca="1" si="445"/>
        <v>2.308276361809722</v>
      </c>
      <c r="G990" s="306">
        <f t="shared" ca="1" si="446"/>
        <v>12.425717387027413</v>
      </c>
      <c r="H990" s="307">
        <f t="shared" ca="1" si="447"/>
        <v>-130.15783881091946</v>
      </c>
      <c r="I990" s="304">
        <f t="shared" ca="1" si="448"/>
        <v>130.74961359985568</v>
      </c>
      <c r="J990" s="306">
        <f t="shared" ca="1" si="449"/>
        <v>889.84792314375909</v>
      </c>
      <c r="K990" s="307">
        <f t="shared" ca="1" si="450"/>
        <v>-12.631296500130324</v>
      </c>
      <c r="L990" s="304">
        <f t="shared" ca="1" si="435"/>
        <v>889.93756858250208</v>
      </c>
      <c r="M990" s="306">
        <f t="shared" ca="1" si="451"/>
        <v>-1.4756182426765472</v>
      </c>
      <c r="N990" s="304">
        <f t="shared" ca="1" si="452"/>
        <v>-84.546697477877444</v>
      </c>
      <c r="P990" s="310">
        <f t="shared" ca="1" si="453"/>
        <v>23</v>
      </c>
      <c r="Q990" s="304">
        <f t="shared" ca="1" si="454"/>
        <v>0</v>
      </c>
      <c r="R990" s="306">
        <f t="shared" ca="1" si="455"/>
        <v>0</v>
      </c>
      <c r="S990" s="307">
        <f t="shared" ca="1" si="456"/>
        <v>7.150000000000003</v>
      </c>
      <c r="T990" s="304">
        <f t="shared" ca="1" si="436"/>
        <v>70.141500000000036</v>
      </c>
      <c r="U990" s="311">
        <f t="shared" ca="1" si="437"/>
        <v>0</v>
      </c>
      <c r="V990" s="306">
        <f t="shared" ca="1" si="438"/>
        <v>1.2265483116804616</v>
      </c>
      <c r="W990" s="304">
        <f t="shared" ca="1" si="439"/>
        <v>54.726153084283688</v>
      </c>
      <c r="Y990" s="314" t="str">
        <f t="shared" ca="1" si="457"/>
        <v/>
      </c>
      <c r="Z990" s="315" t="str">
        <f t="shared" ca="1" si="458"/>
        <v/>
      </c>
      <c r="AA990" s="316" t="str">
        <f t="shared" ca="1" si="459"/>
        <v/>
      </c>
      <c r="AC990" s="310" t="e">
        <f t="shared" ca="1" si="460"/>
        <v>#N/A</v>
      </c>
      <c r="AD990" s="323" t="e">
        <f t="shared" ca="1" si="461"/>
        <v>#N/A</v>
      </c>
      <c r="AE990" s="324" t="e">
        <f t="shared" ca="1" si="440"/>
        <v>#N/A</v>
      </c>
      <c r="AG990" s="306">
        <f t="shared" ca="1" si="462"/>
        <v>2.1116263828835571</v>
      </c>
      <c r="AH990" s="304">
        <f t="shared" ca="1" si="463"/>
        <v>-7.6539727394642565</v>
      </c>
    </row>
    <row r="991" spans="1:34" x14ac:dyDescent="0.2">
      <c r="A991" s="347">
        <f t="shared" ca="1" si="441"/>
        <v>1E-4</v>
      </c>
      <c r="B991" s="304">
        <f t="shared" ca="1" si="442"/>
        <v>36.744000000001712</v>
      </c>
      <c r="D991" s="306">
        <f t="shared" ca="1" si="443"/>
        <v>-0.72739437245727034</v>
      </c>
      <c r="E991" s="307">
        <f t="shared" ca="1" si="444"/>
        <v>-2.1906347325180509</v>
      </c>
      <c r="F991" s="304">
        <f t="shared" ca="1" si="445"/>
        <v>2.3082424275619182</v>
      </c>
      <c r="G991" s="306">
        <f t="shared" ca="1" si="446"/>
        <v>12.425644647590168</v>
      </c>
      <c r="H991" s="307">
        <f t="shared" ca="1" si="447"/>
        <v>-130.15805787439271</v>
      </c>
      <c r="I991" s="304">
        <f t="shared" ca="1" si="448"/>
        <v>130.7498247591252</v>
      </c>
      <c r="J991" s="306">
        <f t="shared" ca="1" si="449"/>
        <v>889.84792314375909</v>
      </c>
      <c r="K991" s="307">
        <f t="shared" ca="1" si="450"/>
        <v>-12.644312294964589</v>
      </c>
      <c r="L991" s="304">
        <f t="shared" ca="1" si="435"/>
        <v>889.93775341687467</v>
      </c>
      <c r="M991" s="306">
        <f t="shared" ca="1" si="451"/>
        <v>-1.47561895570843</v>
      </c>
      <c r="N991" s="304">
        <f t="shared" ca="1" si="452"/>
        <v>-84.546738331594995</v>
      </c>
      <c r="P991" s="310">
        <f t="shared" ca="1" si="453"/>
        <v>23</v>
      </c>
      <c r="Q991" s="304">
        <f t="shared" ca="1" si="454"/>
        <v>0</v>
      </c>
      <c r="R991" s="306">
        <f t="shared" ca="1" si="455"/>
        <v>0</v>
      </c>
      <c r="S991" s="307">
        <f t="shared" ca="1" si="456"/>
        <v>7.150000000000003</v>
      </c>
      <c r="T991" s="304">
        <f t="shared" ca="1" si="436"/>
        <v>70.141500000000036</v>
      </c>
      <c r="U991" s="311">
        <f t="shared" ca="1" si="437"/>
        <v>0</v>
      </c>
      <c r="V991" s="306">
        <f t="shared" ca="1" si="438"/>
        <v>1.2265499081322557</v>
      </c>
      <c r="W991" s="304">
        <f t="shared" ca="1" si="439"/>
        <v>54.726401079508314</v>
      </c>
      <c r="Y991" s="314" t="str">
        <f t="shared" ca="1" si="457"/>
        <v/>
      </c>
      <c r="Z991" s="315" t="str">
        <f t="shared" ca="1" si="458"/>
        <v/>
      </c>
      <c r="AA991" s="316" t="str">
        <f t="shared" ca="1" si="459"/>
        <v/>
      </c>
      <c r="AC991" s="310" t="e">
        <f t="shared" ca="1" si="460"/>
        <v>#N/A</v>
      </c>
      <c r="AD991" s="323" t="e">
        <f t="shared" ca="1" si="461"/>
        <v>#N/A</v>
      </c>
      <c r="AE991" s="324" t="e">
        <f t="shared" ca="1" si="440"/>
        <v>#N/A</v>
      </c>
      <c r="AG991" s="306">
        <f t="shared" ca="1" si="462"/>
        <v>2.1115923627320194</v>
      </c>
      <c r="AH991" s="304">
        <f t="shared" ca="1" si="463"/>
        <v>-7.6540074243753375</v>
      </c>
    </row>
    <row r="992" spans="1:34" x14ac:dyDescent="0.2">
      <c r="A992" s="347">
        <f t="shared" ca="1" si="441"/>
        <v>1E-4</v>
      </c>
      <c r="B992" s="304">
        <f t="shared" ca="1" si="442"/>
        <v>36.744100000001716</v>
      </c>
      <c r="D992" s="306">
        <f t="shared" ca="1" si="443"/>
        <v>-0.72739223581837453</v>
      </c>
      <c r="E992" s="307">
        <f t="shared" ca="1" si="444"/>
        <v>-2.19059968619871</v>
      </c>
      <c r="F992" s="304">
        <f t="shared" ca="1" si="445"/>
        <v>2.3082084935947056</v>
      </c>
      <c r="G992" s="306">
        <f t="shared" ca="1" si="446"/>
        <v>12.425571908366587</v>
      </c>
      <c r="H992" s="307">
        <f t="shared" ca="1" si="447"/>
        <v>-130.15827693436134</v>
      </c>
      <c r="I992" s="304">
        <f t="shared" ca="1" si="448"/>
        <v>130.75003591499274</v>
      </c>
      <c r="J992" s="306">
        <f t="shared" ca="1" si="449"/>
        <v>889.84792314375909</v>
      </c>
      <c r="K992" s="307">
        <f t="shared" ca="1" si="450"/>
        <v>-12.657328111705027</v>
      </c>
      <c r="L992" s="304">
        <f t="shared" ca="1" si="435"/>
        <v>889.93793844188303</v>
      </c>
      <c r="M992" s="306">
        <f t="shared" ca="1" si="451"/>
        <v>-1.4756196687338359</v>
      </c>
      <c r="N992" s="304">
        <f t="shared" ca="1" si="452"/>
        <v>-84.546779184941443</v>
      </c>
      <c r="P992" s="310">
        <f t="shared" ca="1" si="453"/>
        <v>23</v>
      </c>
      <c r="Q992" s="304">
        <f t="shared" ca="1" si="454"/>
        <v>0</v>
      </c>
      <c r="R992" s="306">
        <f t="shared" ca="1" si="455"/>
        <v>0</v>
      </c>
      <c r="S992" s="307">
        <f t="shared" ca="1" si="456"/>
        <v>7.150000000000003</v>
      </c>
      <c r="T992" s="304">
        <f t="shared" ca="1" si="436"/>
        <v>70.141500000000036</v>
      </c>
      <c r="U992" s="311">
        <f t="shared" ca="1" si="437"/>
        <v>0</v>
      </c>
      <c r="V992" s="306">
        <f t="shared" ca="1" si="438"/>
        <v>1.2265515045888165</v>
      </c>
      <c r="W992" s="304">
        <f t="shared" ca="1" si="439"/>
        <v>54.726649072843365</v>
      </c>
      <c r="Y992" s="314" t="str">
        <f t="shared" ca="1" si="457"/>
        <v/>
      </c>
      <c r="Z992" s="315" t="str">
        <f t="shared" ca="1" si="458"/>
        <v/>
      </c>
      <c r="AA992" s="316" t="str">
        <f t="shared" ca="1" si="459"/>
        <v/>
      </c>
      <c r="AC992" s="310" t="e">
        <f t="shared" ca="1" si="460"/>
        <v>#N/A</v>
      </c>
      <c r="AD992" s="323" t="e">
        <f t="shared" ca="1" si="461"/>
        <v>#N/A</v>
      </c>
      <c r="AE992" s="324" t="e">
        <f t="shared" ca="1" si="440"/>
        <v>#N/A</v>
      </c>
      <c r="AG992" s="306">
        <f t="shared" ca="1" si="462"/>
        <v>2.1115583428337592</v>
      </c>
      <c r="AH992" s="304">
        <f t="shared" ca="1" si="463"/>
        <v>-7.6540421090221384</v>
      </c>
    </row>
    <row r="993" spans="1:34" x14ac:dyDescent="0.2">
      <c r="A993" s="347">
        <f t="shared" ca="1" si="441"/>
        <v>1E-4</v>
      </c>
      <c r="B993" s="304">
        <f t="shared" ca="1" si="442"/>
        <v>36.744200000001719</v>
      </c>
      <c r="D993" s="306">
        <f t="shared" ca="1" si="443"/>
        <v>-0.72739009915410668</v>
      </c>
      <c r="E993" s="307">
        <f t="shared" ca="1" si="444"/>
        <v>-2.1905646401463326</v>
      </c>
      <c r="F993" s="304">
        <f t="shared" ca="1" si="445"/>
        <v>2.3081745599080787</v>
      </c>
      <c r="G993" s="306">
        <f t="shared" ca="1" si="446"/>
        <v>12.425499169356671</v>
      </c>
      <c r="H993" s="307">
        <f t="shared" ca="1" si="447"/>
        <v>-130.15849599082534</v>
      </c>
      <c r="I993" s="304">
        <f t="shared" ca="1" si="448"/>
        <v>130.75024706745828</v>
      </c>
      <c r="J993" s="306">
        <f t="shared" ca="1" si="449"/>
        <v>889.84792314375909</v>
      </c>
      <c r="K993" s="307">
        <f t="shared" ca="1" si="450"/>
        <v>-12.670343950351286</v>
      </c>
      <c r="L993" s="304">
        <f t="shared" ca="1" si="435"/>
        <v>889.93812365752797</v>
      </c>
      <c r="M993" s="306">
        <f t="shared" ca="1" si="451"/>
        <v>-1.4756203817527647</v>
      </c>
      <c r="N993" s="304">
        <f t="shared" ca="1" si="452"/>
        <v>-84.546820037916774</v>
      </c>
      <c r="P993" s="310">
        <f t="shared" ca="1" si="453"/>
        <v>23</v>
      </c>
      <c r="Q993" s="304">
        <f t="shared" ca="1" si="454"/>
        <v>0</v>
      </c>
      <c r="R993" s="306">
        <f t="shared" ca="1" si="455"/>
        <v>0</v>
      </c>
      <c r="S993" s="307">
        <f t="shared" ca="1" si="456"/>
        <v>7.150000000000003</v>
      </c>
      <c r="T993" s="304">
        <f t="shared" ca="1" si="436"/>
        <v>70.141500000000036</v>
      </c>
      <c r="U993" s="311">
        <f t="shared" ca="1" si="437"/>
        <v>0</v>
      </c>
      <c r="V993" s="306">
        <f t="shared" ca="1" si="438"/>
        <v>1.2265531010501427</v>
      </c>
      <c r="W993" s="304">
        <f t="shared" ca="1" si="439"/>
        <v>54.726897064288778</v>
      </c>
      <c r="Y993" s="314" t="str">
        <f t="shared" ca="1" si="457"/>
        <v/>
      </c>
      <c r="Z993" s="315" t="str">
        <f t="shared" ca="1" si="458"/>
        <v/>
      </c>
      <c r="AA993" s="316" t="str">
        <f t="shared" ca="1" si="459"/>
        <v/>
      </c>
      <c r="AC993" s="310" t="e">
        <f t="shared" ca="1" si="460"/>
        <v>#N/A</v>
      </c>
      <c r="AD993" s="323" t="e">
        <f t="shared" ca="1" si="461"/>
        <v>#N/A</v>
      </c>
      <c r="AE993" s="324" t="e">
        <f t="shared" ca="1" si="440"/>
        <v>#N/A</v>
      </c>
      <c r="AG993" s="306">
        <f t="shared" ca="1" si="462"/>
        <v>2.1115243231887719</v>
      </c>
      <c r="AH993" s="304">
        <f t="shared" ca="1" si="463"/>
        <v>-7.6540767934046636</v>
      </c>
    </row>
    <row r="994" spans="1:34" x14ac:dyDescent="0.2">
      <c r="A994" s="347">
        <f t="shared" ca="1" si="441"/>
        <v>1E-4</v>
      </c>
      <c r="B994" s="304">
        <f t="shared" ca="1" si="442"/>
        <v>36.744300000001722</v>
      </c>
      <c r="D994" s="306">
        <f t="shared" ca="1" si="443"/>
        <v>-0.72738796246446713</v>
      </c>
      <c r="E994" s="307">
        <f t="shared" ca="1" si="444"/>
        <v>-2.19052959436093</v>
      </c>
      <c r="F994" s="304">
        <f t="shared" ca="1" si="445"/>
        <v>2.3081406265020488</v>
      </c>
      <c r="G994" s="306">
        <f t="shared" ca="1" si="446"/>
        <v>12.425426430560425</v>
      </c>
      <c r="H994" s="307">
        <f t="shared" ca="1" si="447"/>
        <v>-130.15871504378478</v>
      </c>
      <c r="I994" s="304">
        <f t="shared" ca="1" si="448"/>
        <v>130.75045821652188</v>
      </c>
      <c r="J994" s="306">
        <f t="shared" ca="1" si="449"/>
        <v>889.84792314375909</v>
      </c>
      <c r="K994" s="307">
        <f t="shared" ca="1" si="450"/>
        <v>-12.683359810903017</v>
      </c>
      <c r="L994" s="304">
        <f t="shared" ca="1" si="435"/>
        <v>889.93830906381038</v>
      </c>
      <c r="M994" s="306">
        <f t="shared" ca="1" si="451"/>
        <v>-1.4756210947652164</v>
      </c>
      <c r="N994" s="304">
        <f t="shared" ca="1" si="452"/>
        <v>-84.546860890520989</v>
      </c>
      <c r="P994" s="310">
        <f t="shared" ca="1" si="453"/>
        <v>23</v>
      </c>
      <c r="Q994" s="304">
        <f t="shared" ca="1" si="454"/>
        <v>0</v>
      </c>
      <c r="R994" s="306">
        <f t="shared" ca="1" si="455"/>
        <v>0</v>
      </c>
      <c r="S994" s="307">
        <f t="shared" ca="1" si="456"/>
        <v>7.150000000000003</v>
      </c>
      <c r="T994" s="304">
        <f t="shared" ca="1" si="436"/>
        <v>70.141500000000036</v>
      </c>
      <c r="U994" s="311">
        <f t="shared" ca="1" si="437"/>
        <v>0</v>
      </c>
      <c r="V994" s="306">
        <f t="shared" ca="1" si="438"/>
        <v>1.2265546975162356</v>
      </c>
      <c r="W994" s="304">
        <f t="shared" ca="1" si="439"/>
        <v>54.727145053844623</v>
      </c>
      <c r="Y994" s="314" t="str">
        <f t="shared" ca="1" si="457"/>
        <v/>
      </c>
      <c r="Z994" s="315" t="str">
        <f t="shared" ca="1" si="458"/>
        <v/>
      </c>
      <c r="AA994" s="316" t="str">
        <f t="shared" ca="1" si="459"/>
        <v/>
      </c>
      <c r="AC994" s="310" t="e">
        <f t="shared" ca="1" si="460"/>
        <v>#N/A</v>
      </c>
      <c r="AD994" s="323" t="e">
        <f t="shared" ca="1" si="461"/>
        <v>#N/A</v>
      </c>
      <c r="AE994" s="324" t="e">
        <f t="shared" ca="1" si="440"/>
        <v>#N/A</v>
      </c>
      <c r="AG994" s="306">
        <f t="shared" ca="1" si="462"/>
        <v>2.1114903037970683</v>
      </c>
      <c r="AH994" s="304">
        <f t="shared" ca="1" si="463"/>
        <v>-7.6541114775229024</v>
      </c>
    </row>
    <row r="995" spans="1:34" x14ac:dyDescent="0.2">
      <c r="A995" s="347">
        <f t="shared" ca="1" si="441"/>
        <v>1E-4</v>
      </c>
      <c r="B995" s="304">
        <f t="shared" ca="1" si="442"/>
        <v>36.744400000001725</v>
      </c>
      <c r="D995" s="306">
        <f t="shared" ca="1" si="443"/>
        <v>-0.7273858257494582</v>
      </c>
      <c r="E995" s="307">
        <f t="shared" ca="1" si="444"/>
        <v>-2.1904945488424907</v>
      </c>
      <c r="F995" s="304">
        <f t="shared" ca="1" si="445"/>
        <v>2.3081066933766055</v>
      </c>
      <c r="G995" s="306">
        <f t="shared" ca="1" si="446"/>
        <v>12.42535369197785</v>
      </c>
      <c r="H995" s="307">
        <f t="shared" ca="1" si="447"/>
        <v>-130.15893409323968</v>
      </c>
      <c r="I995" s="304">
        <f t="shared" ca="1" si="448"/>
        <v>130.7506693621836</v>
      </c>
      <c r="J995" s="306">
        <f t="shared" ca="1" si="449"/>
        <v>889.84792314375909</v>
      </c>
      <c r="K995" s="307">
        <f t="shared" ca="1" si="450"/>
        <v>-12.696375693359869</v>
      </c>
      <c r="L995" s="304">
        <f t="shared" ca="1" si="435"/>
        <v>889.93849466073118</v>
      </c>
      <c r="M995" s="306">
        <f t="shared" ca="1" si="451"/>
        <v>-1.4756218077711916</v>
      </c>
      <c r="N995" s="304">
        <f t="shared" ca="1" si="452"/>
        <v>-84.546901742754144</v>
      </c>
      <c r="P995" s="310">
        <f t="shared" ca="1" si="453"/>
        <v>23</v>
      </c>
      <c r="Q995" s="304">
        <f t="shared" ca="1" si="454"/>
        <v>0</v>
      </c>
      <c r="R995" s="306">
        <f t="shared" ca="1" si="455"/>
        <v>0</v>
      </c>
      <c r="S995" s="307">
        <f t="shared" ca="1" si="456"/>
        <v>7.150000000000003</v>
      </c>
      <c r="T995" s="304">
        <f t="shared" ca="1" si="436"/>
        <v>70.141500000000036</v>
      </c>
      <c r="U995" s="311">
        <f t="shared" ca="1" si="437"/>
        <v>0</v>
      </c>
      <c r="V995" s="306">
        <f t="shared" ca="1" si="438"/>
        <v>1.226556293987094</v>
      </c>
      <c r="W995" s="304">
        <f t="shared" ca="1" si="439"/>
        <v>54.727393041510872</v>
      </c>
      <c r="Y995" s="314" t="str">
        <f t="shared" ca="1" si="457"/>
        <v/>
      </c>
      <c r="Z995" s="315" t="str">
        <f t="shared" ca="1" si="458"/>
        <v/>
      </c>
      <c r="AA995" s="316" t="str">
        <f t="shared" ca="1" si="459"/>
        <v/>
      </c>
      <c r="AC995" s="310" t="e">
        <f t="shared" ca="1" si="460"/>
        <v>#N/A</v>
      </c>
      <c r="AD995" s="323" t="e">
        <f t="shared" ca="1" si="461"/>
        <v>#N/A</v>
      </c>
      <c r="AE995" s="324" t="e">
        <f t="shared" ca="1" si="440"/>
        <v>#N/A</v>
      </c>
      <c r="AG995" s="306">
        <f t="shared" ca="1" si="462"/>
        <v>2.111456284658634</v>
      </c>
      <c r="AH995" s="304">
        <f t="shared" ca="1" si="463"/>
        <v>-7.6541461613768673</v>
      </c>
    </row>
    <row r="996" spans="1:34" x14ac:dyDescent="0.2">
      <c r="A996" s="347">
        <f t="shared" ca="1" si="441"/>
        <v>1E-4</v>
      </c>
      <c r="B996" s="304">
        <f t="shared" ca="1" si="442"/>
        <v>36.744500000001729</v>
      </c>
      <c r="D996" s="306">
        <f t="shared" ca="1" si="443"/>
        <v>-0.72738368900907724</v>
      </c>
      <c r="E996" s="307">
        <f t="shared" ca="1" si="444"/>
        <v>-2.1904595035910193</v>
      </c>
      <c r="F996" s="304">
        <f t="shared" ca="1" si="445"/>
        <v>2.3080727605317533</v>
      </c>
      <c r="G996" s="306">
        <f t="shared" ca="1" si="446"/>
        <v>12.425280953608949</v>
      </c>
      <c r="H996" s="307">
        <f t="shared" ca="1" si="447"/>
        <v>-130.15915313919004</v>
      </c>
      <c r="I996" s="304">
        <f t="shared" ca="1" si="448"/>
        <v>130.75088050444342</v>
      </c>
      <c r="J996" s="306">
        <f t="shared" ca="1" si="449"/>
        <v>889.84792314375909</v>
      </c>
      <c r="K996" s="307">
        <f t="shared" ca="1" si="450"/>
        <v>-12.70939159772149</v>
      </c>
      <c r="L996" s="304">
        <f t="shared" ca="1" si="435"/>
        <v>889.93868044829117</v>
      </c>
      <c r="M996" s="306">
        <f t="shared" ca="1" si="451"/>
        <v>-1.4756225207706899</v>
      </c>
      <c r="N996" s="304">
        <f t="shared" ca="1" si="452"/>
        <v>-84.546942594616183</v>
      </c>
      <c r="P996" s="310">
        <f t="shared" ca="1" si="453"/>
        <v>23</v>
      </c>
      <c r="Q996" s="304">
        <f t="shared" ca="1" si="454"/>
        <v>0</v>
      </c>
      <c r="R996" s="306">
        <f t="shared" ca="1" si="455"/>
        <v>0</v>
      </c>
      <c r="S996" s="307">
        <f t="shared" ca="1" si="456"/>
        <v>7.150000000000003</v>
      </c>
      <c r="T996" s="304">
        <f t="shared" ca="1" si="436"/>
        <v>70.141500000000036</v>
      </c>
      <c r="U996" s="311">
        <f t="shared" ca="1" si="437"/>
        <v>0</v>
      </c>
      <c r="V996" s="306">
        <f t="shared" ca="1" si="438"/>
        <v>1.2265578904627188</v>
      </c>
      <c r="W996" s="304">
        <f t="shared" ca="1" si="439"/>
        <v>54.727641027287511</v>
      </c>
      <c r="Y996" s="314" t="str">
        <f t="shared" ca="1" si="457"/>
        <v/>
      </c>
      <c r="Z996" s="315" t="str">
        <f t="shared" ca="1" si="458"/>
        <v/>
      </c>
      <c r="AA996" s="316" t="str">
        <f t="shared" ca="1" si="459"/>
        <v/>
      </c>
      <c r="AC996" s="310" t="e">
        <f t="shared" ca="1" si="460"/>
        <v>#N/A</v>
      </c>
      <c r="AD996" s="323" t="e">
        <f t="shared" ca="1" si="461"/>
        <v>#N/A</v>
      </c>
      <c r="AE996" s="324" t="e">
        <f t="shared" ca="1" si="440"/>
        <v>#N/A</v>
      </c>
      <c r="AG996" s="306">
        <f t="shared" ca="1" si="462"/>
        <v>2.1114222657734789</v>
      </c>
      <c r="AH996" s="304">
        <f t="shared" ca="1" si="463"/>
        <v>-7.654180844966552</v>
      </c>
    </row>
    <row r="997" spans="1:34" x14ac:dyDescent="0.2">
      <c r="A997" s="347">
        <f t="shared" ca="1" si="441"/>
        <v>1E-4</v>
      </c>
      <c r="B997" s="304">
        <f t="shared" ca="1" si="442"/>
        <v>36.744600000001732</v>
      </c>
      <c r="D997" s="306">
        <f t="shared" ca="1" si="443"/>
        <v>-0.72738155224332701</v>
      </c>
      <c r="E997" s="307">
        <f t="shared" ca="1" si="444"/>
        <v>-2.1904244586065165</v>
      </c>
      <c r="F997" s="304">
        <f t="shared" ca="1" si="445"/>
        <v>2.3080388279674939</v>
      </c>
      <c r="G997" s="306">
        <f t="shared" ca="1" si="446"/>
        <v>12.425208215453726</v>
      </c>
      <c r="H997" s="307">
        <f t="shared" ca="1" si="447"/>
        <v>-130.15937218163589</v>
      </c>
      <c r="I997" s="304">
        <f t="shared" ca="1" si="448"/>
        <v>130.75109164330135</v>
      </c>
      <c r="J997" s="306">
        <f t="shared" ca="1" si="449"/>
        <v>889.84792314375909</v>
      </c>
      <c r="K997" s="307">
        <f t="shared" ca="1" si="450"/>
        <v>-12.722407523987531</v>
      </c>
      <c r="L997" s="304">
        <f t="shared" ca="1" si="435"/>
        <v>889.93886642649102</v>
      </c>
      <c r="M997" s="306">
        <f t="shared" ca="1" si="451"/>
        <v>-1.4756232337637114</v>
      </c>
      <c r="N997" s="304">
        <f t="shared" ca="1" si="452"/>
        <v>-84.546983446107149</v>
      </c>
      <c r="P997" s="310">
        <f t="shared" ca="1" si="453"/>
        <v>23</v>
      </c>
      <c r="Q997" s="304">
        <f t="shared" ca="1" si="454"/>
        <v>0</v>
      </c>
      <c r="R997" s="306">
        <f t="shared" ca="1" si="455"/>
        <v>0</v>
      </c>
      <c r="S997" s="307">
        <f t="shared" ca="1" si="456"/>
        <v>7.150000000000003</v>
      </c>
      <c r="T997" s="304">
        <f t="shared" ca="1" si="436"/>
        <v>70.141500000000036</v>
      </c>
      <c r="U997" s="311">
        <f t="shared" ca="1" si="437"/>
        <v>0</v>
      </c>
      <c r="V997" s="306">
        <f t="shared" ca="1" si="438"/>
        <v>1.2265594869431093</v>
      </c>
      <c r="W997" s="304">
        <f t="shared" ca="1" si="439"/>
        <v>54.72788901117454</v>
      </c>
      <c r="Y997" s="314" t="str">
        <f t="shared" ca="1" si="457"/>
        <v/>
      </c>
      <c r="Z997" s="315" t="str">
        <f t="shared" ca="1" si="458"/>
        <v/>
      </c>
      <c r="AA997" s="316" t="str">
        <f t="shared" ca="1" si="459"/>
        <v/>
      </c>
      <c r="AC997" s="310" t="e">
        <f t="shared" ca="1" si="460"/>
        <v>#N/A</v>
      </c>
      <c r="AD997" s="323" t="e">
        <f t="shared" ca="1" si="461"/>
        <v>#N/A</v>
      </c>
      <c r="AE997" s="324" t="e">
        <f t="shared" ca="1" si="440"/>
        <v>#N/A</v>
      </c>
      <c r="AG997" s="306">
        <f t="shared" ca="1" si="462"/>
        <v>2.1113882471416012</v>
      </c>
      <c r="AH997" s="304">
        <f t="shared" ca="1" si="463"/>
        <v>-7.6542155282919566</v>
      </c>
    </row>
    <row r="998" spans="1:34" x14ac:dyDescent="0.2">
      <c r="A998" s="347">
        <f t="shared" ca="1" si="441"/>
        <v>1E-4</v>
      </c>
      <c r="B998" s="304">
        <f t="shared" ca="1" si="442"/>
        <v>36.744700000001735</v>
      </c>
      <c r="D998" s="306">
        <f t="shared" ca="1" si="443"/>
        <v>-0.72737941545220886</v>
      </c>
      <c r="E998" s="307">
        <f t="shared" ca="1" si="444"/>
        <v>-2.190389413888985</v>
      </c>
      <c r="F998" s="304">
        <f t="shared" ca="1" si="445"/>
        <v>2.3080048956838302</v>
      </c>
      <c r="G998" s="306">
        <f t="shared" ca="1" si="446"/>
        <v>12.42513547751218</v>
      </c>
      <c r="H998" s="307">
        <f t="shared" ca="1" si="447"/>
        <v>-130.15959122057728</v>
      </c>
      <c r="I998" s="304">
        <f t="shared" ca="1" si="448"/>
        <v>130.75130277875746</v>
      </c>
      <c r="J998" s="306">
        <f t="shared" ca="1" si="449"/>
        <v>889.84792314375909</v>
      </c>
      <c r="K998" s="307">
        <f t="shared" ca="1" si="450"/>
        <v>-12.735423472157642</v>
      </c>
      <c r="L998" s="304">
        <f t="shared" ca="1" si="435"/>
        <v>889.93905259533176</v>
      </c>
      <c r="M998" s="306">
        <f t="shared" ca="1" si="451"/>
        <v>-1.4756239467502565</v>
      </c>
      <c r="N998" s="304">
        <f t="shared" ca="1" si="452"/>
        <v>-84.547024297227026</v>
      </c>
      <c r="P998" s="310">
        <f t="shared" ca="1" si="453"/>
        <v>23</v>
      </c>
      <c r="Q998" s="304">
        <f t="shared" ca="1" si="454"/>
        <v>0</v>
      </c>
      <c r="R998" s="306">
        <f t="shared" ca="1" si="455"/>
        <v>0</v>
      </c>
      <c r="S998" s="307">
        <f t="shared" ca="1" si="456"/>
        <v>7.150000000000003</v>
      </c>
      <c r="T998" s="304">
        <f t="shared" ca="1" si="436"/>
        <v>70.141500000000036</v>
      </c>
      <c r="U998" s="311">
        <f t="shared" ca="1" si="437"/>
        <v>0</v>
      </c>
      <c r="V998" s="306">
        <f t="shared" ca="1" si="438"/>
        <v>1.2265610834282661</v>
      </c>
      <c r="W998" s="304">
        <f t="shared" ca="1" si="439"/>
        <v>54.728136993171979</v>
      </c>
      <c r="Y998" s="314" t="str">
        <f t="shared" ca="1" si="457"/>
        <v/>
      </c>
      <c r="Z998" s="315" t="str">
        <f t="shared" ca="1" si="458"/>
        <v/>
      </c>
      <c r="AA998" s="316" t="str">
        <f t="shared" ca="1" si="459"/>
        <v/>
      </c>
      <c r="AC998" s="310" t="e">
        <f t="shared" ca="1" si="460"/>
        <v>#N/A</v>
      </c>
      <c r="AD998" s="323" t="e">
        <f t="shared" ca="1" si="461"/>
        <v>#N/A</v>
      </c>
      <c r="AE998" s="324" t="e">
        <f t="shared" ca="1" si="440"/>
        <v>#N/A</v>
      </c>
      <c r="AG998" s="306">
        <f t="shared" ca="1" si="462"/>
        <v>2.1113542287630009</v>
      </c>
      <c r="AH998" s="304">
        <f t="shared" ca="1" si="463"/>
        <v>-7.6542502113530793</v>
      </c>
    </row>
    <row r="999" spans="1:34" x14ac:dyDescent="0.2">
      <c r="A999" s="347">
        <f t="shared" ca="1" si="441"/>
        <v>1E-4</v>
      </c>
      <c r="B999" s="304">
        <f t="shared" ca="1" si="442"/>
        <v>36.744800000001739</v>
      </c>
      <c r="D999" s="306">
        <f t="shared" ca="1" si="443"/>
        <v>-0.72737727863572077</v>
      </c>
      <c r="E999" s="307">
        <f t="shared" ca="1" si="444"/>
        <v>-2.1903543694384195</v>
      </c>
      <c r="F999" s="304">
        <f t="shared" ca="1" si="445"/>
        <v>2.307970963680757</v>
      </c>
      <c r="G999" s="306">
        <f t="shared" ca="1" si="446"/>
        <v>12.425062739784316</v>
      </c>
      <c r="H999" s="307">
        <f t="shared" ca="1" si="447"/>
        <v>-130.15981025601423</v>
      </c>
      <c r="I999" s="304">
        <f t="shared" ca="1" si="448"/>
        <v>130.75151391081175</v>
      </c>
      <c r="J999" s="306">
        <f t="shared" ca="1" si="449"/>
        <v>889.84792314375909</v>
      </c>
      <c r="K999" s="307">
        <f t="shared" ca="1" si="450"/>
        <v>-12.748439442231472</v>
      </c>
      <c r="L999" s="304">
        <f t="shared" ca="1" si="435"/>
        <v>889.93923895481407</v>
      </c>
      <c r="M999" s="306">
        <f t="shared" ca="1" si="451"/>
        <v>-1.4756246597303251</v>
      </c>
      <c r="N999" s="304">
        <f t="shared" ca="1" si="452"/>
        <v>-84.547065147975829</v>
      </c>
      <c r="P999" s="310">
        <f t="shared" ca="1" si="453"/>
        <v>23</v>
      </c>
      <c r="Q999" s="304">
        <f t="shared" ca="1" si="454"/>
        <v>0</v>
      </c>
      <c r="R999" s="306">
        <f t="shared" ca="1" si="455"/>
        <v>0</v>
      </c>
      <c r="S999" s="307">
        <f t="shared" ca="1" si="456"/>
        <v>7.150000000000003</v>
      </c>
      <c r="T999" s="304">
        <f t="shared" ca="1" si="436"/>
        <v>70.141500000000036</v>
      </c>
      <c r="U999" s="311">
        <f t="shared" ca="1" si="437"/>
        <v>0</v>
      </c>
      <c r="V999" s="306">
        <f t="shared" ca="1" si="438"/>
        <v>1.2265626799181886</v>
      </c>
      <c r="W999" s="304">
        <f t="shared" ca="1" si="439"/>
        <v>54.728384973279802</v>
      </c>
      <c r="Y999" s="314" t="str">
        <f t="shared" ca="1" si="457"/>
        <v/>
      </c>
      <c r="Z999" s="315" t="str">
        <f t="shared" ca="1" si="458"/>
        <v/>
      </c>
      <c r="AA999" s="316" t="str">
        <f t="shared" ca="1" si="459"/>
        <v/>
      </c>
      <c r="AC999" s="310" t="e">
        <f t="shared" ca="1" si="460"/>
        <v>#N/A</v>
      </c>
      <c r="AD999" s="323" t="e">
        <f t="shared" ca="1" si="461"/>
        <v>#N/A</v>
      </c>
      <c r="AE999" s="324" t="e">
        <f t="shared" ca="1" si="440"/>
        <v>#N/A</v>
      </c>
      <c r="AG999" s="306">
        <f t="shared" ca="1" si="462"/>
        <v>2.1113202106376781</v>
      </c>
      <c r="AH999" s="304">
        <f t="shared" ca="1" si="463"/>
        <v>-7.6542848941499235</v>
      </c>
    </row>
    <row r="1000" spans="1:34" x14ac:dyDescent="0.2">
      <c r="A1000" s="347">
        <f t="shared" ca="1" si="441"/>
        <v>1E-4</v>
      </c>
      <c r="B1000" s="304">
        <f t="shared" ca="1" si="442"/>
        <v>36.744900000001742</v>
      </c>
      <c r="D1000" s="306">
        <f t="shared" ca="1" si="443"/>
        <v>-0.72737514179386553</v>
      </c>
      <c r="E1000" s="307">
        <f t="shared" ca="1" si="444"/>
        <v>-2.1903193252548236</v>
      </c>
      <c r="F1000" s="304">
        <f t="shared" ca="1" si="445"/>
        <v>2.3079370319582795</v>
      </c>
      <c r="G1000" s="306">
        <f t="shared" ca="1" si="446"/>
        <v>12.424990002270137</v>
      </c>
      <c r="H1000" s="307">
        <f t="shared" ca="1" si="447"/>
        <v>-130.16002928794674</v>
      </c>
      <c r="I1000" s="304">
        <f t="shared" ca="1" si="448"/>
        <v>130.75172503946428</v>
      </c>
      <c r="J1000" s="306">
        <f t="shared" ca="1" si="449"/>
        <v>889.84792314375909</v>
      </c>
      <c r="K1000" s="307">
        <f t="shared" ca="1" si="450"/>
        <v>-12.761455434208671</v>
      </c>
      <c r="L1000" s="304">
        <f t="shared" ca="1" si="435"/>
        <v>889.93942550493887</v>
      </c>
      <c r="M1000" s="306">
        <f t="shared" ca="1" si="451"/>
        <v>-1.4756253727039172</v>
      </c>
      <c r="N1000" s="304">
        <f t="shared" ca="1" si="452"/>
        <v>-84.547105998353572</v>
      </c>
      <c r="P1000" s="310">
        <f t="shared" ca="1" si="453"/>
        <v>23</v>
      </c>
      <c r="Q1000" s="304">
        <f t="shared" ca="1" si="454"/>
        <v>0</v>
      </c>
      <c r="R1000" s="306">
        <f t="shared" ca="1" si="455"/>
        <v>0</v>
      </c>
      <c r="S1000" s="307">
        <f t="shared" ca="1" si="456"/>
        <v>7.150000000000003</v>
      </c>
      <c r="T1000" s="304">
        <f t="shared" ca="1" si="436"/>
        <v>70.141500000000036</v>
      </c>
      <c r="U1000" s="311">
        <f t="shared" ca="1" si="437"/>
        <v>0</v>
      </c>
      <c r="V1000" s="306">
        <f t="shared" ca="1" si="438"/>
        <v>1.226564276412877</v>
      </c>
      <c r="W1000" s="304">
        <f t="shared" ca="1" si="439"/>
        <v>54.728632951498021</v>
      </c>
      <c r="Y1000" s="314" t="str">
        <f t="shared" ca="1" si="457"/>
        <v/>
      </c>
      <c r="Z1000" s="315" t="str">
        <f t="shared" ca="1" si="458"/>
        <v/>
      </c>
      <c r="AA1000" s="316" t="str">
        <f t="shared" ca="1" si="459"/>
        <v/>
      </c>
      <c r="AC1000" s="310" t="e">
        <f t="shared" ca="1" si="460"/>
        <v>#N/A</v>
      </c>
      <c r="AD1000" s="323" t="e">
        <f t="shared" ca="1" si="461"/>
        <v>#N/A</v>
      </c>
      <c r="AE1000" s="324" t="e">
        <f t="shared" ca="1" si="440"/>
        <v>#N/A</v>
      </c>
      <c r="AG1000" s="306">
        <f t="shared" ca="1" si="462"/>
        <v>2.1112861927656335</v>
      </c>
      <c r="AH1000" s="304">
        <f t="shared" ca="1" si="463"/>
        <v>-7.6543195766824867</v>
      </c>
    </row>
    <row r="1001" spans="1:34" x14ac:dyDescent="0.2">
      <c r="A1001" s="347">
        <f t="shared" ca="1" si="441"/>
        <v>1E-4</v>
      </c>
      <c r="B1001" s="304">
        <f t="shared" ca="1" si="442"/>
        <v>36.745000000001745</v>
      </c>
      <c r="D1001" s="306">
        <f t="shared" ca="1" si="443"/>
        <v>-0.7273730049266427</v>
      </c>
      <c r="E1001" s="307">
        <f t="shared" ca="1" si="444"/>
        <v>-2.1902842813381973</v>
      </c>
      <c r="F1001" s="304">
        <f t="shared" ca="1" si="445"/>
        <v>2.3079031005163966</v>
      </c>
      <c r="G1001" s="306">
        <f t="shared" ca="1" si="446"/>
        <v>12.424917264969645</v>
      </c>
      <c r="H1001" s="307">
        <f t="shared" ca="1" si="447"/>
        <v>-130.16024831637486</v>
      </c>
      <c r="I1001" s="304">
        <f t="shared" ca="1" si="448"/>
        <v>130.751936164715</v>
      </c>
      <c r="J1001" s="306">
        <f t="shared" ca="1" si="449"/>
        <v>889.84792314375909</v>
      </c>
      <c r="K1001" s="307">
        <f t="shared" ca="1" si="450"/>
        <v>-12.774471448088887</v>
      </c>
      <c r="L1001" s="304">
        <f t="shared" ca="1" si="435"/>
        <v>889.93961224570705</v>
      </c>
      <c r="M1001" s="306">
        <f t="shared" ca="1" si="451"/>
        <v>-1.4756260856710333</v>
      </c>
      <c r="N1001" s="304">
        <f t="shared" ca="1" si="452"/>
        <v>-84.547146848360242</v>
      </c>
      <c r="P1001" s="310">
        <f t="shared" ca="1" si="453"/>
        <v>23</v>
      </c>
      <c r="Q1001" s="304">
        <f t="shared" ca="1" si="454"/>
        <v>0</v>
      </c>
      <c r="R1001" s="306">
        <f t="shared" ca="1" si="455"/>
        <v>0</v>
      </c>
      <c r="S1001" s="307">
        <f t="shared" ca="1" si="456"/>
        <v>7.150000000000003</v>
      </c>
      <c r="T1001" s="304">
        <f t="shared" ca="1" si="436"/>
        <v>70.141500000000036</v>
      </c>
      <c r="U1001" s="311">
        <f t="shared" ca="1" si="437"/>
        <v>0</v>
      </c>
      <c r="V1001" s="306">
        <f t="shared" ca="1" si="438"/>
        <v>1.2265658729123317</v>
      </c>
      <c r="W1001" s="304">
        <f t="shared" ca="1" si="439"/>
        <v>54.728880927826637</v>
      </c>
      <c r="Y1001" s="314" t="str">
        <f t="shared" ca="1" si="457"/>
        <v/>
      </c>
      <c r="Z1001" s="315" t="str">
        <f t="shared" ca="1" si="458"/>
        <v/>
      </c>
      <c r="AA1001" s="316" t="str">
        <f t="shared" ca="1" si="459"/>
        <v/>
      </c>
      <c r="AC1001" s="310" t="e">
        <f t="shared" ca="1" si="460"/>
        <v>#N/A</v>
      </c>
      <c r="AD1001" s="323" t="e">
        <f t="shared" ca="1" si="461"/>
        <v>#N/A</v>
      </c>
      <c r="AE1001" s="324" t="e">
        <f t="shared" ca="1" si="440"/>
        <v>#N/A</v>
      </c>
      <c r="AG1001" s="306">
        <f t="shared" ca="1" si="462"/>
        <v>2.1112521751468707</v>
      </c>
      <c r="AH1001" s="304">
        <f t="shared" ca="1" si="463"/>
        <v>-7.6543542589507689</v>
      </c>
    </row>
    <row r="1002" spans="1:34" x14ac:dyDescent="0.2">
      <c r="A1002" s="347">
        <f t="shared" ca="1" si="441"/>
        <v>1E-4</v>
      </c>
      <c r="B1002" s="304">
        <f t="shared" ca="1" si="442"/>
        <v>36.745100000001749</v>
      </c>
      <c r="D1002" s="306">
        <f t="shared" ca="1" si="443"/>
        <v>-0.72737086803405171</v>
      </c>
      <c r="E1002" s="307">
        <f t="shared" ca="1" si="444"/>
        <v>-2.1902492376885396</v>
      </c>
      <c r="F1002" s="304">
        <f t="shared" ca="1" si="445"/>
        <v>2.3078691693551083</v>
      </c>
      <c r="G1002" s="306">
        <f t="shared" ca="1" si="446"/>
        <v>12.424844527882842</v>
      </c>
      <c r="H1002" s="307">
        <f t="shared" ca="1" si="447"/>
        <v>-130.16046734129864</v>
      </c>
      <c r="I1002" s="304">
        <f t="shared" ca="1" si="448"/>
        <v>130.75214728656402</v>
      </c>
      <c r="J1002" s="306">
        <f t="shared" ca="1" si="449"/>
        <v>889.84792314375909</v>
      </c>
      <c r="K1002" s="307">
        <f t="shared" ca="1" si="450"/>
        <v>-12.78748748387177</v>
      </c>
      <c r="L1002" s="304">
        <f t="shared" ca="1" si="435"/>
        <v>889.93979917711943</v>
      </c>
      <c r="M1002" s="306">
        <f t="shared" ca="1" si="451"/>
        <v>-1.4756267986316729</v>
      </c>
      <c r="N1002" s="304">
        <f t="shared" ca="1" si="452"/>
        <v>-84.547187697995852</v>
      </c>
      <c r="P1002" s="310">
        <f t="shared" ca="1" si="453"/>
        <v>23</v>
      </c>
      <c r="Q1002" s="304">
        <f t="shared" ca="1" si="454"/>
        <v>0</v>
      </c>
      <c r="R1002" s="306">
        <f t="shared" ca="1" si="455"/>
        <v>0</v>
      </c>
      <c r="S1002" s="307">
        <f t="shared" ca="1" si="456"/>
        <v>7.150000000000003</v>
      </c>
      <c r="T1002" s="304">
        <f t="shared" ca="1" si="436"/>
        <v>70.141500000000036</v>
      </c>
      <c r="U1002" s="311">
        <f t="shared" ca="1" si="437"/>
        <v>0</v>
      </c>
      <c r="V1002" s="306">
        <f t="shared" ca="1" si="438"/>
        <v>1.2265674694165516</v>
      </c>
      <c r="W1002" s="304">
        <f t="shared" ca="1" si="439"/>
        <v>54.729128902265636</v>
      </c>
      <c r="Y1002" s="314" t="str">
        <f t="shared" ca="1" si="457"/>
        <v/>
      </c>
      <c r="Z1002" s="315" t="str">
        <f t="shared" ca="1" si="458"/>
        <v/>
      </c>
      <c r="AA1002" s="316" t="str">
        <f t="shared" ca="1" si="459"/>
        <v/>
      </c>
      <c r="AC1002" s="310" t="e">
        <f t="shared" ca="1" si="460"/>
        <v>#N/A</v>
      </c>
      <c r="AD1002" s="323" t="e">
        <f t="shared" ca="1" si="461"/>
        <v>#N/A</v>
      </c>
      <c r="AE1002" s="324" t="e">
        <f t="shared" ca="1" si="440"/>
        <v>#N/A</v>
      </c>
      <c r="AG1002" s="306">
        <f t="shared" ca="1" si="462"/>
        <v>2.1112181577813836</v>
      </c>
      <c r="AH1002" s="304">
        <f t="shared" ca="1" si="463"/>
        <v>-7.654388940954771</v>
      </c>
    </row>
    <row r="1003" spans="1:34" x14ac:dyDescent="0.2">
      <c r="A1003" s="347">
        <f t="shared" ca="1" si="441"/>
        <v>1E-4</v>
      </c>
      <c r="B1003" s="304">
        <f t="shared" ca="1" si="442"/>
        <v>36.745200000001752</v>
      </c>
      <c r="D1003" s="306">
        <f t="shared" ca="1" si="443"/>
        <v>-0.72736873111609557</v>
      </c>
      <c r="E1003" s="307">
        <f t="shared" ca="1" si="444"/>
        <v>-2.1902141943058524</v>
      </c>
      <c r="F1003" s="304">
        <f t="shared" ca="1" si="445"/>
        <v>2.3078352384744178</v>
      </c>
      <c r="G1003" s="306">
        <f t="shared" ca="1" si="446"/>
        <v>12.42477179100973</v>
      </c>
      <c r="H1003" s="307">
        <f t="shared" ca="1" si="447"/>
        <v>-130.16068636271808</v>
      </c>
      <c r="I1003" s="304">
        <f t="shared" ca="1" si="448"/>
        <v>130.75235840501134</v>
      </c>
      <c r="J1003" s="306">
        <f t="shared" ca="1" si="449"/>
        <v>889.84792314375909</v>
      </c>
      <c r="K1003" s="307">
        <f t="shared" ca="1" si="450"/>
        <v>-12.800503541556971</v>
      </c>
      <c r="L1003" s="304">
        <f t="shared" ca="1" si="435"/>
        <v>889.93998629917667</v>
      </c>
      <c r="M1003" s="306">
        <f t="shared" ca="1" si="451"/>
        <v>-1.4756275115858366</v>
      </c>
      <c r="N1003" s="304">
        <f t="shared" ca="1" si="452"/>
        <v>-84.547228547260431</v>
      </c>
      <c r="P1003" s="310">
        <f t="shared" ca="1" si="453"/>
        <v>23</v>
      </c>
      <c r="Q1003" s="304">
        <f t="shared" ca="1" si="454"/>
        <v>0</v>
      </c>
      <c r="R1003" s="306">
        <f t="shared" ca="1" si="455"/>
        <v>0</v>
      </c>
      <c r="S1003" s="307">
        <f t="shared" ca="1" si="456"/>
        <v>7.150000000000003</v>
      </c>
      <c r="T1003" s="304">
        <f t="shared" ca="1" si="436"/>
        <v>70.141500000000036</v>
      </c>
      <c r="U1003" s="311">
        <f t="shared" ca="1" si="437"/>
        <v>0</v>
      </c>
      <c r="V1003" s="306">
        <f ca="1">Rho_moyen*(20000-Alt_rampe-pos_z)/(20000+Alt_rampe+pos_z)</f>
        <v>1.2265690659255375</v>
      </c>
      <c r="W1003" s="304">
        <f t="shared" ca="1" si="439"/>
        <v>54.729376874815024</v>
      </c>
      <c r="Y1003" s="314" t="str">
        <f t="shared" ca="1" si="457"/>
        <v/>
      </c>
      <c r="Z1003" s="315" t="str">
        <f t="shared" ca="1" si="458"/>
        <v/>
      </c>
      <c r="AA1003" s="316" t="str">
        <f t="shared" ca="1" si="459"/>
        <v/>
      </c>
      <c r="AC1003" s="310" t="e">
        <f t="shared" ca="1" si="460"/>
        <v>#N/A</v>
      </c>
      <c r="AD1003" s="323" t="e">
        <f t="shared" ca="1" si="461"/>
        <v>#N/A</v>
      </c>
      <c r="AE1003" s="324" t="e">
        <f t="shared" ca="1" si="440"/>
        <v>#N/A</v>
      </c>
      <c r="AG1003" s="306">
        <f t="shared" ca="1" si="462"/>
        <v>2.1111841406691791</v>
      </c>
      <c r="AH1003" s="304">
        <f t="shared" ca="1" si="463"/>
        <v>-7.6544236226944911</v>
      </c>
    </row>
    <row r="1004" spans="1:34" x14ac:dyDescent="0.2">
      <c r="A1004" s="348">
        <f t="shared" ca="1" si="441"/>
        <v>1E-4</v>
      </c>
      <c r="B1004" s="305">
        <f t="shared" ca="1" si="442"/>
        <v>36.745300000001755</v>
      </c>
      <c r="D1004" s="308">
        <f t="shared" ca="1" si="443"/>
        <v>-0.72736659417277205</v>
      </c>
      <c r="E1004" s="309">
        <f t="shared" ca="1" si="444"/>
        <v>-2.1901791511901347</v>
      </c>
      <c r="F1004" s="305">
        <f t="shared" ca="1" si="445"/>
        <v>2.3078013078743234</v>
      </c>
      <c r="G1004" s="308">
        <f t="shared" ca="1" si="446"/>
        <v>12.424699054350313</v>
      </c>
      <c r="H1004" s="309">
        <f t="shared" ca="1" si="447"/>
        <v>-130.16090538063321</v>
      </c>
      <c r="I1004" s="305">
        <f t="shared" ca="1" si="448"/>
        <v>130.75256952005694</v>
      </c>
      <c r="J1004" s="308">
        <f t="shared" ca="1" si="449"/>
        <v>889.84792314375909</v>
      </c>
      <c r="K1004" s="309">
        <f t="shared" ca="1" si="450"/>
        <v>-12.813519621144138</v>
      </c>
      <c r="L1004" s="305">
        <f t="shared" ca="1" si="435"/>
        <v>889.9401736118798</v>
      </c>
      <c r="M1004" s="308">
        <f t="shared" ca="1" si="451"/>
        <v>-1.4756282245335242</v>
      </c>
      <c r="N1004" s="305">
        <f t="shared" ca="1" si="452"/>
        <v>-84.547269396153936</v>
      </c>
      <c r="P1004" s="312">
        <f t="shared" ca="1" si="453"/>
        <v>23</v>
      </c>
      <c r="Q1004" s="305">
        <f t="shared" ca="1" si="454"/>
        <v>0</v>
      </c>
      <c r="R1004" s="308">
        <f t="shared" ca="1" si="455"/>
        <v>0</v>
      </c>
      <c r="S1004" s="309">
        <f t="shared" ca="1" si="456"/>
        <v>7.150000000000003</v>
      </c>
      <c r="T1004" s="305">
        <f t="shared" ca="1" si="436"/>
        <v>70.141500000000036</v>
      </c>
      <c r="U1004" s="313">
        <f t="shared" ca="1" si="437"/>
        <v>0</v>
      </c>
      <c r="V1004" s="308">
        <f t="shared" ca="1" si="438"/>
        <v>1.2265706624392896</v>
      </c>
      <c r="W1004" s="305">
        <f ca="1">1/2*Rho*Sref*Cx*vit_xz^2</f>
        <v>54.729624845474802</v>
      </c>
      <c r="Y1004" s="317" t="str">
        <f ca="1">IF(AND(pos_z&lt;=0,K1003&gt;0),"Impact balistique","") &amp; IF(AND(H1005&lt;0,vit_z&gt;=0),"Apogée","") &amp; IF(AND(Poussee=0,Q1003&gt;0),"Fin de propulsion","") &amp; IF(AND(L1005&gt;L_rampe,pos_xz&lt;=L_rampe),"Sortie de rampe","")</f>
        <v/>
      </c>
      <c r="Z1004" s="318" t="str">
        <f t="shared" ca="1" si="458"/>
        <v/>
      </c>
      <c r="AA1004" s="319" t="str">
        <f t="shared" ca="1" si="459"/>
        <v/>
      </c>
      <c r="AC1004" s="312" t="e">
        <f t="shared" ca="1" si="460"/>
        <v>#N/A</v>
      </c>
      <c r="AD1004" s="325" t="e">
        <f t="shared" ca="1" si="461"/>
        <v>#N/A</v>
      </c>
      <c r="AE1004" s="326" t="e">
        <f t="shared" ca="1" si="440"/>
        <v>#N/A</v>
      </c>
      <c r="AG1004" s="308">
        <f t="shared" ca="1" si="462"/>
        <v>2.1111501238102566</v>
      </c>
      <c r="AH1004" s="305">
        <f t="shared" ca="1" si="463"/>
        <v>-7.6544583041699301</v>
      </c>
    </row>
    <row r="1005" spans="1:34" x14ac:dyDescent="0.2">
      <c r="Y1005" s="303"/>
    </row>
    <row r="1010" spans="12:12" x14ac:dyDescent="0.2">
      <c r="L1010"/>
    </row>
    <row r="1034" spans="5:25" x14ac:dyDescent="0.2">
      <c r="E1034" s="300" t="s">
        <v>254</v>
      </c>
      <c r="J1034" s="301" t="s">
        <v>246</v>
      </c>
      <c r="T1034" s="300" t="s">
        <v>245</v>
      </c>
      <c r="Y1034" s="302" t="s">
        <v>248</v>
      </c>
    </row>
    <row r="1035" spans="5:25" x14ac:dyDescent="0.2">
      <c r="E1035" s="299" t="s">
        <v>258</v>
      </c>
    </row>
    <row r="1036" spans="5:25" x14ac:dyDescent="0.2">
      <c r="E1036" s="299"/>
      <c r="T1036" s="299" t="s">
        <v>251</v>
      </c>
    </row>
    <row r="1037" spans="5:25" x14ac:dyDescent="0.2">
      <c r="E1037" s="299"/>
      <c r="T1037" s="299" t="s">
        <v>255</v>
      </c>
    </row>
    <row r="1038" spans="5:25" x14ac:dyDescent="0.2">
      <c r="E1038" s="299"/>
      <c r="T1038" s="299" t="s">
        <v>256</v>
      </c>
    </row>
    <row r="1039" spans="5:25" x14ac:dyDescent="0.2">
      <c r="E1039" s="299"/>
      <c r="T1039" s="299" t="s">
        <v>262</v>
      </c>
    </row>
    <row r="1040" spans="5:25" x14ac:dyDescent="0.2">
      <c r="E1040" s="299" t="s">
        <v>257</v>
      </c>
      <c r="T1040" s="299" t="s">
        <v>247</v>
      </c>
    </row>
    <row r="1041" spans="5:20" x14ac:dyDescent="0.2">
      <c r="E1041" s="299"/>
      <c r="T1041" s="299" t="s">
        <v>263</v>
      </c>
    </row>
    <row r="1042" spans="5:20" x14ac:dyDescent="0.2">
      <c r="E1042" s="299"/>
      <c r="R1042" s="303"/>
      <c r="T1042" s="299"/>
    </row>
    <row r="1043" spans="5:20" x14ac:dyDescent="0.2">
      <c r="E1043" s="299"/>
    </row>
    <row r="1044" spans="5:20" x14ac:dyDescent="0.2">
      <c r="E1044" s="299"/>
    </row>
    <row r="1045" spans="5:20" x14ac:dyDescent="0.2">
      <c r="E1045" s="299" t="s">
        <v>260</v>
      </c>
      <c r="R1045" s="303"/>
      <c r="T1045" s="299"/>
    </row>
    <row r="1046" spans="5:20" x14ac:dyDescent="0.2">
      <c r="E1046" s="299"/>
    </row>
    <row r="1047" spans="5:20" x14ac:dyDescent="0.2">
      <c r="E1047" s="299"/>
    </row>
    <row r="1048" spans="5:20" x14ac:dyDescent="0.2">
      <c r="E1048" s="299"/>
      <c r="T1048" s="298" t="s">
        <v>253</v>
      </c>
    </row>
    <row r="1049" spans="5:20" x14ac:dyDescent="0.2">
      <c r="E1049" s="299"/>
    </row>
    <row r="1050" spans="5:20" x14ac:dyDescent="0.2">
      <c r="E1050" s="299" t="s">
        <v>261</v>
      </c>
    </row>
    <row r="1053" spans="5:20" x14ac:dyDescent="0.2">
      <c r="T1053" s="298" t="s">
        <v>268</v>
      </c>
    </row>
    <row r="1055" spans="5:20" x14ac:dyDescent="0.2">
      <c r="E1055" s="299" t="s">
        <v>250</v>
      </c>
    </row>
    <row r="1058" spans="5:20" x14ac:dyDescent="0.2">
      <c r="T1058" s="299" t="s">
        <v>269</v>
      </c>
    </row>
    <row r="1060" spans="5:20" x14ac:dyDescent="0.2">
      <c r="E1060" s="299" t="s">
        <v>259</v>
      </c>
    </row>
    <row r="1061" spans="5:20" x14ac:dyDescent="0.2">
      <c r="E1061" s="299"/>
    </row>
    <row r="1062" spans="5:20" x14ac:dyDescent="0.2">
      <c r="E1062" s="299"/>
    </row>
    <row r="1063" spans="5:20" x14ac:dyDescent="0.2">
      <c r="E1063" s="299"/>
    </row>
    <row r="1064" spans="5:20" x14ac:dyDescent="0.2">
      <c r="E1064" s="299"/>
    </row>
    <row r="1065" spans="5:20" x14ac:dyDescent="0.2">
      <c r="E1065" s="299" t="s">
        <v>249</v>
      </c>
    </row>
    <row r="1066" spans="5:20" x14ac:dyDescent="0.2">
      <c r="E1066" s="299"/>
    </row>
    <row r="1067" spans="5:20" x14ac:dyDescent="0.2">
      <c r="E1067" s="299"/>
    </row>
    <row r="1068" spans="5:20" x14ac:dyDescent="0.2">
      <c r="E1068" s="299"/>
    </row>
    <row r="1069" spans="5:20" x14ac:dyDescent="0.2">
      <c r="E1069" s="299"/>
    </row>
    <row r="1070" spans="5:20" x14ac:dyDescent="0.2">
      <c r="E1070" s="299" t="s">
        <v>252</v>
      </c>
    </row>
    <row r="1071" spans="5:20" x14ac:dyDescent="0.2">
      <c r="E1071" s="299"/>
    </row>
    <row r="1072" spans="5:20" x14ac:dyDescent="0.2">
      <c r="E1072" s="299"/>
    </row>
    <row r="1073" spans="5:5" x14ac:dyDescent="0.2">
      <c r="E1073" s="299"/>
    </row>
    <row r="1074" spans="5:5" x14ac:dyDescent="0.2">
      <c r="E1074" s="299"/>
    </row>
    <row r="1075" spans="5:5" x14ac:dyDescent="0.2">
      <c r="E1075" s="299" t="s">
        <v>264</v>
      </c>
    </row>
  </sheetData>
  <sheetProtection password="C6AC" sheet="1"/>
  <mergeCells count="5">
    <mergeCell ref="D1:N1"/>
    <mergeCell ref="P1:W1"/>
    <mergeCell ref="AG1:AH1"/>
    <mergeCell ref="Y2:AA2"/>
    <mergeCell ref="AC1:AE1"/>
  </mergeCells>
  <phoneticPr fontId="8" type="noConversion"/>
  <conditionalFormatting sqref="A4:XFD1004">
    <cfRule type="expression" dxfId="5" priority="7" stopIfTrue="1">
      <formula>OR($Y4="Sortie de rampe",$Z4="Para")</formula>
    </cfRule>
    <cfRule type="expression" dxfId="4" priority="8" stopIfTrue="1">
      <formula>OR($Y4="Fin de propulsion",$Y4="Impact balistique",$AA4="Satellite")</formula>
    </cfRule>
    <cfRule type="expression" dxfId="3" priority="9" stopIfTrue="1">
      <formula>$Y4="Apogée"</formula>
    </cfRule>
  </conditionalFormatting>
  <hyperlinks>
    <hyperlink ref="J1034" r:id="rId1" xr:uid="{00000000-0004-0000-0400-000000000000}"/>
    <hyperlink ref="Y1034" r:id="rId2" xr:uid="{00000000-0004-0000-0400-000001000000}"/>
  </hyperlinks>
  <pageMargins left="0.39370078740157483" right="0.39370078740157483" top="0.39370078740157483" bottom="0.39370078740157483" header="0" footer="0"/>
  <pageSetup paperSize="9" scale="29" firstPageNumber="0" fitToHeight="5" orientation="portrait" horizontalDpi="300" verticalDpi="300" r:id="rId3"/>
  <headerFooter alignWithMargins="0"/>
  <drawing r:id="rId4"/>
  <legacyDrawing r:id="rId5"/>
  <oleObjects>
    <mc:AlternateContent xmlns:mc="http://schemas.openxmlformats.org/markup-compatibility/2006">
      <mc:Choice Requires="x14">
        <oleObject progId="Equation.3" shapeId="3091" r:id="rId6">
          <objectPr defaultSize="0" autoPict="0" r:id="rId7">
            <anchor moveWithCells="1">
              <from>
                <xdr:col>18</xdr:col>
                <xdr:colOff>9525</xdr:colOff>
                <xdr:row>1010</xdr:row>
                <xdr:rowOff>104775</xdr:rowOff>
              </from>
              <to>
                <xdr:col>20</xdr:col>
                <xdr:colOff>295275</xdr:colOff>
                <xdr:row>1013</xdr:row>
                <xdr:rowOff>28575</xdr:rowOff>
              </to>
            </anchor>
          </objectPr>
        </oleObject>
      </mc:Choice>
      <mc:Fallback>
        <oleObject progId="Equation.3" shapeId="3091" r:id="rId6"/>
      </mc:Fallback>
    </mc:AlternateContent>
    <mc:AlternateContent xmlns:mc="http://schemas.openxmlformats.org/markup-compatibility/2006">
      <mc:Choice Requires="x14">
        <oleObject progId="Equation.3" shapeId="3092" r:id="rId8">
          <objectPr defaultSize="0" autoPict="0" r:id="rId9">
            <anchor moveWithCells="1">
              <from>
                <xdr:col>21</xdr:col>
                <xdr:colOff>28575</xdr:colOff>
                <xdr:row>1024</xdr:row>
                <xdr:rowOff>161925</xdr:rowOff>
              </from>
              <to>
                <xdr:col>25</xdr:col>
                <xdr:colOff>457200</xdr:colOff>
                <xdr:row>1026</xdr:row>
                <xdr:rowOff>76200</xdr:rowOff>
              </to>
            </anchor>
          </objectPr>
        </oleObject>
      </mc:Choice>
      <mc:Fallback>
        <oleObject progId="Equation.3" shapeId="3092" r:id="rId8"/>
      </mc:Fallback>
    </mc:AlternateContent>
    <mc:AlternateContent xmlns:mc="http://schemas.openxmlformats.org/markup-compatibility/2006">
      <mc:Choice Requires="x14">
        <oleObject progId="Equation.3" shapeId="3096" r:id="rId10">
          <objectPr defaultSize="0" autoPict="0" r:id="rId11">
            <anchor moveWithCells="1">
              <from>
                <xdr:col>16</xdr:col>
                <xdr:colOff>257175</xdr:colOff>
                <xdr:row>1006</xdr:row>
                <xdr:rowOff>28575</xdr:rowOff>
              </from>
              <to>
                <xdr:col>24</xdr:col>
                <xdr:colOff>152400</xdr:colOff>
                <xdr:row>1007</xdr:row>
                <xdr:rowOff>104775</xdr:rowOff>
              </to>
            </anchor>
          </objectPr>
        </oleObject>
      </mc:Choice>
      <mc:Fallback>
        <oleObject progId="Equation.3" shapeId="3096" r:id="rId10"/>
      </mc:Fallback>
    </mc:AlternateContent>
    <mc:AlternateContent xmlns:mc="http://schemas.openxmlformats.org/markup-compatibility/2006">
      <mc:Choice Requires="x14">
        <oleObject progId="Equation.3" shapeId="3112" r:id="rId12">
          <objectPr defaultSize="0" autoPict="0" r:id="rId13">
            <anchor moveWithCells="1">
              <from>
                <xdr:col>7</xdr:col>
                <xdr:colOff>9525</xdr:colOff>
                <xdr:row>1017</xdr:row>
                <xdr:rowOff>161925</xdr:rowOff>
              </from>
              <to>
                <xdr:col>10</xdr:col>
                <xdr:colOff>581025</xdr:colOff>
                <xdr:row>1019</xdr:row>
                <xdr:rowOff>142875</xdr:rowOff>
              </to>
            </anchor>
          </objectPr>
        </oleObject>
      </mc:Choice>
      <mc:Fallback>
        <oleObject progId="Equation.3" shapeId="3112" r:id="rId12"/>
      </mc:Fallback>
    </mc:AlternateContent>
    <mc:AlternateContent xmlns:mc="http://schemas.openxmlformats.org/markup-compatibility/2006">
      <mc:Choice Requires="x14">
        <oleObject progId="Equation.3" shapeId="3114" r:id="rId14">
          <objectPr defaultSize="0" autoPict="0" r:id="rId15">
            <anchor moveWithCells="1">
              <from>
                <xdr:col>7</xdr:col>
                <xdr:colOff>9525</xdr:colOff>
                <xdr:row>1014</xdr:row>
                <xdr:rowOff>180975</xdr:rowOff>
              </from>
              <to>
                <xdr:col>11</xdr:col>
                <xdr:colOff>266700</xdr:colOff>
                <xdr:row>1016</xdr:row>
                <xdr:rowOff>66675</xdr:rowOff>
              </to>
            </anchor>
          </objectPr>
        </oleObject>
      </mc:Choice>
      <mc:Fallback>
        <oleObject progId="Equation.3" shapeId="3114" r:id="rId14"/>
      </mc:Fallback>
    </mc:AlternateContent>
    <mc:AlternateContent xmlns:mc="http://schemas.openxmlformats.org/markup-compatibility/2006">
      <mc:Choice Requires="x14">
        <oleObject progId="Equation.3" shapeId="3115" r:id="rId16">
          <objectPr defaultSize="0" autoPict="0" r:id="rId17">
            <anchor moveWithCells="1">
              <from>
                <xdr:col>7</xdr:col>
                <xdr:colOff>9525</xdr:colOff>
                <xdr:row>1016</xdr:row>
                <xdr:rowOff>76200</xdr:rowOff>
              </from>
              <to>
                <xdr:col>11</xdr:col>
                <xdr:colOff>238125</xdr:colOff>
                <xdr:row>1017</xdr:row>
                <xdr:rowOff>161925</xdr:rowOff>
              </to>
            </anchor>
          </objectPr>
        </oleObject>
      </mc:Choice>
      <mc:Fallback>
        <oleObject progId="Equation.3" shapeId="3115" r:id="rId16"/>
      </mc:Fallback>
    </mc:AlternateContent>
    <mc:AlternateContent xmlns:mc="http://schemas.openxmlformats.org/markup-compatibility/2006">
      <mc:Choice Requires="x14">
        <oleObject progId="Equation.3" shapeId="3119" r:id="rId18">
          <objectPr defaultSize="0" autoPict="0" r:id="rId19">
            <anchor moveWithCells="1">
              <from>
                <xdr:col>10</xdr:col>
                <xdr:colOff>0</xdr:colOff>
                <xdr:row>1022</xdr:row>
                <xdr:rowOff>66675</xdr:rowOff>
              </from>
              <to>
                <xdr:col>17</xdr:col>
                <xdr:colOff>276225</xdr:colOff>
                <xdr:row>1024</xdr:row>
                <xdr:rowOff>161925</xdr:rowOff>
              </to>
            </anchor>
          </objectPr>
        </oleObject>
      </mc:Choice>
      <mc:Fallback>
        <oleObject progId="Equation.3" shapeId="3119" r:id="rId18"/>
      </mc:Fallback>
    </mc:AlternateContent>
    <mc:AlternateContent xmlns:mc="http://schemas.openxmlformats.org/markup-compatibility/2006">
      <mc:Choice Requires="x14">
        <oleObject progId="Equation.3" shapeId="3120" r:id="rId20">
          <objectPr defaultSize="0" autoPict="0" r:id="rId21">
            <anchor moveWithCells="1">
              <from>
                <xdr:col>4</xdr:col>
                <xdr:colOff>0</xdr:colOff>
                <xdr:row>1008</xdr:row>
                <xdr:rowOff>0</xdr:rowOff>
              </from>
              <to>
                <xdr:col>11</xdr:col>
                <xdr:colOff>238125</xdr:colOff>
                <xdr:row>1010</xdr:row>
                <xdr:rowOff>85725</xdr:rowOff>
              </to>
            </anchor>
          </objectPr>
        </oleObject>
      </mc:Choice>
      <mc:Fallback>
        <oleObject progId="Equation.3" shapeId="3120" r:id="rId20"/>
      </mc:Fallback>
    </mc:AlternateContent>
    <mc:AlternateContent xmlns:mc="http://schemas.openxmlformats.org/markup-compatibility/2006">
      <mc:Choice Requires="x14">
        <oleObject progId="Equation.3" shapeId="3121" r:id="rId22">
          <objectPr defaultSize="0" autoPict="0" r:id="rId23">
            <anchor moveWithCells="1">
              <from>
                <xdr:col>4</xdr:col>
                <xdr:colOff>0</xdr:colOff>
                <xdr:row>1010</xdr:row>
                <xdr:rowOff>104775</xdr:rowOff>
              </from>
              <to>
                <xdr:col>12</xdr:col>
                <xdr:colOff>238125</xdr:colOff>
                <xdr:row>1013</xdr:row>
                <xdr:rowOff>0</xdr:rowOff>
              </to>
            </anchor>
          </objectPr>
        </oleObject>
      </mc:Choice>
      <mc:Fallback>
        <oleObject progId="Equation.3" shapeId="3121" r:id="rId22"/>
      </mc:Fallback>
    </mc:AlternateContent>
    <mc:AlternateContent xmlns:mc="http://schemas.openxmlformats.org/markup-compatibility/2006">
      <mc:Choice Requires="x14">
        <oleObject progId="Equation.3" shapeId="3122" r:id="rId24">
          <objectPr defaultSize="0" autoPict="0" r:id="rId25">
            <anchor moveWithCells="1">
              <from>
                <xdr:col>1</xdr:col>
                <xdr:colOff>9525</xdr:colOff>
                <xdr:row>1006</xdr:row>
                <xdr:rowOff>104775</xdr:rowOff>
              </from>
              <to>
                <xdr:col>3</xdr:col>
                <xdr:colOff>542925</xdr:colOff>
                <xdr:row>1007</xdr:row>
                <xdr:rowOff>180975</xdr:rowOff>
              </to>
            </anchor>
          </objectPr>
        </oleObject>
      </mc:Choice>
      <mc:Fallback>
        <oleObject progId="Equation.3" shapeId="3122" r:id="rId24"/>
      </mc:Fallback>
    </mc:AlternateContent>
    <mc:AlternateContent xmlns:mc="http://schemas.openxmlformats.org/markup-compatibility/2006">
      <mc:Choice Requires="x14">
        <oleObject progId="Equation.3" shapeId="3124" r:id="rId26">
          <objectPr defaultSize="0" autoPict="0" r:id="rId27">
            <anchor moveWithCells="1">
              <from>
                <xdr:col>10</xdr:col>
                <xdr:colOff>0</xdr:colOff>
                <xdr:row>1024</xdr:row>
                <xdr:rowOff>180975</xdr:rowOff>
              </from>
              <to>
                <xdr:col>16</xdr:col>
                <xdr:colOff>0</xdr:colOff>
                <xdr:row>1026</xdr:row>
                <xdr:rowOff>142875</xdr:rowOff>
              </to>
            </anchor>
          </objectPr>
        </oleObject>
      </mc:Choice>
      <mc:Fallback>
        <oleObject progId="Equation.3" shapeId="3124" r:id="rId26"/>
      </mc:Fallback>
    </mc:AlternateContent>
    <mc:AlternateContent xmlns:mc="http://schemas.openxmlformats.org/markup-compatibility/2006">
      <mc:Choice Requires="x14">
        <oleObject progId="Equation.3" shapeId="3125" r:id="rId28">
          <objectPr defaultSize="0" autoPict="0" r:id="rId29">
            <anchor moveWithCells="1">
              <from>
                <xdr:col>18</xdr:col>
                <xdr:colOff>9525</xdr:colOff>
                <xdr:row>1013</xdr:row>
                <xdr:rowOff>28575</xdr:rowOff>
              </from>
              <to>
                <xdr:col>21</xdr:col>
                <xdr:colOff>28575</xdr:colOff>
                <xdr:row>1014</xdr:row>
                <xdr:rowOff>114300</xdr:rowOff>
              </to>
            </anchor>
          </objectPr>
        </oleObject>
      </mc:Choice>
      <mc:Fallback>
        <oleObject progId="Equation.3" shapeId="3125" r:id="rId28"/>
      </mc:Fallback>
    </mc:AlternateContent>
    <mc:AlternateContent xmlns:mc="http://schemas.openxmlformats.org/markup-compatibility/2006">
      <mc:Choice Requires="x14">
        <oleObject progId="Equation.3" shapeId="3127" r:id="rId30">
          <objectPr defaultSize="0" autoPict="0" r:id="rId31">
            <anchor moveWithCells="1">
              <from>
                <xdr:col>1</xdr:col>
                <xdr:colOff>9525</xdr:colOff>
                <xdr:row>1005</xdr:row>
                <xdr:rowOff>9525</xdr:rowOff>
              </from>
              <to>
                <xdr:col>10</xdr:col>
                <xdr:colOff>409575</xdr:colOff>
                <xdr:row>1006</xdr:row>
                <xdr:rowOff>85725</xdr:rowOff>
              </to>
            </anchor>
          </objectPr>
        </oleObject>
      </mc:Choice>
      <mc:Fallback>
        <oleObject progId="Equation.3" shapeId="3127" r:id="rId30"/>
      </mc:Fallback>
    </mc:AlternateContent>
    <mc:AlternateContent xmlns:mc="http://schemas.openxmlformats.org/markup-compatibility/2006">
      <mc:Choice Requires="x14">
        <oleObject progId="Equation.3" shapeId="3129" r:id="rId32">
          <objectPr defaultSize="0" autoPict="0" r:id="rId33">
            <anchor moveWithCells="1">
              <from>
                <xdr:col>4</xdr:col>
                <xdr:colOff>0</xdr:colOff>
                <xdr:row>1013</xdr:row>
                <xdr:rowOff>9525</xdr:rowOff>
              </from>
              <to>
                <xdr:col>8</xdr:col>
                <xdr:colOff>190500</xdr:colOff>
                <xdr:row>1014</xdr:row>
                <xdr:rowOff>161925</xdr:rowOff>
              </to>
            </anchor>
          </objectPr>
        </oleObject>
      </mc:Choice>
      <mc:Fallback>
        <oleObject progId="Equation.3" shapeId="3129" r:id="rId32"/>
      </mc:Fallback>
    </mc:AlternateContent>
    <mc:AlternateContent xmlns:mc="http://schemas.openxmlformats.org/markup-compatibility/2006">
      <mc:Choice Requires="x14">
        <oleObject progId="Equation.3" shapeId="3131" r:id="rId34">
          <objectPr defaultSize="0" autoPict="0" r:id="rId35">
            <anchor moveWithCells="1">
              <from>
                <xdr:col>20</xdr:col>
                <xdr:colOff>9525</xdr:colOff>
                <xdr:row>1018</xdr:row>
                <xdr:rowOff>47625</xdr:rowOff>
              </from>
              <to>
                <xdr:col>24</xdr:col>
                <xdr:colOff>1076325</xdr:colOff>
                <xdr:row>1019</xdr:row>
                <xdr:rowOff>142875</xdr:rowOff>
              </to>
            </anchor>
          </objectPr>
        </oleObject>
      </mc:Choice>
      <mc:Fallback>
        <oleObject progId="Equation.3" shapeId="3131" r:id="rId34"/>
      </mc:Fallback>
    </mc:AlternateContent>
    <mc:AlternateContent xmlns:mc="http://schemas.openxmlformats.org/markup-compatibility/2006">
      <mc:Choice Requires="x14">
        <oleObject progId="Equation.3" shapeId="3134" r:id="rId36">
          <objectPr defaultSize="0" autoPict="0" r:id="rId37">
            <anchor moveWithCells="1">
              <from>
                <xdr:col>10</xdr:col>
                <xdr:colOff>0</xdr:colOff>
                <xdr:row>1019</xdr:row>
                <xdr:rowOff>142875</xdr:rowOff>
              </from>
              <to>
                <xdr:col>20</xdr:col>
                <xdr:colOff>581025</xdr:colOff>
                <xdr:row>1022</xdr:row>
                <xdr:rowOff>47625</xdr:rowOff>
              </to>
            </anchor>
          </objectPr>
        </oleObject>
      </mc:Choice>
      <mc:Fallback>
        <oleObject progId="Equation.3" shapeId="3134" r:id="rId36"/>
      </mc:Fallback>
    </mc:AlternateContent>
    <mc:AlternateContent xmlns:mc="http://schemas.openxmlformats.org/markup-compatibility/2006">
      <mc:Choice Requires="x14">
        <oleObject progId="Equation.3" shapeId="3135" r:id="rId38">
          <objectPr defaultSize="0" autoPict="0" r:id="rId39">
            <anchor moveWithCells="1">
              <from>
                <xdr:col>12</xdr:col>
                <xdr:colOff>0</xdr:colOff>
                <xdr:row>1018</xdr:row>
                <xdr:rowOff>47625</xdr:rowOff>
              </from>
              <to>
                <xdr:col>19</xdr:col>
                <xdr:colOff>180975</xdr:colOff>
                <xdr:row>1019</xdr:row>
                <xdr:rowOff>142875</xdr:rowOff>
              </to>
            </anchor>
          </objectPr>
        </oleObject>
      </mc:Choice>
      <mc:Fallback>
        <oleObject progId="Equation.3" shapeId="3135" r:id="rId38"/>
      </mc:Fallback>
    </mc:AlternateContent>
    <mc:AlternateContent xmlns:mc="http://schemas.openxmlformats.org/markup-compatibility/2006">
      <mc:Choice Requires="x14">
        <oleObject progId="Equation.3" shapeId="3141" r:id="rId40">
          <objectPr defaultSize="0" autoPict="0" r:id="rId41">
            <anchor moveWithCells="1">
              <from>
                <xdr:col>33</xdr:col>
                <xdr:colOff>9525</xdr:colOff>
                <xdr:row>1007</xdr:row>
                <xdr:rowOff>123825</xdr:rowOff>
              </from>
              <to>
                <xdr:col>37</xdr:col>
                <xdr:colOff>276225</xdr:colOff>
                <xdr:row>1010</xdr:row>
                <xdr:rowOff>76200</xdr:rowOff>
              </to>
            </anchor>
          </objectPr>
        </oleObject>
      </mc:Choice>
      <mc:Fallback>
        <oleObject progId="Equation.3" shapeId="3141" r:id="rId40"/>
      </mc:Fallback>
    </mc:AlternateContent>
    <mc:AlternateContent xmlns:mc="http://schemas.openxmlformats.org/markup-compatibility/2006">
      <mc:Choice Requires="x14">
        <oleObject progId="Equation.3" shapeId="3142" r:id="rId42">
          <objectPr defaultSize="0" autoPict="0" r:id="rId43">
            <anchor moveWithCells="1">
              <from>
                <xdr:col>33</xdr:col>
                <xdr:colOff>9525</xdr:colOff>
                <xdr:row>1010</xdr:row>
                <xdr:rowOff>85725</xdr:rowOff>
              </from>
              <to>
                <xdr:col>35</xdr:col>
                <xdr:colOff>723900</xdr:colOff>
                <xdr:row>1013</xdr:row>
                <xdr:rowOff>47625</xdr:rowOff>
              </to>
            </anchor>
          </objectPr>
        </oleObject>
      </mc:Choice>
      <mc:Fallback>
        <oleObject progId="Equation.3" shapeId="3142" r:id="rId42"/>
      </mc:Fallback>
    </mc:AlternateContent>
    <mc:AlternateContent xmlns:mc="http://schemas.openxmlformats.org/markup-compatibility/2006">
      <mc:Choice Requires="x14">
        <oleObject progId="Equation.3" shapeId="3157" r:id="rId44">
          <objectPr defaultSize="0" autoPict="0" r:id="rId45">
            <anchor moveWithCells="1">
              <from>
                <xdr:col>4</xdr:col>
                <xdr:colOff>0</xdr:colOff>
                <xdr:row>1035</xdr:row>
                <xdr:rowOff>28575</xdr:rowOff>
              </from>
              <to>
                <xdr:col>11</xdr:col>
                <xdr:colOff>561975</xdr:colOff>
                <xdr:row>1038</xdr:row>
                <xdr:rowOff>28575</xdr:rowOff>
              </to>
            </anchor>
          </objectPr>
        </oleObject>
      </mc:Choice>
      <mc:Fallback>
        <oleObject progId="Equation.3" shapeId="3157" r:id="rId44"/>
      </mc:Fallback>
    </mc:AlternateContent>
    <mc:AlternateContent xmlns:mc="http://schemas.openxmlformats.org/markup-compatibility/2006">
      <mc:Choice Requires="x14">
        <oleObject progId="Equation.3" shapeId="3158" r:id="rId46">
          <objectPr defaultSize="0" autoPict="0" r:id="rId47">
            <anchor moveWithCells="1">
              <from>
                <xdr:col>4</xdr:col>
                <xdr:colOff>0</xdr:colOff>
                <xdr:row>1040</xdr:row>
                <xdr:rowOff>28575</xdr:rowOff>
              </from>
              <to>
                <xdr:col>12</xdr:col>
                <xdr:colOff>28575</xdr:colOff>
                <xdr:row>1043</xdr:row>
                <xdr:rowOff>28575</xdr:rowOff>
              </to>
            </anchor>
          </objectPr>
        </oleObject>
      </mc:Choice>
      <mc:Fallback>
        <oleObject progId="Equation.3" shapeId="3158" r:id="rId46"/>
      </mc:Fallback>
    </mc:AlternateContent>
    <mc:AlternateContent xmlns:mc="http://schemas.openxmlformats.org/markup-compatibility/2006">
      <mc:Choice Requires="x14">
        <oleObject progId="Equation.3" shapeId="3161" r:id="rId48">
          <objectPr defaultSize="0" autoPict="0" r:id="rId49">
            <anchor moveWithCells="1">
              <from>
                <xdr:col>18</xdr:col>
                <xdr:colOff>9525</xdr:colOff>
                <xdr:row>1014</xdr:row>
                <xdr:rowOff>123825</xdr:rowOff>
              </from>
              <to>
                <xdr:col>20</xdr:col>
                <xdr:colOff>333375</xdr:colOff>
                <xdr:row>1016</xdr:row>
                <xdr:rowOff>9525</xdr:rowOff>
              </to>
            </anchor>
          </objectPr>
        </oleObject>
      </mc:Choice>
      <mc:Fallback>
        <oleObject progId="Equation.3" shapeId="3161" r:id="rId48"/>
      </mc:Fallback>
    </mc:AlternateContent>
    <mc:AlternateContent xmlns:mc="http://schemas.openxmlformats.org/markup-compatibility/2006">
      <mc:Choice Requires="x14">
        <oleObject progId="Equation.3" shapeId="3162" r:id="rId50">
          <objectPr defaultSize="0" autoPict="0" r:id="rId51">
            <anchor moveWithCells="1">
              <from>
                <xdr:col>16</xdr:col>
                <xdr:colOff>257175</xdr:colOff>
                <xdr:row>1007</xdr:row>
                <xdr:rowOff>114300</xdr:rowOff>
              </from>
              <to>
                <xdr:col>32</xdr:col>
                <xdr:colOff>161925</xdr:colOff>
                <xdr:row>1010</xdr:row>
                <xdr:rowOff>85725</xdr:rowOff>
              </to>
            </anchor>
          </objectPr>
        </oleObject>
      </mc:Choice>
      <mc:Fallback>
        <oleObject progId="Equation.3" shapeId="3162" r:id="rId50"/>
      </mc:Fallback>
    </mc:AlternateContent>
    <mc:AlternateContent xmlns:mc="http://schemas.openxmlformats.org/markup-compatibility/2006">
      <mc:Choice Requires="x14">
        <oleObject progId="Equation.3" shapeId="3167" r:id="rId52">
          <objectPr defaultSize="0" autoPict="0" r:id="rId53">
            <anchor moveWithCells="1">
              <from>
                <xdr:col>4</xdr:col>
                <xdr:colOff>0</xdr:colOff>
                <xdr:row>1055</xdr:row>
                <xdr:rowOff>28575</xdr:rowOff>
              </from>
              <to>
                <xdr:col>12</xdr:col>
                <xdr:colOff>333375</xdr:colOff>
                <xdr:row>1058</xdr:row>
                <xdr:rowOff>47625</xdr:rowOff>
              </to>
            </anchor>
          </objectPr>
        </oleObject>
      </mc:Choice>
      <mc:Fallback>
        <oleObject progId="Equation.3" shapeId="3167" r:id="rId52"/>
      </mc:Fallback>
    </mc:AlternateContent>
    <mc:AlternateContent xmlns:mc="http://schemas.openxmlformats.org/markup-compatibility/2006">
      <mc:Choice Requires="x14">
        <oleObject progId="Equation.3" shapeId="3168" r:id="rId54">
          <objectPr defaultSize="0" autoPict="0" r:id="rId55">
            <anchor moveWithCells="1">
              <from>
                <xdr:col>4</xdr:col>
                <xdr:colOff>0</xdr:colOff>
                <xdr:row>1060</xdr:row>
                <xdr:rowOff>28575</xdr:rowOff>
              </from>
              <to>
                <xdr:col>15</xdr:col>
                <xdr:colOff>47625</xdr:colOff>
                <xdr:row>1063</xdr:row>
                <xdr:rowOff>47625</xdr:rowOff>
              </to>
            </anchor>
          </objectPr>
        </oleObject>
      </mc:Choice>
      <mc:Fallback>
        <oleObject progId="Equation.3" shapeId="3168" r:id="rId54"/>
      </mc:Fallback>
    </mc:AlternateContent>
    <mc:AlternateContent xmlns:mc="http://schemas.openxmlformats.org/markup-compatibility/2006">
      <mc:Choice Requires="x14">
        <oleObject progId="Equation.3" shapeId="3169" r:id="rId56">
          <objectPr defaultSize="0" autoPict="0" r:id="rId57">
            <anchor moveWithCells="1">
              <from>
                <xdr:col>4</xdr:col>
                <xdr:colOff>0</xdr:colOff>
                <xdr:row>1065</xdr:row>
                <xdr:rowOff>28575</xdr:rowOff>
              </from>
              <to>
                <xdr:col>16</xdr:col>
                <xdr:colOff>676275</xdr:colOff>
                <xdr:row>1068</xdr:row>
                <xdr:rowOff>47625</xdr:rowOff>
              </to>
            </anchor>
          </objectPr>
        </oleObject>
      </mc:Choice>
      <mc:Fallback>
        <oleObject progId="Equation.3" shapeId="3169" r:id="rId56"/>
      </mc:Fallback>
    </mc:AlternateContent>
    <mc:AlternateContent xmlns:mc="http://schemas.openxmlformats.org/markup-compatibility/2006">
      <mc:Choice Requires="x14">
        <oleObject progId="Equation.3" shapeId="3173" r:id="rId58">
          <objectPr defaultSize="0" autoPict="0" r:id="rId59">
            <anchor moveWithCells="1">
              <from>
                <xdr:col>4</xdr:col>
                <xdr:colOff>0</xdr:colOff>
                <xdr:row>1045</xdr:row>
                <xdr:rowOff>28575</xdr:rowOff>
              </from>
              <to>
                <xdr:col>16</xdr:col>
                <xdr:colOff>104775</xdr:colOff>
                <xdr:row>1048</xdr:row>
                <xdr:rowOff>28575</xdr:rowOff>
              </to>
            </anchor>
          </objectPr>
        </oleObject>
      </mc:Choice>
      <mc:Fallback>
        <oleObject progId="Equation.3" shapeId="3173" r:id="rId58"/>
      </mc:Fallback>
    </mc:AlternateContent>
    <mc:AlternateContent xmlns:mc="http://schemas.openxmlformats.org/markup-compatibility/2006">
      <mc:Choice Requires="x14">
        <oleObject progId="Equation.3" shapeId="3174" r:id="rId60">
          <objectPr defaultSize="0" autoPict="0" r:id="rId61">
            <anchor moveWithCells="1">
              <from>
                <xdr:col>4</xdr:col>
                <xdr:colOff>0</xdr:colOff>
                <xdr:row>1050</xdr:row>
                <xdr:rowOff>28575</xdr:rowOff>
              </from>
              <to>
                <xdr:col>16</xdr:col>
                <xdr:colOff>390525</xdr:colOff>
                <xdr:row>1053</xdr:row>
                <xdr:rowOff>47625</xdr:rowOff>
              </to>
            </anchor>
          </objectPr>
        </oleObject>
      </mc:Choice>
      <mc:Fallback>
        <oleObject progId="Equation.3" shapeId="3174" r:id="rId60"/>
      </mc:Fallback>
    </mc:AlternateContent>
    <mc:AlternateContent xmlns:mc="http://schemas.openxmlformats.org/markup-compatibility/2006">
      <mc:Choice Requires="x14">
        <oleObject progId="Equation.3" shapeId="3178" r:id="rId62">
          <objectPr defaultSize="0" autoPict="0" r:id="rId63">
            <anchor moveWithCells="1">
              <from>
                <xdr:col>4</xdr:col>
                <xdr:colOff>0</xdr:colOff>
                <xdr:row>1070</xdr:row>
                <xdr:rowOff>28575</xdr:rowOff>
              </from>
              <to>
                <xdr:col>12</xdr:col>
                <xdr:colOff>409575</xdr:colOff>
                <xdr:row>1073</xdr:row>
                <xdr:rowOff>47625</xdr:rowOff>
              </to>
            </anchor>
          </objectPr>
        </oleObject>
      </mc:Choice>
      <mc:Fallback>
        <oleObject progId="Equation.3" shapeId="3178" r:id="rId62"/>
      </mc:Fallback>
    </mc:AlternateContent>
    <mc:AlternateContent xmlns:mc="http://schemas.openxmlformats.org/markup-compatibility/2006">
      <mc:Choice Requires="x14">
        <oleObject progId="Equation.3" shapeId="3188" r:id="rId64">
          <objectPr defaultSize="0" autoPict="0" r:id="rId65">
            <anchor moveWithCells="1">
              <from>
                <xdr:col>19</xdr:col>
                <xdr:colOff>0</xdr:colOff>
                <xdr:row>1053</xdr:row>
                <xdr:rowOff>28575</xdr:rowOff>
              </from>
              <to>
                <xdr:col>32</xdr:col>
                <xdr:colOff>419100</xdr:colOff>
                <xdr:row>1056</xdr:row>
                <xdr:rowOff>28575</xdr:rowOff>
              </to>
            </anchor>
          </objectPr>
        </oleObject>
      </mc:Choice>
      <mc:Fallback>
        <oleObject progId="Equation.3" shapeId="3188" r:id="rId64"/>
      </mc:Fallback>
    </mc:AlternateContent>
    <mc:AlternateContent xmlns:mc="http://schemas.openxmlformats.org/markup-compatibility/2006">
      <mc:Choice Requires="x14">
        <oleObject progId="Equation.3" shapeId="3192" r:id="rId66">
          <objectPr defaultSize="0" autoPict="0" r:id="rId67">
            <anchor moveWithCells="1">
              <from>
                <xdr:col>21</xdr:col>
                <xdr:colOff>28575</xdr:colOff>
                <xdr:row>1022</xdr:row>
                <xdr:rowOff>47625</xdr:rowOff>
              </from>
              <to>
                <xdr:col>32</xdr:col>
                <xdr:colOff>266700</xdr:colOff>
                <xdr:row>1024</xdr:row>
                <xdr:rowOff>142875</xdr:rowOff>
              </to>
            </anchor>
          </objectPr>
        </oleObject>
      </mc:Choice>
      <mc:Fallback>
        <oleObject progId="Equation.3" shapeId="3192" r:id="rId66"/>
      </mc:Fallback>
    </mc:AlternateContent>
    <mc:AlternateContent xmlns:mc="http://schemas.openxmlformats.org/markup-compatibility/2006">
      <mc:Choice Requires="x14">
        <oleObject progId="Equation.3" shapeId="3220" r:id="rId68">
          <objectPr defaultSize="0" autoPict="0" r:id="rId69">
            <anchor moveWithCells="1">
              <from>
                <xdr:col>33</xdr:col>
                <xdr:colOff>0</xdr:colOff>
                <xdr:row>1017</xdr:row>
                <xdr:rowOff>28575</xdr:rowOff>
              </from>
              <to>
                <xdr:col>36</xdr:col>
                <xdr:colOff>161925</xdr:colOff>
                <xdr:row>1020</xdr:row>
                <xdr:rowOff>28575</xdr:rowOff>
              </to>
            </anchor>
          </objectPr>
        </oleObject>
      </mc:Choice>
      <mc:Fallback>
        <oleObject progId="Equation.3" shapeId="3220" r:id="rId68"/>
      </mc:Fallback>
    </mc:AlternateContent>
    <mc:AlternateContent xmlns:mc="http://schemas.openxmlformats.org/markup-compatibility/2006">
      <mc:Choice Requires="x14">
        <oleObject progId="Equation.3" shapeId="3222" r:id="rId70">
          <objectPr defaultSize="0" autoPict="0" r:id="rId71">
            <anchor moveWithCells="1">
              <from>
                <xdr:col>33</xdr:col>
                <xdr:colOff>0</xdr:colOff>
                <xdr:row>1014</xdr:row>
                <xdr:rowOff>0</xdr:rowOff>
              </from>
              <to>
                <xdr:col>36</xdr:col>
                <xdr:colOff>695325</xdr:colOff>
                <xdr:row>1017</xdr:row>
                <xdr:rowOff>0</xdr:rowOff>
              </to>
            </anchor>
          </objectPr>
        </oleObject>
      </mc:Choice>
      <mc:Fallback>
        <oleObject progId="Equation.3" shapeId="3222" r:id="rId70"/>
      </mc:Fallback>
    </mc:AlternateContent>
    <mc:AlternateContent xmlns:mc="http://schemas.openxmlformats.org/markup-compatibility/2006">
      <mc:Choice Requires="x14">
        <oleObject progId="Equation.3" shapeId="3223" r:id="rId72">
          <objectPr defaultSize="0" autoPict="0" r:id="rId73">
            <anchor moveWithCells="1">
              <from>
                <xdr:col>33</xdr:col>
                <xdr:colOff>0</xdr:colOff>
                <xdr:row>1020</xdr:row>
                <xdr:rowOff>47625</xdr:rowOff>
              </from>
              <to>
                <xdr:col>35</xdr:col>
                <xdr:colOff>142875</xdr:colOff>
                <xdr:row>1023</xdr:row>
                <xdr:rowOff>47625</xdr:rowOff>
              </to>
            </anchor>
          </objectPr>
        </oleObject>
      </mc:Choice>
      <mc:Fallback>
        <oleObject progId="Equation.3" shapeId="3223" r:id="rId72"/>
      </mc:Fallback>
    </mc:AlternateContent>
    <mc:AlternateContent xmlns:mc="http://schemas.openxmlformats.org/markup-compatibility/2006">
      <mc:Choice Requires="x14">
        <oleObject progId="Equation.3" shapeId="3225" r:id="rId74">
          <objectPr defaultSize="0" autoPict="0" r:id="rId75">
            <anchor moveWithCells="1">
              <from>
                <xdr:col>33</xdr:col>
                <xdr:colOff>0</xdr:colOff>
                <xdr:row>1023</xdr:row>
                <xdr:rowOff>66675</xdr:rowOff>
              </from>
              <to>
                <xdr:col>36</xdr:col>
                <xdr:colOff>47625</xdr:colOff>
                <xdr:row>1026</xdr:row>
                <xdr:rowOff>66675</xdr:rowOff>
              </to>
            </anchor>
          </objectPr>
        </oleObject>
      </mc:Choice>
      <mc:Fallback>
        <oleObject progId="Equation.3" shapeId="3225" r:id="rId74"/>
      </mc:Fallback>
    </mc:AlternateContent>
    <mc:AlternateContent xmlns:mc="http://schemas.openxmlformats.org/markup-compatibility/2006">
      <mc:Choice Requires="x14">
        <oleObject progId="Equation.3" shapeId="3281" r:id="rId76">
          <objectPr defaultSize="0" autoPict="0" r:id="rId77">
            <anchor moveWithCells="1">
              <from>
                <xdr:col>19</xdr:col>
                <xdr:colOff>0</xdr:colOff>
                <xdr:row>1048</xdr:row>
                <xdr:rowOff>28575</xdr:rowOff>
              </from>
              <to>
                <xdr:col>34</xdr:col>
                <xdr:colOff>352425</xdr:colOff>
                <xdr:row>1051</xdr:row>
                <xdr:rowOff>85725</xdr:rowOff>
              </to>
            </anchor>
          </objectPr>
        </oleObject>
      </mc:Choice>
      <mc:Fallback>
        <oleObject progId="Equation.3" shapeId="3281" r:id="rId76"/>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8">
    <pageSetUpPr fitToPage="1"/>
  </sheetPr>
  <dimension ref="A1:M81"/>
  <sheetViews>
    <sheetView showGridLines="0" zoomScaleNormal="100" workbookViewId="0">
      <selection activeCell="E13" sqref="E13"/>
    </sheetView>
  </sheetViews>
  <sheetFormatPr baseColWidth="10" defaultRowHeight="12.75" x14ac:dyDescent="0.2"/>
  <cols>
    <col min="1" max="1" width="2.140625" customWidth="1"/>
    <col min="2" max="2" width="16.140625" customWidth="1"/>
    <col min="3" max="4" width="11.42578125" customWidth="1"/>
  </cols>
  <sheetData>
    <row r="1" spans="1:13" x14ac:dyDescent="0.2">
      <c r="A1" s="51"/>
      <c r="B1" s="52"/>
      <c r="C1" s="53"/>
      <c r="D1" s="52"/>
      <c r="E1" s="72"/>
      <c r="F1" s="72"/>
      <c r="G1" s="72"/>
      <c r="H1" s="72"/>
      <c r="I1" s="72"/>
      <c r="J1" s="72"/>
      <c r="K1" s="72"/>
      <c r="L1" s="72"/>
      <c r="M1" s="73"/>
    </row>
    <row r="2" spans="1:13" ht="12.75" customHeight="1" x14ac:dyDescent="0.2">
      <c r="A2" s="56"/>
      <c r="B2" s="2"/>
      <c r="C2" s="632" t="s">
        <v>281</v>
      </c>
      <c r="D2" s="632"/>
      <c r="M2" s="75"/>
    </row>
    <row r="3" spans="1:13" ht="12.75" customHeight="1" x14ac:dyDescent="0.2">
      <c r="A3" s="56"/>
      <c r="B3" s="2"/>
      <c r="C3" s="632"/>
      <c r="D3" s="632"/>
      <c r="M3" s="75"/>
    </row>
    <row r="4" spans="1:13" x14ac:dyDescent="0.2">
      <c r="A4" s="56"/>
      <c r="B4" s="2"/>
      <c r="C4" s="636" t="str">
        <f>IF(Lang="Français","Abaques de performance",IF(Lang="English","Performance charts",""))</f>
        <v>Abaques de performance</v>
      </c>
      <c r="D4" s="636"/>
      <c r="M4" s="75"/>
    </row>
    <row r="5" spans="1:13" x14ac:dyDescent="0.2">
      <c r="A5" s="56"/>
      <c r="B5" s="2"/>
      <c r="C5" s="636" t="str">
        <f>IF(Lang="Français","Calcul analytique simple",IF(Lang="English","Analytical computation",""))</f>
        <v>Calcul analytique simple</v>
      </c>
      <c r="D5" s="636"/>
      <c r="M5" s="75"/>
    </row>
    <row r="6" spans="1:13" x14ac:dyDescent="0.2">
      <c r="A6" s="56"/>
      <c r="B6" s="87"/>
      <c r="C6" s="1"/>
      <c r="D6" s="1"/>
      <c r="M6" s="75"/>
    </row>
    <row r="7" spans="1:13" x14ac:dyDescent="0.2">
      <c r="A7" s="59"/>
      <c r="B7" s="6"/>
      <c r="C7" s="612" t="str">
        <f>IF(Lang="Français","Fusée",IF(Lang="English","Rocket",""))</f>
        <v>Fusée</v>
      </c>
      <c r="D7" s="612"/>
      <c r="M7" s="75"/>
    </row>
    <row r="8" spans="1:13" ht="15.75" x14ac:dyDescent="0.25">
      <c r="A8" s="59"/>
      <c r="B8" s="140" t="str">
        <f>IF(Lang="Français","Nom",IF(Lang="English","Name",""))</f>
        <v>Nom</v>
      </c>
      <c r="C8" s="633" t="str">
        <f>Nom</f>
        <v>SP02</v>
      </c>
      <c r="D8" s="633"/>
      <c r="M8" s="75"/>
    </row>
    <row r="9" spans="1:13" ht="15.75" x14ac:dyDescent="0.25">
      <c r="A9" s="59"/>
      <c r="B9" s="140" t="s">
        <v>4</v>
      </c>
      <c r="C9" s="633" t="str">
        <f>Club</f>
        <v>L'AéroIPSA</v>
      </c>
      <c r="D9" s="633"/>
      <c r="M9" s="75"/>
    </row>
    <row r="10" spans="1:13" ht="15.75" x14ac:dyDescent="0.25">
      <c r="A10" s="59"/>
      <c r="B10" s="140" t="s">
        <v>563</v>
      </c>
      <c r="C10" s="662" t="str">
        <f>Matricule</f>
        <v>FX0</v>
      </c>
      <c r="D10" s="663"/>
      <c r="M10" s="75"/>
    </row>
    <row r="11" spans="1:13" x14ac:dyDescent="0.2">
      <c r="A11" s="59"/>
      <c r="B11" s="140" t="str">
        <f>IF(Lang="Français","Masse sans propu",IF(Lang="English","Mass without M",""))</f>
        <v>Masse sans propu</v>
      </c>
      <c r="C11" s="664">
        <f>MasseSans</f>
        <v>6.5</v>
      </c>
      <c r="D11" s="664"/>
      <c r="M11" s="75"/>
    </row>
    <row r="12" spans="1:13" x14ac:dyDescent="0.2">
      <c r="A12" s="59"/>
      <c r="B12" s="140" t="str">
        <f>IF(Lang="Français","Masse totale",IF(Lang="English","Total mass",""))</f>
        <v>Masse totale</v>
      </c>
      <c r="C12" s="667" t="str">
        <f ca="1">MassePlein &amp; " kg ±" &amp; MasseSans &amp; " kg"</f>
        <v>8,132 kg ±6,5 kg</v>
      </c>
      <c r="D12" s="667"/>
      <c r="M12" s="75"/>
    </row>
    <row r="13" spans="1:13" x14ac:dyDescent="0.2">
      <c r="A13" s="59"/>
      <c r="B13" s="227" t="str">
        <f>IF(Lang="Français","Propulseur",IF(Lang="English","Motor",""))</f>
        <v>Propulseur</v>
      </c>
      <c r="C13" s="610" t="str">
        <f>Propu</f>
        <v>Pro54-5G WT</v>
      </c>
      <c r="D13" s="611"/>
      <c r="M13" s="75"/>
    </row>
    <row r="14" spans="1:13" x14ac:dyDescent="0.2">
      <c r="A14" s="59"/>
      <c r="B14" s="1"/>
      <c r="C14" s="1"/>
      <c r="D14" s="1"/>
      <c r="M14" s="75"/>
    </row>
    <row r="15" spans="1:13" x14ac:dyDescent="0.2">
      <c r="A15" s="74"/>
      <c r="C15" s="612" t="str">
        <f>IF(Lang="Français","Traînée Aérdynamique",IF(Lang="English","Drag",""))</f>
        <v>Traînée Aérdynamique</v>
      </c>
      <c r="D15" s="612"/>
      <c r="M15" s="75"/>
    </row>
    <row r="16" spans="1:13" x14ac:dyDescent="0.2">
      <c r="A16" s="74"/>
      <c r="B16" s="139" t="str">
        <f>IF(Lang="Français","Diamètre Ø",IF(Lang="English","Diameter Ø",""))</f>
        <v>Diamètre Ø</v>
      </c>
      <c r="C16" s="665">
        <f>D_ref</f>
        <v>94</v>
      </c>
      <c r="D16" s="665"/>
      <c r="M16" s="75"/>
    </row>
    <row r="17" spans="1:13" x14ac:dyDescent="0.2">
      <c r="A17" s="74"/>
      <c r="B17" s="140" t="s">
        <v>5</v>
      </c>
      <c r="C17" s="666">
        <f>Cx</f>
        <v>0.6</v>
      </c>
      <c r="D17" s="666"/>
      <c r="M17" s="75"/>
    </row>
    <row r="18" spans="1:13" x14ac:dyDescent="0.2">
      <c r="A18" s="74"/>
      <c r="M18" s="75"/>
    </row>
    <row r="19" spans="1:13" x14ac:dyDescent="0.2">
      <c r="A19" s="74"/>
      <c r="M19" s="75"/>
    </row>
    <row r="20" spans="1:13" x14ac:dyDescent="0.2">
      <c r="A20" s="74"/>
      <c r="M20" s="75"/>
    </row>
    <row r="21" spans="1:13" x14ac:dyDescent="0.2">
      <c r="A21" s="74"/>
      <c r="M21" s="75"/>
    </row>
    <row r="22" spans="1:13" x14ac:dyDescent="0.2">
      <c r="A22" s="74"/>
      <c r="M22" s="75"/>
    </row>
    <row r="23" spans="1:13" x14ac:dyDescent="0.2">
      <c r="A23" s="74"/>
      <c r="M23" s="75"/>
    </row>
    <row r="24" spans="1:13" x14ac:dyDescent="0.2">
      <c r="A24" s="74"/>
      <c r="M24" s="75"/>
    </row>
    <row r="25" spans="1:13" x14ac:dyDescent="0.2">
      <c r="A25" s="74"/>
      <c r="M25" s="75"/>
    </row>
    <row r="26" spans="1:13" x14ac:dyDescent="0.2">
      <c r="A26" s="74"/>
      <c r="M26" s="75"/>
    </row>
    <row r="27" spans="1:13" x14ac:dyDescent="0.2">
      <c r="A27" s="74"/>
      <c r="M27" s="75"/>
    </row>
    <row r="28" spans="1:13" x14ac:dyDescent="0.2">
      <c r="A28" s="74"/>
      <c r="M28" s="75"/>
    </row>
    <row r="29" spans="1:13" x14ac:dyDescent="0.2">
      <c r="A29" s="74"/>
      <c r="M29" s="75"/>
    </row>
    <row r="30" spans="1:13" x14ac:dyDescent="0.2">
      <c r="A30" s="74"/>
      <c r="M30" s="75"/>
    </row>
    <row r="31" spans="1:13" x14ac:dyDescent="0.2">
      <c r="A31" s="74"/>
      <c r="M31" s="75"/>
    </row>
    <row r="32" spans="1:13" x14ac:dyDescent="0.2">
      <c r="A32" s="74"/>
      <c r="M32" s="75"/>
    </row>
    <row r="33" spans="1:13" x14ac:dyDescent="0.2">
      <c r="A33" s="74"/>
      <c r="M33" s="75"/>
    </row>
    <row r="34" spans="1:13" x14ac:dyDescent="0.2">
      <c r="A34" s="74"/>
      <c r="M34" s="75"/>
    </row>
    <row r="35" spans="1:13" x14ac:dyDescent="0.2">
      <c r="A35" s="74"/>
      <c r="M35" s="75"/>
    </row>
    <row r="36" spans="1:13" x14ac:dyDescent="0.2">
      <c r="A36" s="74"/>
      <c r="M36" s="75"/>
    </row>
    <row r="37" spans="1:13" ht="13.5" thickBot="1" x14ac:dyDescent="0.25">
      <c r="A37" s="77"/>
      <c r="B37" s="78"/>
      <c r="C37" s="78"/>
      <c r="D37" s="78"/>
      <c r="E37" s="78"/>
      <c r="F37" s="78"/>
      <c r="G37" s="78"/>
      <c r="H37" s="78"/>
      <c r="I37" s="78"/>
      <c r="J37" s="78"/>
      <c r="K37" s="78"/>
      <c r="L37" s="78"/>
      <c r="M37" s="79"/>
    </row>
    <row r="41" spans="1:13" x14ac:dyDescent="0.2">
      <c r="B41" s="419" t="s">
        <v>61</v>
      </c>
      <c r="C41" s="170" t="s">
        <v>285</v>
      </c>
      <c r="D41" s="134" t="s">
        <v>282</v>
      </c>
      <c r="E41" s="134" t="s">
        <v>286</v>
      </c>
      <c r="F41" s="134" t="s">
        <v>287</v>
      </c>
      <c r="G41" s="134" t="s">
        <v>13</v>
      </c>
      <c r="H41" s="134" t="s">
        <v>283</v>
      </c>
      <c r="I41" s="134" t="s">
        <v>284</v>
      </c>
      <c r="J41" s="134" t="s">
        <v>299</v>
      </c>
      <c r="K41" s="134" t="s">
        <v>300</v>
      </c>
      <c r="L41" s="134" t="s">
        <v>302</v>
      </c>
      <c r="M41" s="134" t="s">
        <v>290</v>
      </c>
    </row>
    <row r="42" spans="1:13" x14ac:dyDescent="0.2">
      <c r="B42" s="420" t="s">
        <v>291</v>
      </c>
      <c r="C42" s="170" t="s">
        <v>292</v>
      </c>
      <c r="D42" s="134" t="s">
        <v>293</v>
      </c>
      <c r="E42" s="134" t="s">
        <v>294</v>
      </c>
      <c r="F42" s="134" t="s">
        <v>295</v>
      </c>
      <c r="G42" s="134" t="s">
        <v>296</v>
      </c>
      <c r="H42" s="134" t="s">
        <v>297</v>
      </c>
      <c r="I42" s="134" t="s">
        <v>298</v>
      </c>
      <c r="J42" s="134" t="s">
        <v>288</v>
      </c>
      <c r="K42" s="134" t="s">
        <v>289</v>
      </c>
      <c r="L42" s="134"/>
      <c r="M42" s="134"/>
    </row>
    <row r="43" spans="1:13" x14ac:dyDescent="0.2">
      <c r="B43" s="425">
        <f t="shared" ref="B43:B51" ca="1" si="0">MAX(D_ref*0.5, Diam_propu)</f>
        <v>54</v>
      </c>
      <c r="C43" s="403">
        <f t="shared" ref="C43:C69" ca="1" si="1">1/2*Rho_moyen*PI()*D_var^2/4*Cx/10^6</f>
        <v>8.4165623384160752E-4</v>
      </c>
      <c r="D43" s="400">
        <f ca="1">MpropuPlein+0*MasseSans</f>
        <v>1.6319999999999999</v>
      </c>
      <c r="E43" s="400">
        <f t="shared" ref="E43:E69" ca="1" si="2">m_var - 0.5*m_poudre</f>
        <v>1.141</v>
      </c>
      <c r="F43" s="400">
        <f t="shared" ref="F43:F69" ca="1" si="3">m_var - m_poudre</f>
        <v>0.65</v>
      </c>
      <c r="G43" s="407">
        <f t="shared" ref="G43:G69" ca="1" si="4">MAX(0, (I_total/Temps_fin_propu)/m_prop-g)</f>
        <v>1020.3714198071864</v>
      </c>
      <c r="H43" s="406">
        <f t="shared" ref="H43:H69" ca="1" si="5">Q_var/m_prop</f>
        <v>7.3764788242033962E-4</v>
      </c>
      <c r="I43" s="403">
        <f t="shared" ref="I43:I69" ca="1" si="6">Q_var/m_bal</f>
        <v>1.2948557443717037E-3</v>
      </c>
      <c r="J43" s="403">
        <f t="shared" ref="J43:J69" ca="1" si="7">1/(2*b_prop)*LN(  ((EXP(2*SQRT(a_prop*b_prop)*Temps_fin_propu)+1)^2)  /  (((1+1)^2)*EXP(2*SQRT(a_prop*b_prop)*Temps_fin_propu)))</f>
        <v>1128.923841116238</v>
      </c>
      <c r="K43" s="410">
        <f t="shared" ref="K43:K69" ca="1" si="8">SQRT(a_prop/b_prop)  *  (EXP(2*SQRT(a_prop*b_prop)*Temps_fin_propu)-1)/(EXP(2*SQRT(a_prop*b_prop)*Temps_fin_propu)+1)</f>
        <v>1059.1052405465541</v>
      </c>
      <c r="L43" s="413">
        <f t="shared" ref="L43:L69" ca="1" si="9">alt_prop + 1/(2*b_bal) * LN(1+b_bal/g*V_prop^2)</f>
        <v>3061.3138476180256</v>
      </c>
      <c r="M43" s="416">
        <f t="shared" ref="M43:M69" ca="1" si="10">Temps_fin_propu + ATAN(SQRT(b_bal/g)*V_prop)/SQRT(b_bal*g)</f>
        <v>14.909619717772436</v>
      </c>
    </row>
    <row r="44" spans="1:13" x14ac:dyDescent="0.2">
      <c r="B44" s="426">
        <f t="shared" ca="1" si="0"/>
        <v>54</v>
      </c>
      <c r="C44" s="404">
        <f t="shared" ca="1" si="1"/>
        <v>8.4165623384160752E-4</v>
      </c>
      <c r="D44" s="401">
        <f ca="1">MpropuPlein+0.25*MasseSans</f>
        <v>3.2569999999999997</v>
      </c>
      <c r="E44" s="401">
        <f t="shared" ca="1" si="2"/>
        <v>2.7659999999999996</v>
      </c>
      <c r="F44" s="401">
        <f t="shared" ca="1" si="3"/>
        <v>2.2749999999999999</v>
      </c>
      <c r="G44" s="408">
        <f t="shared" ca="1" si="4"/>
        <v>415.14914678235715</v>
      </c>
      <c r="H44" s="404">
        <f t="shared" ca="1" si="5"/>
        <v>3.0428641859783355E-4</v>
      </c>
      <c r="I44" s="404">
        <f t="shared" ca="1" si="6"/>
        <v>3.6995878410620112E-4</v>
      </c>
      <c r="J44" s="404">
        <f t="shared" ca="1" si="7"/>
        <v>566.59067275941482</v>
      </c>
      <c r="K44" s="411">
        <f t="shared" ca="1" si="8"/>
        <v>630.79610743970238</v>
      </c>
      <c r="L44" s="414">
        <f t="shared" ca="1" si="9"/>
        <v>4314.2487438262588</v>
      </c>
      <c r="M44" s="417">
        <f t="shared" ca="1" si="10"/>
        <v>23.580547642769027</v>
      </c>
    </row>
    <row r="45" spans="1:13" x14ac:dyDescent="0.2">
      <c r="B45" s="426">
        <f t="shared" ca="1" si="0"/>
        <v>54</v>
      </c>
      <c r="C45" s="404">
        <f t="shared" ca="1" si="1"/>
        <v>8.4165623384160752E-4</v>
      </c>
      <c r="D45" s="401">
        <f ca="1">MpropuPlein+0.5*MasseSans</f>
        <v>4.8819999999999997</v>
      </c>
      <c r="E45" s="401">
        <f t="shared" ca="1" si="2"/>
        <v>4.391</v>
      </c>
      <c r="F45" s="401">
        <f t="shared" ca="1" si="3"/>
        <v>3.9</v>
      </c>
      <c r="G45" s="408">
        <f t="shared" ca="1" si="4"/>
        <v>257.88232521065811</v>
      </c>
      <c r="H45" s="404">
        <f t="shared" ca="1" si="5"/>
        <v>1.9167757545925928E-4</v>
      </c>
      <c r="I45" s="404">
        <f t="shared" ca="1" si="6"/>
        <v>2.1580929072861731E-4</v>
      </c>
      <c r="J45" s="404">
        <f t="shared" ca="1" si="7"/>
        <v>364.09177808533042</v>
      </c>
      <c r="K45" s="411">
        <f t="shared" ca="1" si="8"/>
        <v>418.65196882477528</v>
      </c>
      <c r="L45" s="414">
        <f t="shared" ca="1" si="9"/>
        <v>4025.1039904559757</v>
      </c>
      <c r="M45" s="417">
        <f t="shared" ca="1" si="10"/>
        <v>25.601717345792686</v>
      </c>
    </row>
    <row r="46" spans="1:13" x14ac:dyDescent="0.2">
      <c r="B46" s="426">
        <f t="shared" ca="1" si="0"/>
        <v>54</v>
      </c>
      <c r="C46" s="404">
        <f t="shared" ca="1" si="1"/>
        <v>8.4165623384160752E-4</v>
      </c>
      <c r="D46" s="401">
        <f ca="1">MpropuPlein+0.75*MasseSans</f>
        <v>6.5069999999999997</v>
      </c>
      <c r="E46" s="401">
        <f t="shared" ca="1" si="2"/>
        <v>6.016</v>
      </c>
      <c r="F46" s="401">
        <f t="shared" ca="1" si="3"/>
        <v>5.5249999999999995</v>
      </c>
      <c r="G46" s="408">
        <f t="shared" ca="1" si="4"/>
        <v>185.57513962765952</v>
      </c>
      <c r="H46" s="404">
        <f t="shared" ca="1" si="5"/>
        <v>1.3990296440186296E-4</v>
      </c>
      <c r="I46" s="404">
        <f t="shared" ca="1" si="6"/>
        <v>1.5233596992608283E-4</v>
      </c>
      <c r="J46" s="404">
        <f t="shared" ca="1" si="7"/>
        <v>264.86831444381016</v>
      </c>
      <c r="K46" s="411">
        <f t="shared" ca="1" si="8"/>
        <v>307.81729304749655</v>
      </c>
      <c r="L46" s="414">
        <f t="shared" ca="1" si="9"/>
        <v>3234.5193608322843</v>
      </c>
      <c r="M46" s="417">
        <f t="shared" ca="1" si="10"/>
        <v>24.498857351651274</v>
      </c>
    </row>
    <row r="47" spans="1:13" x14ac:dyDescent="0.2">
      <c r="B47" s="426">
        <f t="shared" ca="1" si="0"/>
        <v>54</v>
      </c>
      <c r="C47" s="404">
        <f t="shared" ca="1" si="1"/>
        <v>8.4165623384160752E-4</v>
      </c>
      <c r="D47" s="401">
        <f ca="1">MpropuPlein+1*MasseSans</f>
        <v>8.1319999999999997</v>
      </c>
      <c r="E47" s="401">
        <f t="shared" ca="1" si="2"/>
        <v>7.641</v>
      </c>
      <c r="F47" s="401">
        <f t="shared" ca="1" si="3"/>
        <v>7.1499999999999995</v>
      </c>
      <c r="G47" s="408">
        <f t="shared" ca="1" si="4"/>
        <v>144.02287527810492</v>
      </c>
      <c r="H47" s="404">
        <f t="shared" ca="1" si="5"/>
        <v>1.101500109725962E-4</v>
      </c>
      <c r="I47" s="404">
        <f t="shared" ca="1" si="6"/>
        <v>1.1771415857924581E-4</v>
      </c>
      <c r="J47" s="404">
        <f t="shared" ca="1" si="7"/>
        <v>206.54199299556507</v>
      </c>
      <c r="K47" s="411">
        <f t="shared" ca="1" si="8"/>
        <v>241.16452236128376</v>
      </c>
      <c r="L47" s="414">
        <f t="shared" ca="1" si="9"/>
        <v>2455.1495184790774</v>
      </c>
      <c r="M47" s="417">
        <f t="shared" ca="1" si="10"/>
        <v>22.180121072374057</v>
      </c>
    </row>
    <row r="48" spans="1:13" x14ac:dyDescent="0.2">
      <c r="B48" s="426">
        <f t="shared" ca="1" si="0"/>
        <v>54</v>
      </c>
      <c r="C48" s="404">
        <f t="shared" ca="1" si="1"/>
        <v>8.4165623384160752E-4</v>
      </c>
      <c r="D48" s="401">
        <f ca="1">MpropuPlein+1.25*MasseSans</f>
        <v>9.7569999999999997</v>
      </c>
      <c r="E48" s="401">
        <f t="shared" ca="1" si="2"/>
        <v>9.266</v>
      </c>
      <c r="F48" s="401">
        <f t="shared" ca="1" si="3"/>
        <v>8.7750000000000004</v>
      </c>
      <c r="G48" s="408">
        <f t="shared" ca="1" si="4"/>
        <v>117.04484567235049</v>
      </c>
      <c r="H48" s="404">
        <f t="shared" ca="1" si="5"/>
        <v>9.083274701506664E-5</v>
      </c>
      <c r="I48" s="404">
        <f t="shared" ca="1" si="6"/>
        <v>9.5915240323829907E-5</v>
      </c>
      <c r="J48" s="404">
        <f t="shared" ca="1" si="7"/>
        <v>168.2707457016341</v>
      </c>
      <c r="K48" s="411">
        <f t="shared" ca="1" si="8"/>
        <v>196.96312368528825</v>
      </c>
      <c r="L48" s="414">
        <f t="shared" ca="1" si="9"/>
        <v>1844.6450051743229</v>
      </c>
      <c r="M48" s="417">
        <f t="shared" ca="1" si="10"/>
        <v>19.695770047160899</v>
      </c>
    </row>
    <row r="49" spans="2:13" x14ac:dyDescent="0.2">
      <c r="B49" s="426">
        <f t="shared" ca="1" si="0"/>
        <v>54</v>
      </c>
      <c r="C49" s="404">
        <f t="shared" ca="1" si="1"/>
        <v>8.4165623384160752E-4</v>
      </c>
      <c r="D49" s="401">
        <f ca="1">MpropuPlein+1.5*MasseSans</f>
        <v>11.382</v>
      </c>
      <c r="E49" s="401">
        <f t="shared" ca="1" si="2"/>
        <v>10.891</v>
      </c>
      <c r="F49" s="401">
        <f t="shared" ca="1" si="3"/>
        <v>10.4</v>
      </c>
      <c r="G49" s="408">
        <f t="shared" ca="1" si="4"/>
        <v>98.11737122394635</v>
      </c>
      <c r="H49" s="404">
        <f t="shared" ca="1" si="5"/>
        <v>7.7279977397999033E-5</v>
      </c>
      <c r="I49" s="404">
        <f t="shared" ca="1" si="6"/>
        <v>8.0928484023231484E-5</v>
      </c>
      <c r="J49" s="404">
        <f t="shared" ca="1" si="7"/>
        <v>141.26479397930177</v>
      </c>
      <c r="K49" s="411">
        <f t="shared" ca="1" si="8"/>
        <v>165.59173246301069</v>
      </c>
      <c r="L49" s="414">
        <f t="shared" ca="1" si="9"/>
        <v>1401.1871875608322</v>
      </c>
      <c r="M49" s="417">
        <f t="shared" ca="1" si="10"/>
        <v>17.456082606921775</v>
      </c>
    </row>
    <row r="50" spans="2:13" x14ac:dyDescent="0.2">
      <c r="B50" s="426">
        <f t="shared" ca="1" si="0"/>
        <v>54</v>
      </c>
      <c r="C50" s="404">
        <f t="shared" ca="1" si="1"/>
        <v>8.4165623384160752E-4</v>
      </c>
      <c r="D50" s="401">
        <f ca="1">MpropuPlein+1.75*MasseSans</f>
        <v>13.007</v>
      </c>
      <c r="E50" s="401">
        <f t="shared" ca="1" si="2"/>
        <v>12.516</v>
      </c>
      <c r="F50" s="401">
        <f t="shared" ca="1" si="3"/>
        <v>12.025</v>
      </c>
      <c r="G50" s="408">
        <f t="shared" ca="1" si="4"/>
        <v>84.104749121124925</v>
      </c>
      <c r="H50" s="404">
        <f t="shared" ca="1" si="5"/>
        <v>6.7246423285523128E-5</v>
      </c>
      <c r="I50" s="404">
        <f t="shared" ca="1" si="6"/>
        <v>6.9992202398470478E-5</v>
      </c>
      <c r="J50" s="404">
        <f t="shared" ca="1" si="7"/>
        <v>121.20172471645874</v>
      </c>
      <c r="K50" s="411">
        <f t="shared" ca="1" si="8"/>
        <v>142.2041362281544</v>
      </c>
      <c r="L50" s="414">
        <f t="shared" ca="1" si="9"/>
        <v>1083.9898373539156</v>
      </c>
      <c r="M50" s="417">
        <f t="shared" ca="1" si="10"/>
        <v>15.553438903761432</v>
      </c>
    </row>
    <row r="51" spans="2:13" x14ac:dyDescent="0.2">
      <c r="B51" s="427">
        <f t="shared" ca="1" si="0"/>
        <v>54</v>
      </c>
      <c r="C51" s="405">
        <f t="shared" ca="1" si="1"/>
        <v>8.4165623384160752E-4</v>
      </c>
      <c r="D51" s="402">
        <f ca="1">MpropuPlein+2*MasseSans</f>
        <v>14.632</v>
      </c>
      <c r="E51" s="402">
        <f t="shared" ca="1" si="2"/>
        <v>14.141</v>
      </c>
      <c r="F51" s="402">
        <f t="shared" ca="1" si="3"/>
        <v>13.65</v>
      </c>
      <c r="G51" s="409">
        <f t="shared" ca="1" si="4"/>
        <v>73.312622162506159</v>
      </c>
      <c r="H51" s="405">
        <f t="shared" ca="1" si="5"/>
        <v>5.9518862445485289E-5</v>
      </c>
      <c r="I51" s="405">
        <f t="shared" ca="1" si="6"/>
        <v>6.165979735103352E-5</v>
      </c>
      <c r="J51" s="405">
        <f t="shared" ca="1" si="7"/>
        <v>105.71483291918452</v>
      </c>
      <c r="K51" s="412">
        <f t="shared" ca="1" si="8"/>
        <v>124.1101998213542</v>
      </c>
      <c r="L51" s="415">
        <f t="shared" ca="1" si="9"/>
        <v>855.08171296428986</v>
      </c>
      <c r="M51" s="418">
        <f t="shared" ca="1" si="10"/>
        <v>13.965301371294112</v>
      </c>
    </row>
    <row r="52" spans="2:13" x14ac:dyDescent="0.2">
      <c r="B52" s="425">
        <f t="shared" ref="B52:B60" si="11">D_ref</f>
        <v>94</v>
      </c>
      <c r="C52" s="403">
        <f t="shared" si="1"/>
        <v>2.5503684781290957E-3</v>
      </c>
      <c r="D52" s="400">
        <f ca="1">MpropuPlein+0*MasseSans</f>
        <v>1.6319999999999999</v>
      </c>
      <c r="E52" s="400">
        <f t="shared" ca="1" si="2"/>
        <v>1.141</v>
      </c>
      <c r="F52" s="400">
        <f t="shared" ca="1" si="3"/>
        <v>0.65</v>
      </c>
      <c r="G52" s="407">
        <f t="shared" ca="1" si="4"/>
        <v>1020.3714198071864</v>
      </c>
      <c r="H52" s="403">
        <f t="shared" ca="1" si="5"/>
        <v>2.2352046258800138E-3</v>
      </c>
      <c r="I52" s="403">
        <f t="shared" ca="1" si="6"/>
        <v>3.9236438125063011E-3</v>
      </c>
      <c r="J52" s="403">
        <f t="shared" ca="1" si="7"/>
        <v>841.12383355514953</v>
      </c>
      <c r="K52" s="410">
        <f t="shared" ca="1" si="8"/>
        <v>667.73720698761201</v>
      </c>
      <c r="L52" s="413">
        <f t="shared" ca="1" si="9"/>
        <v>1502.4025672946093</v>
      </c>
      <c r="M52" s="416">
        <f t="shared" ca="1" si="10"/>
        <v>9.3254871286303569</v>
      </c>
    </row>
    <row r="53" spans="2:13" x14ac:dyDescent="0.2">
      <c r="B53" s="426">
        <f t="shared" si="11"/>
        <v>94</v>
      </c>
      <c r="C53" s="404">
        <f t="shared" si="1"/>
        <v>2.5503684781290957E-3</v>
      </c>
      <c r="D53" s="401">
        <f ca="1">MpropuPlein+0.25*MasseSans</f>
        <v>3.2569999999999997</v>
      </c>
      <c r="E53" s="401">
        <f t="shared" ca="1" si="2"/>
        <v>2.7659999999999996</v>
      </c>
      <c r="F53" s="401">
        <f t="shared" ca="1" si="3"/>
        <v>2.2749999999999999</v>
      </c>
      <c r="G53" s="408">
        <f t="shared" ca="1" si="4"/>
        <v>415.14914678235715</v>
      </c>
      <c r="H53" s="404">
        <f t="shared" ca="1" si="5"/>
        <v>9.2204211067573971E-4</v>
      </c>
      <c r="I53" s="404">
        <f t="shared" ca="1" si="6"/>
        <v>1.1210410892875146E-3</v>
      </c>
      <c r="J53" s="404">
        <f t="shared" ca="1" si="7"/>
        <v>513.82398488153888</v>
      </c>
      <c r="K53" s="411">
        <f t="shared" ca="1" si="8"/>
        <v>525.06174290884053</v>
      </c>
      <c r="L53" s="414">
        <f t="shared" ca="1" si="9"/>
        <v>2066.5681709651171</v>
      </c>
      <c r="M53" s="417">
        <f t="shared" ca="1" si="10"/>
        <v>14.997456085008023</v>
      </c>
    </row>
    <row r="54" spans="2:13" x14ac:dyDescent="0.2">
      <c r="B54" s="426">
        <f t="shared" si="11"/>
        <v>94</v>
      </c>
      <c r="C54" s="404">
        <f t="shared" si="1"/>
        <v>2.5503684781290957E-3</v>
      </c>
      <c r="D54" s="401">
        <f ca="1">MpropuPlein+0.5*MasseSans</f>
        <v>4.8819999999999997</v>
      </c>
      <c r="E54" s="401">
        <f t="shared" ca="1" si="2"/>
        <v>4.391</v>
      </c>
      <c r="F54" s="401">
        <f t="shared" ca="1" si="3"/>
        <v>3.9</v>
      </c>
      <c r="G54" s="408">
        <f t="shared" ca="1" si="4"/>
        <v>257.88232521065811</v>
      </c>
      <c r="H54" s="404">
        <f t="shared" ca="1" si="5"/>
        <v>5.8081723482785147E-4</v>
      </c>
      <c r="I54" s="404">
        <f t="shared" ca="1" si="6"/>
        <v>6.5394063541771681E-4</v>
      </c>
      <c r="J54" s="404">
        <f t="shared" ca="1" si="7"/>
        <v>348.50122201543303</v>
      </c>
      <c r="K54" s="411">
        <f t="shared" ca="1" si="8"/>
        <v>384.46319970037212</v>
      </c>
      <c r="L54" s="414">
        <f t="shared" ca="1" si="9"/>
        <v>2171.6508500716486</v>
      </c>
      <c r="M54" s="417">
        <f t="shared" ca="1" si="10"/>
        <v>17.461188056998584</v>
      </c>
    </row>
    <row r="55" spans="2:13" x14ac:dyDescent="0.2">
      <c r="B55" s="426">
        <f t="shared" si="11"/>
        <v>94</v>
      </c>
      <c r="C55" s="404">
        <f t="shared" si="1"/>
        <v>2.5503684781290957E-3</v>
      </c>
      <c r="D55" s="401">
        <f ca="1">MpropuPlein+0.75*MasseSans</f>
        <v>6.5069999999999997</v>
      </c>
      <c r="E55" s="401">
        <f t="shared" ca="1" si="2"/>
        <v>6.016</v>
      </c>
      <c r="F55" s="401">
        <f t="shared" ca="1" si="3"/>
        <v>5.5249999999999995</v>
      </c>
      <c r="G55" s="408">
        <f t="shared" ca="1" si="4"/>
        <v>185.57513962765952</v>
      </c>
      <c r="H55" s="404">
        <f t="shared" ca="1" si="5"/>
        <v>4.2393093054007576E-4</v>
      </c>
      <c r="I55" s="404">
        <f t="shared" ca="1" si="6"/>
        <v>4.6160515441250603E-4</v>
      </c>
      <c r="J55" s="404">
        <f t="shared" ca="1" si="7"/>
        <v>258.57124068504203</v>
      </c>
      <c r="K55" s="411">
        <f t="shared" ca="1" si="8"/>
        <v>293.55995228667354</v>
      </c>
      <c r="L55" s="414">
        <f t="shared" ca="1" si="9"/>
        <v>2013.7357630176978</v>
      </c>
      <c r="M55" s="417">
        <f t="shared" ca="1" si="10"/>
        <v>18.193194804014148</v>
      </c>
    </row>
    <row r="56" spans="2:13" x14ac:dyDescent="0.2">
      <c r="B56" s="426">
        <f t="shared" si="11"/>
        <v>94</v>
      </c>
      <c r="C56" s="404">
        <f t="shared" si="1"/>
        <v>2.5503684781290957E-3</v>
      </c>
      <c r="D56" s="401">
        <f ca="1">MpropuPlein+1*MasseSans</f>
        <v>8.1319999999999997</v>
      </c>
      <c r="E56" s="401">
        <f t="shared" ca="1" si="2"/>
        <v>7.641</v>
      </c>
      <c r="F56" s="401">
        <f t="shared" ca="1" si="3"/>
        <v>7.1499999999999995</v>
      </c>
      <c r="G56" s="408">
        <f t="shared" ca="1" si="4"/>
        <v>144.02287527810492</v>
      </c>
      <c r="H56" s="404">
        <f t="shared" ca="1" si="5"/>
        <v>3.3377417591010284E-4</v>
      </c>
      <c r="I56" s="404">
        <f t="shared" ca="1" si="6"/>
        <v>3.5669489204602739E-4</v>
      </c>
      <c r="J56" s="404">
        <f t="shared" ca="1" si="7"/>
        <v>203.46566482941668</v>
      </c>
      <c r="K56" s="411">
        <f t="shared" ca="1" si="8"/>
        <v>234.09728483296954</v>
      </c>
      <c r="L56" s="414">
        <f t="shared" ca="1" si="9"/>
        <v>1739.9936346661259</v>
      </c>
      <c r="M56" s="417">
        <f t="shared" ca="1" si="10"/>
        <v>17.834927092124428</v>
      </c>
    </row>
    <row r="57" spans="2:13" x14ac:dyDescent="0.2">
      <c r="B57" s="426">
        <f t="shared" si="11"/>
        <v>94</v>
      </c>
      <c r="C57" s="404">
        <f t="shared" si="1"/>
        <v>2.5503684781290957E-3</v>
      </c>
      <c r="D57" s="401">
        <f ca="1">MpropuPlein+1.25*MasseSans</f>
        <v>9.7569999999999997</v>
      </c>
      <c r="E57" s="401">
        <f t="shared" ca="1" si="2"/>
        <v>9.266</v>
      </c>
      <c r="F57" s="401">
        <f t="shared" ca="1" si="3"/>
        <v>8.7750000000000004</v>
      </c>
      <c r="G57" s="408">
        <f t="shared" ca="1" si="4"/>
        <v>117.04484567235049</v>
      </c>
      <c r="H57" s="404">
        <f t="shared" ca="1" si="5"/>
        <v>2.7523942133920738E-4</v>
      </c>
      <c r="I57" s="404">
        <f t="shared" ca="1" si="6"/>
        <v>2.9064028240787415E-4</v>
      </c>
      <c r="J57" s="404">
        <f t="shared" ca="1" si="7"/>
        <v>166.56877327626933</v>
      </c>
      <c r="K57" s="411">
        <f t="shared" ca="1" si="8"/>
        <v>193.02279790338014</v>
      </c>
      <c r="L57" s="414">
        <f t="shared" ca="1" si="9"/>
        <v>1446.0914961819631</v>
      </c>
      <c r="M57" s="417">
        <f t="shared" ca="1" si="10"/>
        <v>16.871151246410776</v>
      </c>
    </row>
    <row r="58" spans="2:13" x14ac:dyDescent="0.2">
      <c r="B58" s="426">
        <f t="shared" si="11"/>
        <v>94</v>
      </c>
      <c r="C58" s="404">
        <f t="shared" si="1"/>
        <v>2.5503684781290957E-3</v>
      </c>
      <c r="D58" s="401">
        <f ca="1">MpropuPlein+1.5*MasseSans</f>
        <v>11.382</v>
      </c>
      <c r="E58" s="401">
        <f t="shared" ca="1" si="2"/>
        <v>10.891</v>
      </c>
      <c r="F58" s="401">
        <f t="shared" ca="1" si="3"/>
        <v>10.4</v>
      </c>
      <c r="G58" s="408">
        <f t="shared" ca="1" si="4"/>
        <v>98.11737122394635</v>
      </c>
      <c r="H58" s="404">
        <f t="shared" ca="1" si="5"/>
        <v>2.3417211258186537E-4</v>
      </c>
      <c r="I58" s="404">
        <f t="shared" ca="1" si="6"/>
        <v>2.4522773828164382E-4</v>
      </c>
      <c r="J58" s="404">
        <f t="shared" ca="1" si="7"/>
        <v>140.23777003578959</v>
      </c>
      <c r="K58" s="411">
        <f t="shared" ca="1" si="8"/>
        <v>163.20310270545301</v>
      </c>
      <c r="L58" s="414">
        <f t="shared" ca="1" si="9"/>
        <v>1180.7359283652427</v>
      </c>
      <c r="M58" s="417">
        <f t="shared" ca="1" si="10"/>
        <v>15.653910833025884</v>
      </c>
    </row>
    <row r="59" spans="2:13" x14ac:dyDescent="0.2">
      <c r="B59" s="426">
        <f t="shared" si="11"/>
        <v>94</v>
      </c>
      <c r="C59" s="404">
        <f t="shared" si="1"/>
        <v>2.5503684781290957E-3</v>
      </c>
      <c r="D59" s="401">
        <f ca="1">MpropuPlein+1.75*MasseSans</f>
        <v>13.007</v>
      </c>
      <c r="E59" s="401">
        <f t="shared" ca="1" si="2"/>
        <v>12.516</v>
      </c>
      <c r="F59" s="401">
        <f t="shared" ca="1" si="3"/>
        <v>12.025</v>
      </c>
      <c r="G59" s="408">
        <f t="shared" ca="1" si="4"/>
        <v>84.104749121124925</v>
      </c>
      <c r="H59" s="404">
        <f t="shared" ca="1" si="5"/>
        <v>2.0376865437273057E-4</v>
      </c>
      <c r="I59" s="404">
        <f t="shared" ca="1" si="6"/>
        <v>2.1208885473007031E-4</v>
      </c>
      <c r="J59" s="404">
        <f t="shared" ca="1" si="7"/>
        <v>120.54120413121527</v>
      </c>
      <c r="K59" s="411">
        <f t="shared" ca="1" si="8"/>
        <v>140.66341973227421</v>
      </c>
      <c r="L59" s="414">
        <f t="shared" ca="1" si="9"/>
        <v>960.08173421164781</v>
      </c>
      <c r="M59" s="417">
        <f t="shared" ca="1" si="10"/>
        <v>14.398244212002972</v>
      </c>
    </row>
    <row r="60" spans="2:13" x14ac:dyDescent="0.2">
      <c r="B60" s="427">
        <f t="shared" si="11"/>
        <v>94</v>
      </c>
      <c r="C60" s="405">
        <f t="shared" si="1"/>
        <v>2.5503684781290957E-3</v>
      </c>
      <c r="D60" s="402">
        <f ca="1">MpropuPlein+2*MasseSans</f>
        <v>14.632</v>
      </c>
      <c r="E60" s="402">
        <f t="shared" ca="1" si="2"/>
        <v>14.141</v>
      </c>
      <c r="F60" s="402">
        <f t="shared" ca="1" si="3"/>
        <v>13.65</v>
      </c>
      <c r="G60" s="409">
        <f t="shared" ca="1" si="4"/>
        <v>73.312622162506159</v>
      </c>
      <c r="H60" s="405">
        <f t="shared" ca="1" si="5"/>
        <v>1.8035276699873386E-4</v>
      </c>
      <c r="I60" s="405">
        <f t="shared" ca="1" si="6"/>
        <v>1.8684018154791908E-4</v>
      </c>
      <c r="J60" s="405">
        <f t="shared" ca="1" si="7"/>
        <v>105.26885988227809</v>
      </c>
      <c r="K60" s="412">
        <f t="shared" ca="1" si="8"/>
        <v>123.06788117734355</v>
      </c>
      <c r="L60" s="415">
        <f t="shared" ca="1" si="9"/>
        <v>783.52324994274829</v>
      </c>
      <c r="M60" s="418">
        <f t="shared" ca="1" si="10"/>
        <v>13.212454025698165</v>
      </c>
    </row>
    <row r="61" spans="2:13" x14ac:dyDescent="0.2">
      <c r="B61" s="425">
        <f t="shared" ref="B61:B69" si="12">D_ref*1.5</f>
        <v>141</v>
      </c>
      <c r="C61" s="403">
        <f t="shared" si="1"/>
        <v>5.7383290757904671E-3</v>
      </c>
      <c r="D61" s="400">
        <f ca="1">MpropuPlein+0*MasseSans</f>
        <v>1.6319999999999999</v>
      </c>
      <c r="E61" s="400">
        <f t="shared" ca="1" si="2"/>
        <v>1.141</v>
      </c>
      <c r="F61" s="400">
        <f t="shared" ca="1" si="3"/>
        <v>0.65</v>
      </c>
      <c r="G61" s="407">
        <f t="shared" ca="1" si="4"/>
        <v>1020.3714198071864</v>
      </c>
      <c r="H61" s="403">
        <f t="shared" ca="1" si="5"/>
        <v>5.0292104082300323E-3</v>
      </c>
      <c r="I61" s="403">
        <f t="shared" ca="1" si="6"/>
        <v>8.8281985781391795E-3</v>
      </c>
      <c r="J61" s="403">
        <f t="shared" ca="1" si="7"/>
        <v>627.99998279218073</v>
      </c>
      <c r="K61" s="410">
        <f t="shared" ca="1" si="8"/>
        <v>450.02509899304169</v>
      </c>
      <c r="L61" s="413">
        <f t="shared" ca="1" si="9"/>
        <v>923.12655666836997</v>
      </c>
      <c r="M61" s="416">
        <f t="shared" ca="1" si="10"/>
        <v>6.7863948180594518</v>
      </c>
    </row>
    <row r="62" spans="2:13" x14ac:dyDescent="0.2">
      <c r="B62" s="426">
        <f t="shared" si="12"/>
        <v>141</v>
      </c>
      <c r="C62" s="404">
        <f t="shared" si="1"/>
        <v>5.7383290757904671E-3</v>
      </c>
      <c r="D62" s="401">
        <f ca="1">MpropuPlein+0.25*MasseSans</f>
        <v>3.2569999999999997</v>
      </c>
      <c r="E62" s="401">
        <f t="shared" ca="1" si="2"/>
        <v>2.7659999999999996</v>
      </c>
      <c r="F62" s="401">
        <f t="shared" ca="1" si="3"/>
        <v>2.2749999999999999</v>
      </c>
      <c r="G62" s="408">
        <f t="shared" ca="1" si="4"/>
        <v>415.14914678235715</v>
      </c>
      <c r="H62" s="404">
        <f t="shared" ca="1" si="5"/>
        <v>2.0745947490204151E-3</v>
      </c>
      <c r="I62" s="404">
        <f t="shared" ca="1" si="6"/>
        <v>2.5223424508969087E-3</v>
      </c>
      <c r="J62" s="404">
        <f t="shared" ca="1" si="7"/>
        <v>446.48152748095021</v>
      </c>
      <c r="K62" s="411">
        <f t="shared" ca="1" si="8"/>
        <v>410.76244729966055</v>
      </c>
      <c r="L62" s="414">
        <f t="shared" ca="1" si="9"/>
        <v>1198.3321720768479</v>
      </c>
      <c r="M62" s="417">
        <f t="shared" ca="1" si="10"/>
        <v>10.727953091736167</v>
      </c>
    </row>
    <row r="63" spans="2:13" x14ac:dyDescent="0.2">
      <c r="B63" s="426">
        <f t="shared" si="12"/>
        <v>141</v>
      </c>
      <c r="C63" s="404">
        <f t="shared" si="1"/>
        <v>5.7383290757904671E-3</v>
      </c>
      <c r="D63" s="401">
        <f ca="1">MpropuPlein+0.5*MasseSans</f>
        <v>4.8819999999999997</v>
      </c>
      <c r="E63" s="401">
        <f t="shared" ca="1" si="2"/>
        <v>4.391</v>
      </c>
      <c r="F63" s="401">
        <f t="shared" ca="1" si="3"/>
        <v>3.9</v>
      </c>
      <c r="G63" s="408">
        <f t="shared" ca="1" si="4"/>
        <v>257.88232521065811</v>
      </c>
      <c r="H63" s="404">
        <f t="shared" ca="1" si="5"/>
        <v>1.3068387783626663E-3</v>
      </c>
      <c r="I63" s="404">
        <f t="shared" ca="1" si="6"/>
        <v>1.4713664296898633E-3</v>
      </c>
      <c r="J63" s="404">
        <f t="shared" ca="1" si="7"/>
        <v>324.32160069776586</v>
      </c>
      <c r="K63" s="411">
        <f t="shared" ca="1" si="8"/>
        <v>335.84716368772894</v>
      </c>
      <c r="L63" s="414">
        <f t="shared" ca="1" si="9"/>
        <v>1304.9664288331119</v>
      </c>
      <c r="M63" s="417">
        <f t="shared" ca="1" si="10"/>
        <v>12.789352336206811</v>
      </c>
    </row>
    <row r="64" spans="2:13" x14ac:dyDescent="0.2">
      <c r="B64" s="426">
        <f t="shared" si="12"/>
        <v>141</v>
      </c>
      <c r="C64" s="404">
        <f t="shared" si="1"/>
        <v>5.7383290757904671E-3</v>
      </c>
      <c r="D64" s="401">
        <f ca="1">MpropuPlein+0.75*MasseSans</f>
        <v>6.5069999999999997</v>
      </c>
      <c r="E64" s="401">
        <f t="shared" ca="1" si="2"/>
        <v>6.016</v>
      </c>
      <c r="F64" s="401">
        <f t="shared" ca="1" si="3"/>
        <v>5.5249999999999995</v>
      </c>
      <c r="G64" s="408">
        <f t="shared" ca="1" si="4"/>
        <v>185.57513962765952</v>
      </c>
      <c r="H64" s="404">
        <f t="shared" ca="1" si="5"/>
        <v>9.5384459371517069E-4</v>
      </c>
      <c r="I64" s="404">
        <f t="shared" ca="1" si="6"/>
        <v>1.0386115974281389E-3</v>
      </c>
      <c r="J64" s="404">
        <f t="shared" ca="1" si="7"/>
        <v>247.99620915470621</v>
      </c>
      <c r="K64" s="411">
        <f t="shared" ca="1" si="8"/>
        <v>270.80246687763793</v>
      </c>
      <c r="L64" s="414">
        <f t="shared" ca="1" si="9"/>
        <v>1292.9779489308189</v>
      </c>
      <c r="M64" s="417">
        <f t="shared" ca="1" si="10"/>
        <v>13.848151597150892</v>
      </c>
    </row>
    <row r="65" spans="2:13" x14ac:dyDescent="0.2">
      <c r="B65" s="426">
        <f t="shared" si="12"/>
        <v>141</v>
      </c>
      <c r="C65" s="404">
        <f t="shared" si="1"/>
        <v>5.7383290757904671E-3</v>
      </c>
      <c r="D65" s="401">
        <f ca="1">MpropuPlein+1*MasseSans</f>
        <v>8.1319999999999997</v>
      </c>
      <c r="E65" s="401">
        <f t="shared" ca="1" si="2"/>
        <v>7.641</v>
      </c>
      <c r="F65" s="401">
        <f t="shared" ca="1" si="3"/>
        <v>7.1499999999999995</v>
      </c>
      <c r="G65" s="408">
        <f t="shared" ca="1" si="4"/>
        <v>144.02287527810492</v>
      </c>
      <c r="H65" s="404">
        <f t="shared" ca="1" si="5"/>
        <v>7.5099189579773157E-4</v>
      </c>
      <c r="I65" s="404">
        <f t="shared" ca="1" si="6"/>
        <v>8.0256350710356189E-4</v>
      </c>
      <c r="J65" s="404">
        <f t="shared" ca="1" si="7"/>
        <v>198.09682400140207</v>
      </c>
      <c r="K65" s="411">
        <f t="shared" ca="1" si="8"/>
        <v>222.1596045531553</v>
      </c>
      <c r="L65" s="414">
        <f t="shared" ca="1" si="9"/>
        <v>1205.4698760600727</v>
      </c>
      <c r="M65" s="417">
        <f t="shared" ca="1" si="10"/>
        <v>14.198768580460191</v>
      </c>
    </row>
    <row r="66" spans="2:13" x14ac:dyDescent="0.2">
      <c r="B66" s="426">
        <f t="shared" si="12"/>
        <v>141</v>
      </c>
      <c r="C66" s="404">
        <f t="shared" si="1"/>
        <v>5.7383290757904671E-3</v>
      </c>
      <c r="D66" s="401">
        <f ca="1">MpropuPlein+1.25*MasseSans</f>
        <v>9.7569999999999997</v>
      </c>
      <c r="E66" s="401">
        <f t="shared" ca="1" si="2"/>
        <v>9.266</v>
      </c>
      <c r="F66" s="401">
        <f t="shared" ca="1" si="3"/>
        <v>8.7750000000000004</v>
      </c>
      <c r="G66" s="408">
        <f t="shared" ca="1" si="4"/>
        <v>117.04484567235049</v>
      </c>
      <c r="H66" s="404">
        <f t="shared" ca="1" si="5"/>
        <v>6.1928869801321684E-4</v>
      </c>
      <c r="I66" s="404">
        <f t="shared" ca="1" si="6"/>
        <v>6.5394063541771702E-4</v>
      </c>
      <c r="J66" s="404">
        <f t="shared" ca="1" si="7"/>
        <v>163.53511711219056</v>
      </c>
      <c r="K66" s="411">
        <f t="shared" ca="1" si="8"/>
        <v>186.15557596729406</v>
      </c>
      <c r="L66" s="414">
        <f t="shared" ca="1" si="9"/>
        <v>1078.7277876058754</v>
      </c>
      <c r="M66" s="417">
        <f t="shared" ca="1" si="10"/>
        <v>14.046094096261053</v>
      </c>
    </row>
    <row r="67" spans="2:13" x14ac:dyDescent="0.2">
      <c r="B67" s="426">
        <f t="shared" si="12"/>
        <v>141</v>
      </c>
      <c r="C67" s="404">
        <f t="shared" si="1"/>
        <v>5.7383290757904671E-3</v>
      </c>
      <c r="D67" s="401">
        <f ca="1">MpropuPlein+1.5*MasseSans</f>
        <v>11.382</v>
      </c>
      <c r="E67" s="401">
        <f t="shared" ca="1" si="2"/>
        <v>10.891</v>
      </c>
      <c r="F67" s="401">
        <f t="shared" ca="1" si="3"/>
        <v>10.4</v>
      </c>
      <c r="G67" s="408">
        <f t="shared" ca="1" si="4"/>
        <v>98.11737122394635</v>
      </c>
      <c r="H67" s="404">
        <f t="shared" ca="1" si="5"/>
        <v>5.2688725330919727E-4</v>
      </c>
      <c r="I67" s="404">
        <f t="shared" ca="1" si="6"/>
        <v>5.5176241113369872E-4</v>
      </c>
      <c r="J67" s="404">
        <f t="shared" ca="1" si="7"/>
        <v>138.3837706760257</v>
      </c>
      <c r="K67" s="411">
        <f t="shared" ca="1" si="8"/>
        <v>158.96082854710428</v>
      </c>
      <c r="L67" s="414">
        <f t="shared" ca="1" si="9"/>
        <v>939.70175577638986</v>
      </c>
      <c r="M67" s="417">
        <f t="shared" ca="1" si="10"/>
        <v>13.563661102215002</v>
      </c>
    </row>
    <row r="68" spans="2:13" x14ac:dyDescent="0.2">
      <c r="B68" s="426">
        <f t="shared" si="12"/>
        <v>141</v>
      </c>
      <c r="C68" s="404">
        <f t="shared" si="1"/>
        <v>5.7383290757904671E-3</v>
      </c>
      <c r="D68" s="401">
        <f ca="1">MpropuPlein+1.75*MasseSans</f>
        <v>13.007</v>
      </c>
      <c r="E68" s="401">
        <f t="shared" ca="1" si="2"/>
        <v>12.516</v>
      </c>
      <c r="F68" s="401">
        <f t="shared" ca="1" si="3"/>
        <v>12.025</v>
      </c>
      <c r="G68" s="408">
        <f t="shared" ca="1" si="4"/>
        <v>84.104749121124925</v>
      </c>
      <c r="H68" s="404">
        <f t="shared" ca="1" si="5"/>
        <v>4.5847947233864392E-4</v>
      </c>
      <c r="I68" s="404">
        <f t="shared" ca="1" si="6"/>
        <v>4.7719992314265838E-4</v>
      </c>
      <c r="J68" s="404">
        <f t="shared" ca="1" si="7"/>
        <v>119.33902287604148</v>
      </c>
      <c r="K68" s="411">
        <f t="shared" ca="1" si="8"/>
        <v>137.89347917553934</v>
      </c>
      <c r="L68" s="414">
        <f t="shared" ca="1" si="9"/>
        <v>805.53005189951273</v>
      </c>
      <c r="M68" s="417">
        <f t="shared" ca="1" si="10"/>
        <v>12.8940467683375</v>
      </c>
    </row>
    <row r="69" spans="2:13" x14ac:dyDescent="0.2">
      <c r="B69" s="427">
        <f t="shared" si="12"/>
        <v>141</v>
      </c>
      <c r="C69" s="405">
        <f t="shared" si="1"/>
        <v>5.7383290757904671E-3</v>
      </c>
      <c r="D69" s="402">
        <f ca="1">MpropuPlein+2*MasseSans</f>
        <v>14.632</v>
      </c>
      <c r="E69" s="402">
        <f t="shared" ca="1" si="2"/>
        <v>14.141</v>
      </c>
      <c r="F69" s="402">
        <f t="shared" ca="1" si="3"/>
        <v>13.65</v>
      </c>
      <c r="G69" s="409">
        <f t="shared" ca="1" si="4"/>
        <v>73.312622162506159</v>
      </c>
      <c r="H69" s="405">
        <f t="shared" ca="1" si="5"/>
        <v>4.0579372574715134E-4</v>
      </c>
      <c r="I69" s="405">
        <f t="shared" ca="1" si="6"/>
        <v>4.2039040848281808E-4</v>
      </c>
      <c r="J69" s="405">
        <f t="shared" ca="1" si="7"/>
        <v>104.4526399130613</v>
      </c>
      <c r="K69" s="412">
        <f t="shared" ca="1" si="8"/>
        <v>121.17835417754087</v>
      </c>
      <c r="L69" s="415">
        <f t="shared" ca="1" si="9"/>
        <v>685.0192539896143</v>
      </c>
      <c r="M69" s="418">
        <f t="shared" ca="1" si="10"/>
        <v>12.142754956555315</v>
      </c>
    </row>
    <row r="73" spans="2:13" x14ac:dyDescent="0.2">
      <c r="B73" s="24" t="str">
        <f>IF(Lang="Français","Textes pour les graphiques :","Texts for graphics :")</f>
        <v>Textes pour les graphiques :</v>
      </c>
    </row>
    <row r="75" spans="2:13" x14ac:dyDescent="0.2">
      <c r="B75" t="str">
        <f>IF(Lang="Français","Masse totale",IF(Lang="English","Total Mass",""))</f>
        <v>Masse totale</v>
      </c>
    </row>
    <row r="76" spans="2:13" x14ac:dyDescent="0.2">
      <c r="B76" t="str">
        <f>IF(Lang="Français","Vitesse max",IF(Lang="English","Max Velocity",""))</f>
        <v>Vitesse max</v>
      </c>
    </row>
    <row r="77" spans="2:13" x14ac:dyDescent="0.2">
      <c r="B77" t="str">
        <f>Abaco!$B$76 &amp; " / " &amp; Abaco!$B$75</f>
        <v>Vitesse max / Masse totale</v>
      </c>
    </row>
    <row r="78" spans="2:13" x14ac:dyDescent="0.2">
      <c r="B78" t="str">
        <f>IF(Lang="Français","Altitude max",IF(Lang="English","Max Altitude",""))</f>
        <v>Altitude max</v>
      </c>
    </row>
    <row r="79" spans="2:13" x14ac:dyDescent="0.2">
      <c r="B79" t="str">
        <f>Abaco!$B$78 &amp; " / " &amp; Abaco!$B$75</f>
        <v>Altitude max / Masse totale</v>
      </c>
    </row>
    <row r="80" spans="2:13" x14ac:dyDescent="0.2">
      <c r="B80" t="str">
        <f>IF(Lang="Français","Temps de culmination",IF(Lang="English","Apogee time",""))</f>
        <v>Temps de culmination</v>
      </c>
    </row>
    <row r="81" spans="2:2" x14ac:dyDescent="0.2">
      <c r="B81" t="str">
        <f>Abaco!$B$80 &amp; " / " &amp; Abaco!$B$75</f>
        <v>Temps de culmination / Masse totale</v>
      </c>
    </row>
  </sheetData>
  <sheetProtection algorithmName="SHA-512" hashValue="+PTrTvch0rD/oo5wbJAiLSXEwsZuHYCw11E5jJpN7UFv8bqEgAVA+seu72dez5dZDB7fUdwejfBNAFZdr7g5pg==" saltValue="gnM8LKYZzdY29Fufgy5vJQ==" spinCount="100000" sheet="1"/>
  <mergeCells count="13">
    <mergeCell ref="C11:D11"/>
    <mergeCell ref="C13:D13"/>
    <mergeCell ref="C15:D15"/>
    <mergeCell ref="C16:D16"/>
    <mergeCell ref="C17:D17"/>
    <mergeCell ref="C12:D12"/>
    <mergeCell ref="C10:D10"/>
    <mergeCell ref="C9:D9"/>
    <mergeCell ref="C2:D3"/>
    <mergeCell ref="C4:D4"/>
    <mergeCell ref="C5:D5"/>
    <mergeCell ref="C7:D7"/>
    <mergeCell ref="C8:D8"/>
  </mergeCells>
  <dataValidations count="3">
    <dataValidation type="decimal" errorStyle="warning" showErrorMessage="1" errorTitle="Cx" error="Le Cx est souvent compris entre 0 et 1._x000a_Cx may be between 0 &amp; 1." sqref="C17:D17" xr:uid="{00000000-0002-0000-0500-000000000000}">
      <formula1>0</formula1>
      <formula2>1</formula2>
    </dataValidation>
    <dataValidation operator="greaterThanOrEqual" sqref="C11:D12" xr:uid="{00000000-0002-0000-0500-000001000000}"/>
    <dataValidation sqref="C13:D13" xr:uid="{00000000-0002-0000-0500-000002000000}"/>
  </dataValidations>
  <hyperlinks>
    <hyperlink ref="B13" location="Stabilito!C17" display="Stabilito!C17" xr:uid="{00000000-0004-0000-0500-000000000000}"/>
  </hyperlinks>
  <pageMargins left="0.70866141732283472" right="0.70866141732283472" top="0.74803149606299213" bottom="0.74803149606299213" header="0.31496062992125984" footer="0.31496062992125984"/>
  <pageSetup paperSize="9" scale="92" orientation="landscape" r:id="rId1"/>
  <drawing r:id="rId2"/>
  <legacyDrawing r:id="rId3"/>
  <oleObjects>
    <mc:AlternateContent xmlns:mc="http://schemas.openxmlformats.org/markup-compatibility/2006">
      <mc:Choice Requires="x14">
        <oleObject progId="Equation.3" shapeId="2604101" r:id="rId4">
          <objectPr defaultSize="0" autoPict="0" r:id="rId5">
            <anchor moveWithCells="1">
              <from>
                <xdr:col>8</xdr:col>
                <xdr:colOff>390525</xdr:colOff>
                <xdr:row>70</xdr:row>
                <xdr:rowOff>28575</xdr:rowOff>
              </from>
              <to>
                <xdr:col>12</xdr:col>
                <xdr:colOff>904875</xdr:colOff>
                <xdr:row>87</xdr:row>
                <xdr:rowOff>9525</xdr:rowOff>
              </to>
            </anchor>
          </objectPr>
        </oleObject>
      </mc:Choice>
      <mc:Fallback>
        <oleObject progId="Equation.3" shapeId="2604101" r:id="rId4"/>
      </mc:Fallback>
    </mc:AlternateContent>
  </oleObjects>
  <mc:AlternateContent xmlns:mc="http://schemas.openxmlformats.org/markup-compatibility/2006">
    <mc:Choice Requires="x14">
      <controls>
        <mc:AlternateContent xmlns:mc="http://schemas.openxmlformats.org/markup-compatibility/2006">
          <mc:Choice Requires="x14">
            <control shapeId="2604063" r:id="rId6" name="Spinner 31">
              <controlPr defaultSize="0" print="0" autoPict="0">
                <anchor moveWithCells="1" sizeWithCells="1">
                  <from>
                    <xdr:col>3</xdr:col>
                    <xdr:colOff>657225</xdr:colOff>
                    <xdr:row>9</xdr:row>
                    <xdr:rowOff>200025</xdr:rowOff>
                  </from>
                  <to>
                    <xdr:col>4</xdr:col>
                    <xdr:colOff>0</xdr:colOff>
                    <xdr:row>11</xdr:row>
                    <xdr:rowOff>0</xdr:rowOff>
                  </to>
                </anchor>
              </controlPr>
            </control>
          </mc:Choice>
        </mc:AlternateContent>
        <mc:AlternateContent xmlns:mc="http://schemas.openxmlformats.org/markup-compatibility/2006">
          <mc:Choice Requires="x14">
            <control shapeId="2604202" r:id="rId7" name="Spinner 170">
              <controlPr defaultSize="0" print="0" autoPict="0">
                <anchor moveWithCells="1" sizeWithCells="1">
                  <from>
                    <xdr:col>3</xdr:col>
                    <xdr:colOff>657225</xdr:colOff>
                    <xdr:row>11</xdr:row>
                    <xdr:rowOff>0</xdr:rowOff>
                  </from>
                  <to>
                    <xdr:col>4</xdr:col>
                    <xdr:colOff>0</xdr:colOff>
                    <xdr:row>12</xdr:row>
                    <xdr:rowOff>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6">
    <pageSetUpPr fitToPage="1"/>
  </sheetPr>
  <dimension ref="C2:H61"/>
  <sheetViews>
    <sheetView showGridLines="0" topLeftCell="A31" workbookViewId="0">
      <selection activeCell="G46" sqref="G46"/>
    </sheetView>
  </sheetViews>
  <sheetFormatPr baseColWidth="10" defaultRowHeight="12.75" x14ac:dyDescent="0.2"/>
  <cols>
    <col min="1" max="1" width="2.140625" customWidth="1"/>
    <col min="2" max="2" width="16.140625" customWidth="1"/>
    <col min="3" max="4" width="13.5703125" customWidth="1"/>
  </cols>
  <sheetData>
    <row r="2" spans="3:8" x14ac:dyDescent="0.2">
      <c r="C2" s="632" t="s">
        <v>178</v>
      </c>
      <c r="D2" s="632"/>
    </row>
    <row r="3" spans="3:8" x14ac:dyDescent="0.2">
      <c r="C3" s="632"/>
      <c r="D3" s="632"/>
    </row>
    <row r="5" spans="3:8" x14ac:dyDescent="0.2">
      <c r="C5" s="13" t="str">
        <f>IF(Lang="Français","Stabilité de fusée à ailerons","Stability of finned rocket")</f>
        <v>Stabilité de fusée à ailerons</v>
      </c>
    </row>
    <row r="6" spans="3:8" x14ac:dyDescent="0.2">
      <c r="C6" s="2" t="str">
        <f>IF(Lang="Français","Calculs de Stabilité basés sur les équations de Barrowman","Stability calculs are based on Barrowman equations")</f>
        <v>Calculs de Stabilité basés sur les équations de Barrowman</v>
      </c>
    </row>
    <row r="7" spans="3:8" x14ac:dyDescent="0.2">
      <c r="C7" s="13" t="str">
        <f>IF(Lang="Français","Trajectographie de fusée","Rocket Trajectography")</f>
        <v>Trajectographie de fusée</v>
      </c>
    </row>
    <row r="8" spans="3:8" x14ac:dyDescent="0.2">
      <c r="C8" s="2" t="str">
        <f>IF(Lang="Français","Trajectoire dans un plan par calcul pas à pas","Trajectory in a plane, step by step computation")</f>
        <v>Trajectoire dans un plan par calcul pas à pas</v>
      </c>
    </row>
    <row r="9" spans="3:8" x14ac:dyDescent="0.2">
      <c r="C9" s="2"/>
    </row>
    <row r="10" spans="3:8" x14ac:dyDescent="0.2">
      <c r="C10" s="14" t="str">
        <f>IF(Lang="Français","Documentation et équations :","Documentation and equations are aviable in french:")</f>
        <v>Documentation et équations :</v>
      </c>
    </row>
    <row r="11" spans="3:8" x14ac:dyDescent="0.2">
      <c r="C11" t="str">
        <f>IF(Lang="Français","voir le dossier technique Planète-Sciences ''Le Vol de la Fusée, Stabilité &amp; Trajectographie''","dossier technique Planète-Sciences ''Le Vol de la Fusée, Stabilité &amp; Trajectographie''")</f>
        <v>voir le dossier technique Planète-Sciences ''Le Vol de la Fusée, Stabilité &amp; Trajectographie''</v>
      </c>
    </row>
    <row r="12" spans="3:8" x14ac:dyDescent="0.2">
      <c r="C12" t="str">
        <f>IF(Lang="Français","Néanmoins, les équations d'intégration du mouvement utilisées sont légèrement différentes !","")</f>
        <v>Néanmoins, les équations d'intégration du mouvement utilisées sont légèrement différentes !</v>
      </c>
    </row>
    <row r="13" spans="3:8" x14ac:dyDescent="0.2">
      <c r="C13" t="str">
        <f>IF(Lang="Français","Logiciels et dossier technique téléchargeables sur :","Softwares and french documentation can be downloaded at:")</f>
        <v>Logiciels et dossier technique téléchargeables sur :</v>
      </c>
      <c r="H13" s="15" t="s">
        <v>39</v>
      </c>
    </row>
    <row r="15" spans="3:8" x14ac:dyDescent="0.2">
      <c r="C15" s="14" t="str">
        <f>IF(Lang="Français","Pour les experts :","For experts:")</f>
        <v>Pour les experts :</v>
      </c>
    </row>
    <row r="16" spans="3:8" x14ac:dyDescent="0.2">
      <c r="C16" t="str">
        <f>IF(Lang="Français","Pour les curieux et les experts, vous pouvez déprotéger les feuilles de calcul (mot de passe : anstj),","Curious people can unlock excel sheets with this password : anstj")</f>
        <v>Pour les curieux et les experts, vous pouvez déprotéger les feuilles de calcul (mot de passe : anstj),</v>
      </c>
    </row>
    <row r="17" spans="3:8" x14ac:dyDescent="0.2">
      <c r="C17" t="str">
        <f>IF(Lang="Français","et faire vos modifications personnelles (ajout de moteur...).","and do your personal modification (adding a motor...)")</f>
        <v>et faire vos modifications personnelles (ajout de moteur...).</v>
      </c>
    </row>
    <row r="18" spans="3:8" x14ac:dyDescent="0.2">
      <c r="C18" t="s">
        <v>419</v>
      </c>
    </row>
    <row r="19" spans="3:8" x14ac:dyDescent="0.2">
      <c r="C19" t="str">
        <f>IF(Lang="Français","Merci néanmoins de diffuser uniquement la version officielle protégée (fichier initial).","Please avoid distributing unlocked version.")</f>
        <v>Merci néanmoins de diffuser uniquement la version officielle protégée (fichier initial).</v>
      </c>
    </row>
    <row r="20" spans="3:8" x14ac:dyDescent="0.2">
      <c r="C20" t="str">
        <f>IF(Lang="Français","Aucune Macro. Mise en forme conditionnelle, Noms de zone.","No macro. Conditionnal formating, named zones.")</f>
        <v>Aucune Macro. Mise en forme conditionnelle, Noms de zone.</v>
      </c>
    </row>
    <row r="21" spans="3:8" x14ac:dyDescent="0.2">
      <c r="C21" s="48" t="str">
        <f>IF(Lang="Français","Pour changer les choix des menus déroulants et les restrictions des cellules jaunes, cf. Données&gt; Validations…", "To change choices menu &amp; yellow cells restrictions, go to data validation.")</f>
        <v>Pour changer les choix des menus déroulants et les restrictions des cellules jaunes, cf. Données&gt; Validations…</v>
      </c>
    </row>
    <row r="22" spans="3:8" x14ac:dyDescent="0.2">
      <c r="C22" s="48" t="str">
        <f>IF(Lang="Français","Les unités sont réglés dans le Format de la cellule.","Units are set in cell number Format")</f>
        <v>Les unités sont réglés dans le Format de la cellule.</v>
      </c>
      <c r="H22" s="15" t="s">
        <v>37</v>
      </c>
    </row>
    <row r="23" spans="3:8" x14ac:dyDescent="0.2">
      <c r="C23" t="str">
        <f>IF(Lang="Français","Vous pouvez proposer vos améliorations en envoyant votre fichier à : ","Send all remarks and improvements proposals to:")</f>
        <v xml:space="preserve">Vous pouvez proposer vos améliorations en envoyant votre fichier à : </v>
      </c>
      <c r="H23" s="15"/>
    </row>
    <row r="25" spans="3:8" x14ac:dyDescent="0.2">
      <c r="C25" s="14" t="str">
        <f>IF(Lang="Français","Licence :","License:")</f>
        <v>Licence :</v>
      </c>
      <c r="D25" s="16"/>
    </row>
    <row r="26" spans="3:8" x14ac:dyDescent="0.2">
      <c r="C26" t="str">
        <f>IF(Lang="Français","Ce logiciel est placé sous la licence Creative Commons BY-SA","This software is placed under Creative Commons licence BY-SA")</f>
        <v>Ce logiciel est placé sous la licence Creative Commons BY-SA</v>
      </c>
      <c r="H26" s="68" t="s">
        <v>122</v>
      </c>
    </row>
    <row r="28" spans="3:8" x14ac:dyDescent="0.2">
      <c r="C28" s="14" t="str">
        <f>IF(Lang="Français","Compatibilité :","Compatibility:")</f>
        <v>Compatibilité :</v>
      </c>
    </row>
    <row r="29" spans="3:8" x14ac:dyDescent="0.2">
      <c r="C29" t="s">
        <v>152</v>
      </c>
    </row>
    <row r="30" spans="3:8" x14ac:dyDescent="0.2">
      <c r="C30" t="s">
        <v>301</v>
      </c>
    </row>
    <row r="31" spans="3:8" x14ac:dyDescent="0.2">
      <c r="C31" s="49" t="s">
        <v>110</v>
      </c>
    </row>
    <row r="33" spans="3:6" x14ac:dyDescent="0.2">
      <c r="C33" s="14" t="str">
        <f>IF(Lang="Français","Historique :","History:")</f>
        <v>Historique :</v>
      </c>
    </row>
    <row r="34" spans="3:6" x14ac:dyDescent="0.2">
      <c r="C34" t="s">
        <v>102</v>
      </c>
      <c r="D34" t="s">
        <v>42</v>
      </c>
      <c r="E34" s="47" t="s">
        <v>101</v>
      </c>
      <c r="F34" t="str">
        <f>IF(Lang="Français","Essais personnels, héritage d'une feuille de calcul de Vincent Girard, ESO","Personnel tests")</f>
        <v>Essais personnels, héritage d'une feuille de calcul de Vincent Girard, ESO</v>
      </c>
    </row>
    <row r="35" spans="3:6" x14ac:dyDescent="0.2">
      <c r="C35" t="s">
        <v>103</v>
      </c>
      <c r="D35" t="s">
        <v>42</v>
      </c>
      <c r="E35" s="16">
        <v>39483</v>
      </c>
      <c r="F35" t="str">
        <f>IF(Lang="Français","Equations de Barrowman généralisées (D_ref), masquage inter-ailerons, bilingue fr-en","Generalized Barrowman equations (D_ref), fin-fin interaction, english translation")</f>
        <v>Equations de Barrowman généralisées (D_ref), masquage inter-ailerons, bilingue fr-en</v>
      </c>
    </row>
    <row r="36" spans="3:6" x14ac:dyDescent="0.2">
      <c r="C36" t="s">
        <v>104</v>
      </c>
      <c r="D36" t="s">
        <v>42</v>
      </c>
      <c r="E36" s="16">
        <v>39507</v>
      </c>
      <c r="F36" t="str">
        <f>IF(Lang="Français","Schéma de la fusée, estimation analytique de la trajecto, diagramme des critères","Rocket schematic, analytical trajecto, criterions diagram")</f>
        <v>Schéma de la fusée, estimation analytique de la trajecto, diagramme des critères</v>
      </c>
    </row>
    <row r="37" spans="3:6" x14ac:dyDescent="0.2">
      <c r="C37" t="s">
        <v>105</v>
      </c>
      <c r="D37" t="s">
        <v>42</v>
      </c>
      <c r="E37" s="16">
        <v>39694</v>
      </c>
      <c r="F37" t="str">
        <f>IF(Lang="Français","Mise en forme","Formatting")</f>
        <v>Mise en forme</v>
      </c>
    </row>
    <row r="38" spans="3:6" x14ac:dyDescent="0.2">
      <c r="C38" t="s">
        <v>106</v>
      </c>
      <c r="D38" t="s">
        <v>42</v>
      </c>
      <c r="E38" s="16">
        <v>39643</v>
      </c>
      <c r="F38" t="str">
        <f>IF(Lang="Français","Essais personnels, héritage d'une feuille de calcul de Félicien Roux, ESO","Personal tests")</f>
        <v>Essais personnels, héritage d'une feuille de calcul de Félicien Roux, ESO</v>
      </c>
    </row>
    <row r="39" spans="3:6" x14ac:dyDescent="0.2">
      <c r="C39" t="s">
        <v>107</v>
      </c>
      <c r="D39" t="s">
        <v>42</v>
      </c>
      <c r="E39" s="16">
        <v>39755</v>
      </c>
      <c r="F39" t="str">
        <f>IF(Lang="Français","Réécriture équations, traduction, érgonomie","Equations, traduction, ergonomy")</f>
        <v>Réécriture équations, traduction, érgonomie</v>
      </c>
    </row>
    <row r="40" spans="3:6" x14ac:dyDescent="0.2">
      <c r="C40" t="s">
        <v>108</v>
      </c>
      <c r="D40" t="s">
        <v>42</v>
      </c>
      <c r="E40" s="16">
        <v>39756</v>
      </c>
      <c r="F40" t="str">
        <f>IF(Lang="Français","Conditions Initiales pour vol 2e étage, 1ère publication","Initial Conditions, 1st publication")</f>
        <v>Conditions Initiales pour vol 2e étage, 1ère publication</v>
      </c>
    </row>
    <row r="41" spans="3:6" x14ac:dyDescent="0.2">
      <c r="C41" t="s">
        <v>109</v>
      </c>
      <c r="D41" t="s">
        <v>42</v>
      </c>
      <c r="E41" s="16">
        <v>40658</v>
      </c>
      <c r="F41" t="s">
        <v>52</v>
      </c>
    </row>
    <row r="42" spans="3:6" x14ac:dyDescent="0.2">
      <c r="C42" t="s">
        <v>179</v>
      </c>
      <c r="D42" t="s">
        <v>42</v>
      </c>
      <c r="E42" s="16">
        <v>40868</v>
      </c>
      <c r="F42" t="str">
        <f>IF(Lang="Français","Fusion Stabilito+Trajecto, mise en forme, Ctrl, RC, H2O, Abaco","Merge Stabilito+Trajecto, formatting, Ctrl, RC, H2O, Abaco")</f>
        <v>Fusion Stabilito+Trajecto, mise en forme, Ctrl, RC, H2O, Abaco</v>
      </c>
    </row>
    <row r="43" spans="3:6" x14ac:dyDescent="0.2">
      <c r="C43" t="s">
        <v>327</v>
      </c>
      <c r="D43" t="s">
        <v>42</v>
      </c>
      <c r="E43" s="16">
        <v>41194</v>
      </c>
      <c r="F43" t="s">
        <v>331</v>
      </c>
    </row>
    <row r="44" spans="3:6" x14ac:dyDescent="0.2">
      <c r="C44" t="s">
        <v>328</v>
      </c>
      <c r="D44" t="s">
        <v>42</v>
      </c>
      <c r="E44" s="16">
        <v>41329</v>
      </c>
      <c r="F44" t="s">
        <v>332</v>
      </c>
    </row>
    <row r="45" spans="3:6" x14ac:dyDescent="0.2">
      <c r="C45" t="s">
        <v>416</v>
      </c>
      <c r="D45" t="s">
        <v>395</v>
      </c>
      <c r="E45" s="16">
        <v>41947</v>
      </c>
      <c r="F45" t="s">
        <v>415</v>
      </c>
    </row>
    <row r="46" spans="3:6" x14ac:dyDescent="0.2">
      <c r="C46" t="s">
        <v>420</v>
      </c>
      <c r="D46" t="s">
        <v>395</v>
      </c>
      <c r="E46" s="16">
        <v>41965</v>
      </c>
      <c r="F46" t="s">
        <v>418</v>
      </c>
    </row>
    <row r="47" spans="3:6" x14ac:dyDescent="0.2">
      <c r="C47" t="s">
        <v>542</v>
      </c>
      <c r="D47" t="s">
        <v>395</v>
      </c>
      <c r="E47" s="16">
        <v>43048</v>
      </c>
      <c r="F47" t="s">
        <v>543</v>
      </c>
    </row>
    <row r="48" spans="3:6" x14ac:dyDescent="0.2">
      <c r="C48" t="s">
        <v>546</v>
      </c>
      <c r="D48" t="s">
        <v>395</v>
      </c>
      <c r="E48" s="16">
        <v>44160</v>
      </c>
      <c r="F48" t="s">
        <v>547</v>
      </c>
    </row>
    <row r="49" spans="3:6" x14ac:dyDescent="0.2">
      <c r="C49" t="s">
        <v>555</v>
      </c>
      <c r="D49" t="s">
        <v>553</v>
      </c>
      <c r="E49" s="16">
        <v>45300</v>
      </c>
      <c r="F49" t="s">
        <v>554</v>
      </c>
    </row>
    <row r="50" spans="3:6" x14ac:dyDescent="0.2">
      <c r="C50" t="s">
        <v>557</v>
      </c>
      <c r="D50" t="s">
        <v>395</v>
      </c>
      <c r="E50" s="16">
        <v>45322</v>
      </c>
      <c r="F50" t="s">
        <v>562</v>
      </c>
    </row>
    <row r="51" spans="3:6" x14ac:dyDescent="0.2">
      <c r="C51" t="s">
        <v>566</v>
      </c>
      <c r="D51" t="s">
        <v>395</v>
      </c>
      <c r="E51" s="16">
        <v>45325</v>
      </c>
      <c r="F51" t="s">
        <v>565</v>
      </c>
    </row>
    <row r="52" spans="3:6" x14ac:dyDescent="0.2">
      <c r="E52" s="16"/>
    </row>
    <row r="53" spans="3:6" x14ac:dyDescent="0.2">
      <c r="C53" s="14" t="str">
        <f>IF(Lang="Français","Paramètres de référence :","Reference parameters:")</f>
        <v>Paramètres de référence :</v>
      </c>
    </row>
    <row r="54" spans="3:6" x14ac:dyDescent="0.2">
      <c r="C54" s="62" t="str">
        <f>IF(Lang="Français","Gravité g :","Gravity g")</f>
        <v>Gravité g :</v>
      </c>
      <c r="E54" s="62">
        <v>9.81</v>
      </c>
      <c r="F54" s="62" t="s">
        <v>7</v>
      </c>
    </row>
    <row r="55" spans="3:6" x14ac:dyDescent="0.2">
      <c r="C55" s="62" t="str">
        <f>IF(Lang="Français","Masse volumique de l'air ρ :","Air density ρ")</f>
        <v>Masse volumique de l'air ρ :</v>
      </c>
      <c r="E55" s="63">
        <v>1.2250000000000001</v>
      </c>
      <c r="F55" s="62" t="s">
        <v>8</v>
      </c>
    </row>
    <row r="56" spans="3:6" x14ac:dyDescent="0.2">
      <c r="C56" s="48"/>
    </row>
    <row r="57" spans="3:6" x14ac:dyDescent="0.2">
      <c r="C57" s="48"/>
    </row>
    <row r="58" spans="3:6" x14ac:dyDescent="0.2">
      <c r="C58" s="48"/>
    </row>
    <row r="59" spans="3:6" x14ac:dyDescent="0.2">
      <c r="C59" s="48"/>
    </row>
    <row r="60" spans="3:6" x14ac:dyDescent="0.2">
      <c r="C60" s="48"/>
    </row>
    <row r="61" spans="3:6" x14ac:dyDescent="0.2">
      <c r="C61" s="48"/>
    </row>
  </sheetData>
  <sheetProtection algorithmName="SHA-512" hashValue="dcP9v4DQ6JuvC6eLIBXnlatxcJ77hQrkAMZATd7/biqbQNTpo5JLWb/f1rwPyt3T541dwFzTLWfTsEIfUWsRvA==" saltValue="abKm4XUCT8zC5fp4rZeuTQ==" spinCount="100000" sheet="1" objects="1" scenarios="1"/>
  <mergeCells count="1">
    <mergeCell ref="C2:D3"/>
  </mergeCells>
  <phoneticPr fontId="8" type="noConversion"/>
  <hyperlinks>
    <hyperlink ref="H13" r:id="rId1" xr:uid="{00000000-0004-0000-0600-000000000000}"/>
    <hyperlink ref="H22" r:id="rId2" xr:uid="{00000000-0004-0000-0600-000001000000}"/>
    <hyperlink ref="H26" r:id="rId3" xr:uid="{00000000-0004-0000-0600-000002000000}"/>
  </hyperlinks>
  <pageMargins left="0.39370078740157483" right="0.39370078740157483" top="0.39370078740157483" bottom="0.39370078740157483" header="0" footer="0"/>
  <pageSetup scale="73" firstPageNumber="0" orientation="portrait" horizontalDpi="300" verticalDpi="300" r:id="rId4"/>
  <headerFooter alignWithMargins="0"/>
  <drawing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7">
    <pageSetUpPr fitToPage="1"/>
  </sheetPr>
  <dimension ref="B1:U134"/>
  <sheetViews>
    <sheetView showGridLines="0" zoomScaleNormal="100" workbookViewId="0">
      <selection activeCell="L39" sqref="L39"/>
    </sheetView>
  </sheetViews>
  <sheetFormatPr baseColWidth="10" defaultColWidth="11.5703125" defaultRowHeight="12.75" x14ac:dyDescent="0.2"/>
  <cols>
    <col min="1" max="2" width="2.140625" customWidth="1"/>
    <col min="3" max="3" width="12.5703125" customWidth="1"/>
    <col min="4" max="4" width="21" customWidth="1"/>
    <col min="7" max="7" width="26.5703125" customWidth="1"/>
    <col min="8" max="9" width="6.85546875" customWidth="1"/>
    <col min="10" max="10" width="10" customWidth="1"/>
    <col min="11" max="11" width="13" customWidth="1"/>
    <col min="12" max="12" width="21.140625" customWidth="1"/>
    <col min="14" max="14" width="2.140625" customWidth="1"/>
    <col min="18" max="19" width="16.140625" customWidth="1"/>
  </cols>
  <sheetData>
    <row r="1" spans="2:21" ht="13.5" thickBot="1" x14ac:dyDescent="0.25">
      <c r="O1" s="6"/>
      <c r="P1" s="48"/>
      <c r="Q1" s="48"/>
      <c r="R1" s="48"/>
      <c r="S1" s="48"/>
      <c r="T1" s="48"/>
      <c r="U1" s="48"/>
    </row>
    <row r="2" spans="2:21" ht="13.5" thickBot="1" x14ac:dyDescent="0.25">
      <c r="B2" s="71"/>
      <c r="C2" s="72"/>
      <c r="D2" s="72"/>
      <c r="E2" s="72"/>
      <c r="F2" s="72"/>
      <c r="G2" s="72"/>
      <c r="H2" s="72"/>
      <c r="I2" s="72"/>
      <c r="J2" s="72"/>
      <c r="K2" s="72"/>
      <c r="L2" s="72"/>
      <c r="M2" s="72"/>
      <c r="N2" s="73"/>
      <c r="O2" s="6"/>
      <c r="P2" s="48"/>
      <c r="Q2" s="48"/>
      <c r="R2" s="48"/>
      <c r="S2" s="48"/>
      <c r="T2" s="48"/>
      <c r="U2" s="48"/>
    </row>
    <row r="3" spans="2:21" ht="15.75" customHeight="1" thickBot="1" x14ac:dyDescent="0.25">
      <c r="B3" s="74"/>
      <c r="D3" s="2" t="s">
        <v>429</v>
      </c>
      <c r="N3" s="75"/>
      <c r="O3" s="6"/>
      <c r="P3" s="273" t="s">
        <v>340</v>
      </c>
      <c r="Q3" s="441">
        <f>Long_ogive</f>
        <v>275</v>
      </c>
      <c r="R3" s="48"/>
      <c r="S3" s="48"/>
      <c r="T3" s="48"/>
      <c r="U3" s="48"/>
    </row>
    <row r="4" spans="2:21" ht="15.75" customHeight="1" x14ac:dyDescent="0.2">
      <c r="B4" s="74"/>
      <c r="D4" s="2" t="s">
        <v>564</v>
      </c>
      <c r="E4" t="str">
        <f>Matricule</f>
        <v>FX0</v>
      </c>
      <c r="N4" s="75"/>
      <c r="O4" s="6"/>
      <c r="P4" s="273"/>
      <c r="Q4" s="436"/>
      <c r="R4" s="48"/>
      <c r="S4" s="48"/>
      <c r="T4" s="48"/>
      <c r="U4" s="48"/>
    </row>
    <row r="5" spans="2:21" ht="15.75" customHeight="1" x14ac:dyDescent="0.2">
      <c r="B5" s="74"/>
      <c r="D5" t="s">
        <v>462</v>
      </c>
      <c r="E5" t="str">
        <f>Propu</f>
        <v>Pro54-5G WT</v>
      </c>
      <c r="G5" t="s">
        <v>459</v>
      </c>
      <c r="H5">
        <f>MasseSans</f>
        <v>6.5</v>
      </c>
      <c r="N5" s="75"/>
      <c r="O5" s="6"/>
      <c r="P5" s="273"/>
      <c r="Q5" s="436"/>
      <c r="R5" s="48"/>
      <c r="S5" s="48"/>
      <c r="T5" s="48"/>
      <c r="U5" s="48"/>
    </row>
    <row r="6" spans="2:21" x14ac:dyDescent="0.2">
      <c r="B6" s="74"/>
      <c r="D6" t="s">
        <v>455</v>
      </c>
      <c r="E6" s="2" t="str">
        <f>Trajecto!H34</f>
        <v>Brun/Orange…</v>
      </c>
      <c r="G6" t="s">
        <v>460</v>
      </c>
      <c r="H6">
        <f>D_ref</f>
        <v>94</v>
      </c>
      <c r="N6" s="75"/>
      <c r="O6" s="6"/>
      <c r="P6" s="273"/>
      <c r="Q6" s="436"/>
      <c r="R6" s="48"/>
      <c r="S6" s="48"/>
      <c r="T6" s="48"/>
      <c r="U6" s="48"/>
    </row>
    <row r="7" spans="2:21" x14ac:dyDescent="0.2">
      <c r="B7" s="74"/>
      <c r="D7" t="s">
        <v>457</v>
      </c>
      <c r="E7" s="2" t="str">
        <f>Trajecto!H35</f>
        <v>Rouge…</v>
      </c>
      <c r="G7" t="s">
        <v>5</v>
      </c>
      <c r="H7">
        <f>Cx</f>
        <v>0.6</v>
      </c>
      <c r="N7" s="75"/>
      <c r="O7" s="6"/>
      <c r="P7" s="273"/>
      <c r="Q7" s="436"/>
      <c r="R7" s="48"/>
      <c r="S7" s="48"/>
      <c r="T7" s="48"/>
      <c r="U7" s="48"/>
    </row>
    <row r="8" spans="2:21" x14ac:dyDescent="0.2">
      <c r="B8" s="74"/>
      <c r="D8" t="s">
        <v>458</v>
      </c>
      <c r="E8" s="2">
        <f>S_para</f>
        <v>0.48049999999999998</v>
      </c>
      <c r="G8" t="s">
        <v>461</v>
      </c>
      <c r="H8">
        <f>L_rampe</f>
        <v>4</v>
      </c>
      <c r="N8" s="75"/>
      <c r="O8" s="6"/>
      <c r="P8" s="273"/>
      <c r="Q8" s="436"/>
      <c r="R8" s="48"/>
      <c r="S8" s="48"/>
      <c r="T8" s="48"/>
      <c r="U8" s="48"/>
    </row>
    <row r="9" spans="2:21" x14ac:dyDescent="0.2">
      <c r="B9" s="74"/>
      <c r="D9" t="s">
        <v>456</v>
      </c>
      <c r="E9" s="2"/>
      <c r="G9" t="s">
        <v>146</v>
      </c>
      <c r="H9" s="532" t="str">
        <f>Forme_ogive</f>
        <v>Conique (droite)</v>
      </c>
      <c r="N9" s="75"/>
      <c r="O9" s="6"/>
      <c r="P9" s="273"/>
      <c r="Q9" s="436"/>
      <c r="R9" s="48"/>
      <c r="S9" s="48"/>
      <c r="T9" s="48"/>
      <c r="U9" s="48"/>
    </row>
    <row r="10" spans="2:21" x14ac:dyDescent="0.2">
      <c r="B10" s="74"/>
      <c r="F10" s="3"/>
      <c r="G10" s="6"/>
      <c r="N10" s="75"/>
      <c r="O10" s="521"/>
      <c r="P10" s="48"/>
      <c r="Q10" s="436"/>
      <c r="R10" s="48"/>
      <c r="S10" s="48"/>
      <c r="T10" s="48"/>
      <c r="U10" s="48"/>
    </row>
    <row r="11" spans="2:21" ht="13.5" thickBot="1" x14ac:dyDescent="0.25">
      <c r="B11" s="74"/>
      <c r="C11" s="12"/>
      <c r="D11" s="275" t="s">
        <v>454</v>
      </c>
      <c r="E11" s="243">
        <f>MasseSans</f>
        <v>6.5</v>
      </c>
      <c r="F11" s="246" t="s">
        <v>123</v>
      </c>
      <c r="G11" s="246" t="s">
        <v>125</v>
      </c>
      <c r="H11" s="668">
        <f ca="1">Vsortie_de_rampe</f>
        <v>34.368625082388796</v>
      </c>
      <c r="I11" s="669"/>
      <c r="J11" s="76"/>
      <c r="N11" s="75"/>
      <c r="P11" s="48"/>
      <c r="Q11" s="436"/>
      <c r="R11" s="48"/>
      <c r="S11" s="48"/>
      <c r="T11" s="48"/>
      <c r="U11" s="440">
        <f>IF(RIGHT(Nb_diam,1)=",", "", X_j)</f>
        <v>1250</v>
      </c>
    </row>
    <row r="12" spans="2:21" ht="13.5" thickBot="1" x14ac:dyDescent="0.25">
      <c r="B12" s="74"/>
      <c r="C12" s="12"/>
      <c r="D12" s="276"/>
      <c r="E12" s="244"/>
      <c r="F12" s="6" t="s">
        <v>123</v>
      </c>
      <c r="G12" s="6" t="s">
        <v>126</v>
      </c>
      <c r="H12" s="670">
        <f>Finesse</f>
        <v>22.872340425531913</v>
      </c>
      <c r="I12" s="671"/>
      <c r="J12" s="76"/>
      <c r="N12" s="75"/>
      <c r="O12" s="6"/>
      <c r="P12" s="273" t="s">
        <v>341</v>
      </c>
      <c r="Q12" s="441">
        <f>D_og</f>
        <v>84</v>
      </c>
      <c r="R12" s="48"/>
      <c r="S12" s="48"/>
      <c r="T12" s="48"/>
      <c r="U12" s="436"/>
    </row>
    <row r="13" spans="2:21" x14ac:dyDescent="0.2">
      <c r="B13" s="74"/>
      <c r="C13" s="12"/>
      <c r="D13" s="276" t="s">
        <v>5</v>
      </c>
      <c r="E13" s="244">
        <f>Cx</f>
        <v>0.6</v>
      </c>
      <c r="F13" s="6" t="s">
        <v>123</v>
      </c>
      <c r="G13" s="6" t="s">
        <v>433</v>
      </c>
      <c r="H13" s="670">
        <f>Cn</f>
        <v>19.571756703823535</v>
      </c>
      <c r="I13" s="671"/>
      <c r="J13" s="76"/>
      <c r="N13" s="75"/>
      <c r="O13" s="6"/>
      <c r="P13" s="48"/>
      <c r="Q13" s="436"/>
      <c r="R13" s="48"/>
      <c r="S13" s="48"/>
      <c r="T13" s="48"/>
      <c r="U13" s="440">
        <f>IF(RIGHT(Nb_diam,1)=",", "", X_r)</f>
        <v>0</v>
      </c>
    </row>
    <row r="14" spans="2:21" x14ac:dyDescent="0.2">
      <c r="B14" s="74"/>
      <c r="C14" s="12"/>
      <c r="D14" s="276" t="s">
        <v>143</v>
      </c>
      <c r="E14" s="244">
        <f>L_rampe</f>
        <v>4</v>
      </c>
      <c r="F14" s="6" t="s">
        <v>123</v>
      </c>
      <c r="G14" s="6" t="s">
        <v>127</v>
      </c>
      <c r="H14" s="247">
        <f ca="1">MS_min</f>
        <v>0.75577484454785981</v>
      </c>
      <c r="I14" s="254">
        <f ca="1">MS_max</f>
        <v>3.2389056118297503</v>
      </c>
      <c r="J14" s="76"/>
      <c r="K14" s="76"/>
      <c r="N14" s="75"/>
      <c r="P14" s="48"/>
      <c r="Q14" s="436"/>
      <c r="R14" s="48"/>
      <c r="S14" s="48"/>
      <c r="T14" s="48"/>
      <c r="U14" s="436"/>
    </row>
    <row r="15" spans="2:21" x14ac:dyDescent="0.2">
      <c r="B15" s="74"/>
      <c r="C15" s="12"/>
      <c r="D15" s="276" t="s">
        <v>144</v>
      </c>
      <c r="E15" s="244">
        <f>ep_ail</f>
        <v>4</v>
      </c>
      <c r="F15" s="6" t="s">
        <v>123</v>
      </c>
      <c r="G15" s="6" t="s">
        <v>124</v>
      </c>
      <c r="H15" s="247">
        <f ca="1">MS_Cn_min</f>
        <v>14.791841380360765</v>
      </c>
      <c r="I15" s="254">
        <f ca="1">MS_Cn_max</f>
        <v>80.582955775665468</v>
      </c>
      <c r="J15" s="76"/>
      <c r="K15" s="76"/>
      <c r="N15" s="75"/>
      <c r="P15" s="48"/>
      <c r="Q15" s="436"/>
      <c r="R15" s="48"/>
      <c r="S15" s="48"/>
      <c r="T15" s="48"/>
    </row>
    <row r="16" spans="2:21" x14ac:dyDescent="0.2">
      <c r="B16" s="74"/>
      <c r="C16" s="12"/>
      <c r="D16" s="276" t="s">
        <v>145</v>
      </c>
      <c r="E16" s="244">
        <f>Q_ail</f>
        <v>4</v>
      </c>
      <c r="F16" s="6" t="s">
        <v>128</v>
      </c>
      <c r="G16" s="6" t="s">
        <v>129</v>
      </c>
      <c r="H16" s="247">
        <f ca="1">V_para</f>
        <v>14.317669033109237</v>
      </c>
      <c r="I16" s="253">
        <f>V_satellite</f>
        <v>12.655562623057198</v>
      </c>
      <c r="J16" s="76"/>
      <c r="N16" s="75"/>
      <c r="P16" s="48"/>
      <c r="Q16" s="436"/>
      <c r="R16" s="48"/>
      <c r="S16" s="48"/>
      <c r="T16" s="48"/>
      <c r="U16" s="440">
        <f>IF(RIGHT(Nb_diam,1)=",", "", l_j)</f>
        <v>50</v>
      </c>
    </row>
    <row r="17" spans="2:21" x14ac:dyDescent="0.2">
      <c r="B17" s="74"/>
      <c r="C17" s="12"/>
      <c r="D17" s="276" t="s">
        <v>146</v>
      </c>
      <c r="E17" s="272" t="str">
        <f>Forme_ogive</f>
        <v>Conique (droite)</v>
      </c>
      <c r="F17" s="6" t="s">
        <v>130</v>
      </c>
      <c r="G17" s="6" t="s">
        <v>131</v>
      </c>
      <c r="H17" s="670">
        <f>T_para</f>
        <v>17</v>
      </c>
      <c r="I17" s="671"/>
      <c r="J17" s="258"/>
      <c r="N17" s="75"/>
      <c r="P17" s="434" t="s">
        <v>342</v>
      </c>
      <c r="Q17" s="440">
        <f>IF(RIGHT(Nb_diam,1)=",", "", D2j)</f>
        <v>104</v>
      </c>
      <c r="R17" s="48"/>
      <c r="S17" s="48"/>
      <c r="T17" s="48"/>
      <c r="U17" s="436"/>
    </row>
    <row r="18" spans="2:21" x14ac:dyDescent="0.2">
      <c r="B18" s="74"/>
      <c r="C18" s="12"/>
      <c r="D18" s="276" t="s">
        <v>148</v>
      </c>
      <c r="E18" s="244">
        <f ca="1">XpropuRef-Long_propu</f>
        <v>1662</v>
      </c>
      <c r="F18" s="12" t="s">
        <v>130</v>
      </c>
      <c r="G18" s="12" t="s">
        <v>427</v>
      </c>
      <c r="H18" s="635">
        <f ca="1">T_para-Combustion-Depotage</f>
        <v>17</v>
      </c>
      <c r="I18" s="674"/>
      <c r="N18" s="75"/>
      <c r="P18" s="48"/>
      <c r="Q18" s="436"/>
      <c r="R18" s="48"/>
      <c r="S18" s="48"/>
    </row>
    <row r="19" spans="2:21" x14ac:dyDescent="0.2">
      <c r="B19" s="74"/>
      <c r="C19" s="531"/>
      <c r="D19" s="269"/>
      <c r="E19" s="271"/>
      <c r="F19" s="519" t="s">
        <v>132</v>
      </c>
      <c r="G19" s="274" t="s">
        <v>426</v>
      </c>
      <c r="H19" s="675">
        <f ca="1">Portee_balistique</f>
        <v>889.84792314375909</v>
      </c>
      <c r="I19" s="676"/>
      <c r="N19" s="75"/>
      <c r="P19" s="48"/>
      <c r="Q19" s="436"/>
      <c r="R19" s="48"/>
      <c r="S19" s="48"/>
      <c r="T19" s="48"/>
    </row>
    <row r="20" spans="2:21" x14ac:dyDescent="0.2">
      <c r="B20" s="74"/>
      <c r="C20" s="12"/>
      <c r="D20" s="6"/>
      <c r="E20" s="6"/>
      <c r="H20" s="518"/>
      <c r="I20" s="518"/>
      <c r="N20" s="75"/>
      <c r="P20" s="48"/>
      <c r="Q20" s="436"/>
      <c r="R20" s="48"/>
      <c r="S20" s="48"/>
      <c r="T20" s="48"/>
      <c r="U20" s="440">
        <f>IF(RIGHT(Nb_diam,1)=",", "", l_r)</f>
        <v>0</v>
      </c>
    </row>
    <row r="21" spans="2:21" x14ac:dyDescent="0.2">
      <c r="B21" s="74"/>
      <c r="C21" s="12"/>
      <c r="D21" s="6"/>
      <c r="E21" s="263"/>
      <c r="F21" s="3"/>
      <c r="G21" s="6"/>
      <c r="H21" s="518"/>
      <c r="I21" s="518"/>
      <c r="N21" s="75"/>
      <c r="O21" s="273"/>
      <c r="P21" s="436"/>
      <c r="Q21" s="48"/>
      <c r="R21" s="48"/>
      <c r="S21" s="48"/>
      <c r="T21" s="226"/>
      <c r="U21" s="436"/>
    </row>
    <row r="22" spans="2:21" x14ac:dyDescent="0.2">
      <c r="B22" s="74"/>
      <c r="C22" s="526" t="s">
        <v>453</v>
      </c>
      <c r="D22" s="526" t="s">
        <v>437</v>
      </c>
      <c r="E22" s="527"/>
      <c r="F22" s="528" t="s">
        <v>442</v>
      </c>
      <c r="G22" s="526" t="s">
        <v>447</v>
      </c>
      <c r="I22" s="529"/>
      <c r="J22" s="530" t="s">
        <v>156</v>
      </c>
      <c r="K22" s="526" t="s">
        <v>157</v>
      </c>
      <c r="N22" s="75"/>
      <c r="O22" s="273"/>
      <c r="P22" s="436"/>
      <c r="Q22" s="48"/>
      <c r="R22" s="48"/>
      <c r="S22" s="48"/>
      <c r="T22" s="226"/>
      <c r="U22" s="436"/>
    </row>
    <row r="23" spans="2:21" x14ac:dyDescent="0.2">
      <c r="B23" s="74"/>
      <c r="C23" s="526" t="s">
        <v>452</v>
      </c>
      <c r="D23" s="527">
        <f>XcgSans</f>
        <v>1150</v>
      </c>
      <c r="E23" s="527" t="s">
        <v>38</v>
      </c>
      <c r="F23" s="528">
        <f>m_ail</f>
        <v>180</v>
      </c>
      <c r="G23" s="526">
        <f>m_can</f>
        <v>180</v>
      </c>
      <c r="I23" s="529" t="s">
        <v>448</v>
      </c>
      <c r="J23" s="528">
        <f>l_j</f>
        <v>50</v>
      </c>
      <c r="K23" s="526">
        <f>l_r</f>
        <v>0</v>
      </c>
      <c r="N23" s="75"/>
      <c r="O23" s="273"/>
      <c r="P23" s="436"/>
      <c r="Q23" s="48"/>
      <c r="R23" s="48"/>
      <c r="S23" s="48"/>
      <c r="T23" s="226"/>
      <c r="U23" s="436"/>
    </row>
    <row r="24" spans="2:21" x14ac:dyDescent="0.2">
      <c r="B24" s="74"/>
      <c r="C24" s="526" t="s">
        <v>440</v>
      </c>
      <c r="D24" s="526">
        <f>Long_tot</f>
        <v>2150</v>
      </c>
      <c r="E24" s="527" t="s">
        <v>443</v>
      </c>
      <c r="F24" s="528">
        <f>n_ail</f>
        <v>80</v>
      </c>
      <c r="G24" s="526">
        <f>n_can</f>
        <v>80</v>
      </c>
      <c r="I24" s="529" t="s">
        <v>449</v>
      </c>
      <c r="J24" s="528">
        <f>D1j</f>
        <v>84</v>
      </c>
      <c r="K24" s="526">
        <f>D1r</f>
        <v>0</v>
      </c>
      <c r="N24" s="75"/>
      <c r="O24" s="273"/>
      <c r="P24" s="436"/>
      <c r="Q24" s="48"/>
      <c r="R24" s="48"/>
      <c r="S24" s="48"/>
      <c r="T24" s="226"/>
      <c r="U24" s="436"/>
    </row>
    <row r="25" spans="2:21" x14ac:dyDescent="0.2">
      <c r="B25" s="74"/>
      <c r="C25" s="526" t="s">
        <v>441</v>
      </c>
      <c r="D25" s="526">
        <f>XpropuRef</f>
        <v>2150</v>
      </c>
      <c r="E25" s="527" t="s">
        <v>444</v>
      </c>
      <c r="F25" s="528">
        <f>p_ail</f>
        <v>160</v>
      </c>
      <c r="G25" s="526">
        <f>p_can</f>
        <v>160</v>
      </c>
      <c r="I25" s="529" t="s">
        <v>450</v>
      </c>
      <c r="J25" s="528">
        <f>D2j</f>
        <v>104</v>
      </c>
      <c r="K25" s="526">
        <f>D2r</f>
        <v>0</v>
      </c>
      <c r="N25" s="75"/>
      <c r="O25" s="273"/>
      <c r="P25" s="436"/>
      <c r="Q25" s="48"/>
      <c r="R25" s="48"/>
      <c r="S25" s="48"/>
      <c r="T25" s="226"/>
      <c r="U25" s="436"/>
    </row>
    <row r="26" spans="2:21" x14ac:dyDescent="0.2">
      <c r="B26" s="74"/>
      <c r="C26" s="526" t="s">
        <v>438</v>
      </c>
      <c r="D26" s="526">
        <f>D_ref</f>
        <v>94</v>
      </c>
      <c r="E26" s="527" t="s">
        <v>445</v>
      </c>
      <c r="F26" s="528">
        <f>E_ail</f>
        <v>110</v>
      </c>
      <c r="G26" s="526">
        <f>E_can</f>
        <v>110</v>
      </c>
      <c r="I26" s="529" t="s">
        <v>451</v>
      </c>
      <c r="J26" s="528">
        <f>X_j</f>
        <v>1250</v>
      </c>
      <c r="K26" s="526">
        <f>X_r</f>
        <v>0</v>
      </c>
      <c r="N26" s="75"/>
      <c r="O26" s="273"/>
      <c r="P26" s="436"/>
      <c r="Q26" s="48"/>
      <c r="R26" s="48"/>
      <c r="S26" s="48"/>
      <c r="T26" s="226"/>
      <c r="U26" s="436"/>
    </row>
    <row r="27" spans="2:21" x14ac:dyDescent="0.2">
      <c r="B27" s="74"/>
      <c r="C27" s="526" t="s">
        <v>439</v>
      </c>
      <c r="D27" s="526">
        <f>Long_ogive</f>
        <v>275</v>
      </c>
      <c r="E27" s="527" t="s">
        <v>446</v>
      </c>
      <c r="F27" s="528">
        <f>X_ail</f>
        <v>2150</v>
      </c>
      <c r="G27" s="526">
        <f>X_can</f>
        <v>1250</v>
      </c>
      <c r="H27" s="518"/>
      <c r="I27" s="3"/>
      <c r="J27" s="2"/>
      <c r="N27" s="75"/>
      <c r="O27" s="273"/>
      <c r="P27" s="436"/>
      <c r="Q27" s="48"/>
      <c r="R27" s="48"/>
      <c r="S27" s="48"/>
      <c r="T27" s="226"/>
      <c r="U27" s="436"/>
    </row>
    <row r="28" spans="2:21" ht="13.5" thickBot="1" x14ac:dyDescent="0.25">
      <c r="B28" s="74"/>
      <c r="E28" s="95"/>
      <c r="N28" s="75"/>
      <c r="O28" s="2"/>
      <c r="P28" s="6"/>
      <c r="Q28" s="2"/>
      <c r="R28" s="48"/>
      <c r="S28" s="48"/>
      <c r="T28" s="48"/>
      <c r="U28" s="436"/>
    </row>
    <row r="29" spans="2:21" ht="13.5" thickBot="1" x14ac:dyDescent="0.25">
      <c r="B29" s="74"/>
      <c r="C29" s="673" t="s">
        <v>141</v>
      </c>
      <c r="D29" s="673" t="s">
        <v>133</v>
      </c>
      <c r="E29" s="673" t="s">
        <v>134</v>
      </c>
      <c r="F29" s="673"/>
      <c r="G29" s="673"/>
      <c r="H29" s="672" t="s">
        <v>135</v>
      </c>
      <c r="I29" s="672"/>
      <c r="J29" s="672"/>
      <c r="K29" s="672"/>
      <c r="L29" s="673" t="s">
        <v>136</v>
      </c>
      <c r="M29" s="673" t="s">
        <v>137</v>
      </c>
      <c r="N29" s="75"/>
      <c r="O29" s="273" t="s">
        <v>430</v>
      </c>
      <c r="P29" s="441">
        <f>n_ail</f>
        <v>80</v>
      </c>
      <c r="Q29" s="2"/>
      <c r="R29" s="48"/>
      <c r="S29" s="48"/>
      <c r="T29" s="48"/>
      <c r="U29" s="12" t="s">
        <v>434</v>
      </c>
    </row>
    <row r="30" spans="2:21" ht="13.5" thickBot="1" x14ac:dyDescent="0.25">
      <c r="B30" s="74"/>
      <c r="C30" s="673"/>
      <c r="D30" s="673"/>
      <c r="E30" s="673"/>
      <c r="F30" s="673"/>
      <c r="G30" s="673"/>
      <c r="H30" s="672" t="s">
        <v>138</v>
      </c>
      <c r="I30" s="672"/>
      <c r="J30" s="69" t="s">
        <v>139</v>
      </c>
      <c r="K30" s="70" t="s">
        <v>140</v>
      </c>
      <c r="L30" s="673"/>
      <c r="M30" s="673"/>
      <c r="N30" s="75"/>
      <c r="P30" s="12"/>
      <c r="R30" s="48"/>
      <c r="S30" s="48"/>
      <c r="T30" s="226" t="s">
        <v>432</v>
      </c>
      <c r="U30" s="523">
        <f>[0]!p_can</f>
        <v>160</v>
      </c>
    </row>
    <row r="31" spans="2:21" ht="13.5" thickBot="1" x14ac:dyDescent="0.25">
      <c r="B31" s="74"/>
      <c r="C31" s="83">
        <f>Beta_rampe</f>
        <v>80</v>
      </c>
      <c r="D31" s="84">
        <f ca="1">Portee_balistique</f>
        <v>889.84792314375909</v>
      </c>
      <c r="E31" s="677">
        <f ca="1">T_para+Dt_para</f>
        <v>126.49726799475167</v>
      </c>
      <c r="F31" s="677"/>
      <c r="G31" s="677"/>
      <c r="H31" s="678">
        <f ca="1">Altitude_culmi</f>
        <v>1568.0396528360352</v>
      </c>
      <c r="I31" s="678"/>
      <c r="J31" s="85">
        <f ca="1">Temps_culmi</f>
        <v>16.699999999999971</v>
      </c>
      <c r="K31" s="86">
        <f ca="1">Vit_culmi</f>
        <v>24.734293944345122</v>
      </c>
      <c r="L31" s="84">
        <f ca="1">Acc_max</f>
        <v>157.92847039757427</v>
      </c>
      <c r="M31" s="86">
        <f ca="1">Vit_max</f>
        <v>230.800705101056</v>
      </c>
      <c r="N31" s="75"/>
      <c r="O31" s="273" t="s">
        <v>436</v>
      </c>
      <c r="P31" s="441">
        <f>ep_ail</f>
        <v>4</v>
      </c>
      <c r="Q31" s="2"/>
      <c r="R31" s="48"/>
      <c r="S31" s="48"/>
      <c r="T31" s="226" t="s">
        <v>344</v>
      </c>
      <c r="U31" s="523">
        <f>[0]!m_can</f>
        <v>180</v>
      </c>
    </row>
    <row r="32" spans="2:21" ht="13.5" thickBot="1" x14ac:dyDescent="0.25">
      <c r="B32" s="74"/>
      <c r="C32" s="520"/>
      <c r="D32" s="242"/>
      <c r="E32" s="247"/>
      <c r="F32" s="247"/>
      <c r="G32" s="247"/>
      <c r="H32" s="283"/>
      <c r="I32" s="283"/>
      <c r="J32" s="247"/>
      <c r="K32" s="248"/>
      <c r="L32" s="242"/>
      <c r="M32" s="248"/>
      <c r="N32" s="75"/>
      <c r="O32" s="273" t="s">
        <v>435</v>
      </c>
      <c r="P32" s="522">
        <f>Q_ail</f>
        <v>4</v>
      </c>
      <c r="Q32" s="2"/>
      <c r="R32" s="48"/>
      <c r="S32" s="48"/>
      <c r="T32" s="226" t="s">
        <v>430</v>
      </c>
      <c r="U32" s="523">
        <f>[0]!n_can</f>
        <v>80</v>
      </c>
    </row>
    <row r="33" spans="2:21" ht="13.5" thickBot="1" x14ac:dyDescent="0.25">
      <c r="B33" s="74"/>
      <c r="D33" s="80"/>
      <c r="E33" s="81"/>
      <c r="F33" s="81"/>
      <c r="G33" s="81"/>
      <c r="H33" s="82"/>
      <c r="I33" s="82"/>
      <c r="J33" s="81"/>
      <c r="K33" s="76"/>
      <c r="L33" s="80"/>
      <c r="M33" s="76"/>
      <c r="N33" s="75"/>
      <c r="O33" s="2"/>
      <c r="Q33" s="2"/>
      <c r="R33" s="48"/>
      <c r="S33" s="48"/>
      <c r="T33" s="226" t="s">
        <v>431</v>
      </c>
      <c r="U33" s="523">
        <f>[0]!E_can</f>
        <v>110</v>
      </c>
    </row>
    <row r="34" spans="2:21" ht="13.5" thickBot="1" x14ac:dyDescent="0.25">
      <c r="B34" s="77"/>
      <c r="C34" s="78"/>
      <c r="D34" s="78"/>
      <c r="E34" s="78"/>
      <c r="F34" s="78"/>
      <c r="G34" s="78"/>
      <c r="H34" s="78"/>
      <c r="I34" s="78"/>
      <c r="J34" s="78"/>
      <c r="K34" s="78"/>
      <c r="L34" s="78"/>
      <c r="M34" s="78"/>
      <c r="N34" s="79"/>
      <c r="O34" s="2"/>
      <c r="P34" s="273" t="s">
        <v>431</v>
      </c>
      <c r="Q34" s="441">
        <f>E_ail</f>
        <v>110</v>
      </c>
      <c r="T34" s="226" t="s">
        <v>436</v>
      </c>
      <c r="U34" s="523">
        <f>[0]!ep_can</f>
        <v>4</v>
      </c>
    </row>
    <row r="35" spans="2:21" x14ac:dyDescent="0.2">
      <c r="O35" s="2"/>
      <c r="P35" s="6"/>
      <c r="Q35" s="6"/>
      <c r="T35" s="226" t="s">
        <v>435</v>
      </c>
      <c r="U35" s="523">
        <f>[0]!Q_can</f>
        <v>4</v>
      </c>
    </row>
    <row r="36" spans="2:21" ht="13.5" thickBot="1" x14ac:dyDescent="0.25">
      <c r="T36" s="2"/>
      <c r="U36" s="12"/>
    </row>
    <row r="37" spans="2:21" x14ac:dyDescent="0.2">
      <c r="B37" s="71"/>
      <c r="C37" s="72"/>
      <c r="D37" s="72"/>
      <c r="E37" s="72"/>
      <c r="F37" s="72"/>
      <c r="G37" s="72"/>
      <c r="H37" s="72"/>
      <c r="I37" s="72"/>
      <c r="J37" s="72"/>
      <c r="K37" s="72"/>
      <c r="L37" s="72"/>
      <c r="M37" s="72"/>
      <c r="N37" s="73"/>
      <c r="T37" s="2"/>
    </row>
    <row r="38" spans="2:21" x14ac:dyDescent="0.2">
      <c r="B38" s="74"/>
      <c r="D38" s="2" t="s">
        <v>195</v>
      </c>
      <c r="H38" s="273" t="s">
        <v>563</v>
      </c>
      <c r="I38" t="str">
        <f>Matricule</f>
        <v>FX0</v>
      </c>
      <c r="N38" s="75"/>
    </row>
    <row r="39" spans="2:21" x14ac:dyDescent="0.2">
      <c r="B39" s="74"/>
      <c r="D39" s="2"/>
      <c r="N39" s="75"/>
    </row>
    <row r="40" spans="2:21" x14ac:dyDescent="0.2">
      <c r="B40" s="74"/>
      <c r="D40" s="275" t="s">
        <v>149</v>
      </c>
      <c r="E40" s="246">
        <f>D_ref</f>
        <v>94</v>
      </c>
      <c r="F40" s="265"/>
      <c r="G40" s="265"/>
      <c r="H40" s="261" t="s">
        <v>198</v>
      </c>
      <c r="I40" s="261" t="s">
        <v>199</v>
      </c>
      <c r="J40" s="262" t="s">
        <v>200</v>
      </c>
      <c r="N40" s="75"/>
    </row>
    <row r="41" spans="2:21" x14ac:dyDescent="0.2">
      <c r="B41" s="74"/>
      <c r="D41" s="276" t="s">
        <v>147</v>
      </c>
      <c r="E41" s="6">
        <f>Long_ogive</f>
        <v>275</v>
      </c>
      <c r="F41" s="2"/>
      <c r="G41" s="2" t="s">
        <v>201</v>
      </c>
      <c r="H41" s="6">
        <f>MasseSans</f>
        <v>6.5</v>
      </c>
      <c r="I41" s="6">
        <f ca="1">MasseVide</f>
        <v>7.15</v>
      </c>
      <c r="J41" s="244">
        <f ca="1">MassePlein</f>
        <v>8.1319999999999997</v>
      </c>
      <c r="N41" s="75"/>
    </row>
    <row r="42" spans="2:21" x14ac:dyDescent="0.2">
      <c r="B42" s="74"/>
      <c r="D42" s="276" t="s">
        <v>150</v>
      </c>
      <c r="E42" s="6">
        <f>X_ail-m_ail</f>
        <v>1970</v>
      </c>
      <c r="F42" s="255"/>
      <c r="G42" s="255" t="s">
        <v>218</v>
      </c>
      <c r="H42" s="263">
        <f>XcgSans</f>
        <v>1150</v>
      </c>
      <c r="I42" s="263">
        <f ca="1">XcgVide</f>
        <v>1218.3636363636363</v>
      </c>
      <c r="J42" s="245">
        <f ca="1">XcgPlein</f>
        <v>1302.9247417609445</v>
      </c>
      <c r="N42" s="75"/>
    </row>
    <row r="43" spans="2:21" x14ac:dyDescent="0.2">
      <c r="B43" s="74"/>
      <c r="D43" s="276" t="str">
        <f>IF(Lang="Français","Emplanture 'm'",IF(Lang="English","Root edge  'm'",""))</f>
        <v>Emplanture 'm'</v>
      </c>
      <c r="E43" s="244">
        <f>m_ail</f>
        <v>180</v>
      </c>
      <c r="N43" s="75"/>
    </row>
    <row r="44" spans="2:21" x14ac:dyDescent="0.2">
      <c r="B44" s="74"/>
      <c r="D44" s="276" t="str">
        <f>IF(Lang="Français","Saumon      'n'",IF(Lang="English","Tip edge    'n'",""))</f>
        <v>Saumon      'n'</v>
      </c>
      <c r="E44" s="244">
        <f>n_ail</f>
        <v>80</v>
      </c>
      <c r="F44" s="246" t="s">
        <v>202</v>
      </c>
      <c r="G44" s="246" t="s">
        <v>207</v>
      </c>
      <c r="H44" s="668">
        <f ca="1">Vsortie_de_rampe</f>
        <v>34.368625082388796</v>
      </c>
      <c r="I44" s="669"/>
      <c r="N44" s="75"/>
    </row>
    <row r="45" spans="2:21" x14ac:dyDescent="0.2">
      <c r="B45" s="74"/>
      <c r="D45" s="276" t="str">
        <f>IF(Lang="Français","Flèche        'p'",IF(Lang="English","Offset         'p'",""))</f>
        <v>Flèche        'p'</v>
      </c>
      <c r="E45" s="244">
        <f>p_ail</f>
        <v>160</v>
      </c>
      <c r="F45" s="6" t="s">
        <v>203</v>
      </c>
      <c r="G45" s="6" t="s">
        <v>208</v>
      </c>
      <c r="H45" s="670">
        <f>Finesse</f>
        <v>22.872340425531913</v>
      </c>
      <c r="I45" s="671"/>
      <c r="N45" s="75"/>
    </row>
    <row r="46" spans="2:21" x14ac:dyDescent="0.2">
      <c r="B46" s="74"/>
      <c r="D46" s="276" t="str">
        <f>IF(Lang="Français","Envergure   'E'",IF(Lang="English","Span          'E'",""))</f>
        <v>Envergure   'E'</v>
      </c>
      <c r="E46" s="244">
        <f>E_ail</f>
        <v>110</v>
      </c>
      <c r="F46" s="6" t="s">
        <v>204</v>
      </c>
      <c r="G46" s="6" t="s">
        <v>209</v>
      </c>
      <c r="H46" s="670">
        <f>Cn</f>
        <v>19.571756703823535</v>
      </c>
      <c r="I46" s="671"/>
      <c r="N46" s="75"/>
    </row>
    <row r="47" spans="2:21" x14ac:dyDescent="0.2">
      <c r="B47" s="74"/>
      <c r="D47" s="276" t="s">
        <v>144</v>
      </c>
      <c r="E47" s="244">
        <f>ep_ail</f>
        <v>4</v>
      </c>
      <c r="F47" s="6" t="s">
        <v>205</v>
      </c>
      <c r="G47" s="6" t="s">
        <v>210</v>
      </c>
      <c r="H47" s="247">
        <f ca="1">MS_min</f>
        <v>0.75577484454785981</v>
      </c>
      <c r="I47" s="254">
        <f ca="1">MS_max</f>
        <v>3.2389056118297503</v>
      </c>
      <c r="N47" s="75"/>
    </row>
    <row r="48" spans="2:21" x14ac:dyDescent="0.2">
      <c r="B48" s="74"/>
      <c r="D48" s="276" t="s">
        <v>145</v>
      </c>
      <c r="E48" s="244">
        <f>Q_ail</f>
        <v>4</v>
      </c>
      <c r="F48" s="274" t="s">
        <v>206</v>
      </c>
      <c r="G48" s="274" t="s">
        <v>211</v>
      </c>
      <c r="H48" s="256">
        <f ca="1">MS_Cn_min</f>
        <v>14.791841380360765</v>
      </c>
      <c r="I48" s="264">
        <f ca="1">MS_Cn_max</f>
        <v>80.582955775665468</v>
      </c>
      <c r="N48" s="75"/>
    </row>
    <row r="49" spans="2:14" x14ac:dyDescent="0.2">
      <c r="B49" s="74"/>
      <c r="D49" s="276" t="s">
        <v>148</v>
      </c>
      <c r="E49" s="244">
        <f ca="1">XpropuRef-Long_propu</f>
        <v>1662</v>
      </c>
      <c r="N49" s="75"/>
    </row>
    <row r="50" spans="2:14" x14ac:dyDescent="0.2">
      <c r="B50" s="74"/>
      <c r="D50" s="276" t="s">
        <v>146</v>
      </c>
      <c r="E50" s="272" t="str">
        <f>Forme_ogive</f>
        <v>Conique (droite)</v>
      </c>
      <c r="F50" s="273" t="s">
        <v>183</v>
      </c>
      <c r="G50" s="275" t="s">
        <v>5</v>
      </c>
      <c r="H50" s="246">
        <f>Cx</f>
        <v>0.6</v>
      </c>
      <c r="I50" s="265"/>
      <c r="J50" s="266"/>
      <c r="N50" s="75"/>
    </row>
    <row r="51" spans="2:14" x14ac:dyDescent="0.2">
      <c r="B51" s="74"/>
      <c r="D51" s="276" t="s">
        <v>142</v>
      </c>
      <c r="E51" s="244">
        <f>Long_tot</f>
        <v>2150</v>
      </c>
      <c r="G51" s="276" t="s">
        <v>212</v>
      </c>
      <c r="H51" s="6">
        <f>Sref</f>
        <v>8.6997781717798543E-3</v>
      </c>
      <c r="J51" s="267"/>
      <c r="N51" s="75"/>
    </row>
    <row r="52" spans="2:14" x14ac:dyDescent="0.2">
      <c r="B52" s="74"/>
      <c r="D52" s="276" t="s">
        <v>196</v>
      </c>
      <c r="E52" s="244">
        <f>MAX(D_ref,D_ail,D_og,(RIGHT(Nb_diam,1)=",")*MAX(D1j,D1r,D2j,D2r))</f>
        <v>104</v>
      </c>
      <c r="G52" s="276" t="s">
        <v>213</v>
      </c>
      <c r="H52" s="6">
        <f>Beta_rampe</f>
        <v>80</v>
      </c>
      <c r="I52" s="6">
        <v>80</v>
      </c>
      <c r="J52" s="244">
        <v>90</v>
      </c>
      <c r="N52" s="75"/>
    </row>
    <row r="53" spans="2:14" x14ac:dyDescent="0.2">
      <c r="B53" s="74"/>
      <c r="D53" s="277" t="s">
        <v>197</v>
      </c>
      <c r="E53" s="260">
        <f>E_ail*2+D_ail</f>
        <v>324</v>
      </c>
      <c r="G53" s="278" t="s">
        <v>215</v>
      </c>
      <c r="H53" s="247">
        <f ca="1">Temps_culmi</f>
        <v>16.699999999999971</v>
      </c>
      <c r="I53" s="259"/>
      <c r="J53" s="268"/>
      <c r="N53" s="75"/>
    </row>
    <row r="54" spans="2:14" x14ac:dyDescent="0.2">
      <c r="B54" s="74"/>
      <c r="G54" s="278" t="s">
        <v>216</v>
      </c>
      <c r="H54" s="242">
        <f ca="1">Altitude_culmi</f>
        <v>1568.0396528360352</v>
      </c>
      <c r="I54" s="259"/>
      <c r="J54" s="268"/>
      <c r="N54" s="75"/>
    </row>
    <row r="55" spans="2:14" x14ac:dyDescent="0.2">
      <c r="B55" s="74"/>
      <c r="C55" s="275" t="s">
        <v>233</v>
      </c>
      <c r="D55" s="249" t="s">
        <v>60</v>
      </c>
      <c r="E55" s="243">
        <f>Long_tot</f>
        <v>2150</v>
      </c>
      <c r="G55" s="278" t="s">
        <v>217</v>
      </c>
      <c r="H55" s="248">
        <f ca="1">Vit_culmi</f>
        <v>24.734293944345122</v>
      </c>
      <c r="I55" s="259"/>
      <c r="J55" s="268"/>
      <c r="N55" s="75"/>
    </row>
    <row r="56" spans="2:14" x14ac:dyDescent="0.2">
      <c r="B56" s="74"/>
      <c r="C56" s="276"/>
      <c r="D56" s="2" t="s">
        <v>219</v>
      </c>
      <c r="E56" s="244">
        <f>MAX(D_ref,D_ail,D_og,(RIGHT(Nb_diam,1)=",")*MAX(D1j,D1r,D2j,D2r))</f>
        <v>104</v>
      </c>
      <c r="G56" s="278" t="s">
        <v>133</v>
      </c>
      <c r="H56" s="242">
        <f ca="1">Portee_balistique</f>
        <v>889.84792314375909</v>
      </c>
      <c r="I56" s="259"/>
      <c r="J56" s="268"/>
      <c r="N56" s="75"/>
    </row>
    <row r="57" spans="2:14" x14ac:dyDescent="0.2">
      <c r="B57" s="74"/>
      <c r="C57" s="276"/>
      <c r="D57" s="2" t="s">
        <v>220</v>
      </c>
      <c r="E57" s="244">
        <f>E_ail*2+D_ail</f>
        <v>324</v>
      </c>
      <c r="G57" s="278" t="s">
        <v>214</v>
      </c>
      <c r="H57" s="242">
        <f ca="1">T_balistique</f>
        <v>36.700000000000252</v>
      </c>
      <c r="I57" s="259"/>
      <c r="J57" s="268"/>
      <c r="N57" s="75"/>
    </row>
    <row r="58" spans="2:14" x14ac:dyDescent="0.2">
      <c r="B58" s="74"/>
      <c r="C58" s="276"/>
      <c r="D58" s="2" t="s">
        <v>221</v>
      </c>
      <c r="E58" s="244">
        <f ca="1">MassePlein</f>
        <v>8.1319999999999997</v>
      </c>
      <c r="G58" s="278" t="s">
        <v>137</v>
      </c>
      <c r="H58" s="248">
        <f ca="1">Vit_max</f>
        <v>230.800705101056</v>
      </c>
      <c r="I58" s="259"/>
      <c r="J58" s="268"/>
      <c r="N58" s="75"/>
    </row>
    <row r="59" spans="2:14" x14ac:dyDescent="0.2">
      <c r="B59" s="74"/>
      <c r="C59" s="277" t="s">
        <v>234</v>
      </c>
      <c r="D59" s="255" t="s">
        <v>145</v>
      </c>
      <c r="E59" s="260">
        <f>Q_ail</f>
        <v>4</v>
      </c>
      <c r="G59" s="278" t="s">
        <v>136</v>
      </c>
      <c r="H59" s="242">
        <f ca="1">Acc_max</f>
        <v>157.92847039757427</v>
      </c>
      <c r="I59" s="259"/>
      <c r="J59" s="268"/>
      <c r="N59" s="75"/>
    </row>
    <row r="60" spans="2:14" x14ac:dyDescent="0.2">
      <c r="B60" s="74"/>
      <c r="C60" s="12"/>
      <c r="G60" s="269" t="s">
        <v>222</v>
      </c>
      <c r="H60" s="270"/>
      <c r="I60" s="270"/>
      <c r="J60" s="271"/>
      <c r="N60" s="75"/>
    </row>
    <row r="61" spans="2:14" x14ac:dyDescent="0.2">
      <c r="B61" s="74"/>
      <c r="C61" s="275"/>
      <c r="D61" s="249"/>
      <c r="E61" s="246" t="s">
        <v>226</v>
      </c>
      <c r="F61" s="243" t="s">
        <v>227</v>
      </c>
      <c r="G61" s="2"/>
      <c r="H61" s="2"/>
      <c r="I61" s="2"/>
      <c r="J61" s="2"/>
      <c r="K61" s="2"/>
      <c r="N61" s="75"/>
    </row>
    <row r="62" spans="2:14" x14ac:dyDescent="0.2">
      <c r="B62" s="74"/>
      <c r="C62" s="276" t="s">
        <v>235</v>
      </c>
      <c r="D62" s="2" t="s">
        <v>225</v>
      </c>
      <c r="E62" s="242">
        <f ca="1">2*Acc_max*MassePlein</f>
        <v>2568.5486425461477</v>
      </c>
      <c r="F62" s="280">
        <f ca="1">E62/9.81</f>
        <v>261.8296271708611</v>
      </c>
      <c r="H62" s="2"/>
      <c r="I62" s="2"/>
      <c r="J62" s="2"/>
      <c r="K62" s="2"/>
      <c r="N62" s="75"/>
    </row>
    <row r="63" spans="2:14" x14ac:dyDescent="0.2">
      <c r="B63" s="74"/>
      <c r="C63" s="276"/>
      <c r="D63" s="2" t="s">
        <v>223</v>
      </c>
      <c r="E63" s="242">
        <f ca="1">2*Acc_max*Masse_ail</f>
        <v>36.134034026964997</v>
      </c>
      <c r="F63" s="248">
        <f ca="1">E63/9.81</f>
        <v>3.6833877703328231</v>
      </c>
      <c r="G63" s="246" t="s">
        <v>229</v>
      </c>
      <c r="H63" s="288">
        <f>S_ail*(ep_ail/1000)*2000</f>
        <v>0.1144</v>
      </c>
      <c r="I63" s="2"/>
      <c r="J63" s="2"/>
      <c r="K63" s="2"/>
      <c r="N63" s="75"/>
    </row>
    <row r="64" spans="2:14" x14ac:dyDescent="0.2">
      <c r="B64" s="74"/>
      <c r="C64" s="277"/>
      <c r="D64" s="255" t="s">
        <v>224</v>
      </c>
      <c r="E64" s="263">
        <f ca="1">0.104*S_ail*Vit_max^2</f>
        <v>79.221605454635068</v>
      </c>
      <c r="F64" s="281">
        <f ca="1">E64/9.81</f>
        <v>8.0755968863032681</v>
      </c>
      <c r="G64" s="274" t="s">
        <v>228</v>
      </c>
      <c r="H64" s="289">
        <f>(E_ail*(m_ail+n_ail)/2)/10^6</f>
        <v>1.43E-2</v>
      </c>
      <c r="I64" s="2"/>
      <c r="J64" s="2"/>
      <c r="K64" s="2"/>
      <c r="N64" s="75"/>
    </row>
    <row r="65" spans="2:14" x14ac:dyDescent="0.2">
      <c r="B65" s="74"/>
      <c r="C65" s="282" t="s">
        <v>242</v>
      </c>
      <c r="D65" s="285" t="s">
        <v>240</v>
      </c>
      <c r="E65" s="286">
        <f ca="1">2*Acc_max*H65</f>
        <v>1284.2743212730738</v>
      </c>
      <c r="F65" s="286">
        <f ca="1">E65/9.81</f>
        <v>130.91481358543055</v>
      </c>
      <c r="G65" s="287" t="s">
        <v>241</v>
      </c>
      <c r="H65" s="279">
        <f ca="1">E58/2</f>
        <v>4.0659999999999998</v>
      </c>
      <c r="I65" s="2"/>
      <c r="J65" s="2"/>
      <c r="K65" s="2"/>
      <c r="N65" s="75"/>
    </row>
    <row r="66" spans="2:14" x14ac:dyDescent="0.2">
      <c r="B66" s="74"/>
      <c r="C66" s="6"/>
      <c r="D66" s="2"/>
      <c r="E66" s="2"/>
      <c r="F66" s="2"/>
      <c r="G66" s="2"/>
      <c r="H66" s="2"/>
      <c r="I66" s="2"/>
      <c r="J66" s="2"/>
      <c r="K66" s="2"/>
      <c r="N66" s="75"/>
    </row>
    <row r="67" spans="2:14" x14ac:dyDescent="0.2">
      <c r="B67" s="74"/>
      <c r="F67" s="275" t="s">
        <v>232</v>
      </c>
      <c r="G67" s="249" t="s">
        <v>230</v>
      </c>
      <c r="H67" s="250">
        <f>T_para</f>
        <v>17</v>
      </c>
      <c r="I67" s="251">
        <f ca="1">Temps_culmi</f>
        <v>16.699999999999971</v>
      </c>
      <c r="J67" s="2"/>
      <c r="K67" s="2"/>
      <c r="N67" s="75"/>
    </row>
    <row r="68" spans="2:14" x14ac:dyDescent="0.2">
      <c r="B68" s="74"/>
      <c r="C68" s="6"/>
      <c r="D68" s="2"/>
      <c r="E68" s="2"/>
      <c r="F68" s="275" t="s">
        <v>231</v>
      </c>
      <c r="G68" s="249" t="s">
        <v>129</v>
      </c>
      <c r="H68" s="250">
        <f ca="1">V_para</f>
        <v>14.317669033109237</v>
      </c>
      <c r="I68" s="251">
        <f>V_satellite</f>
        <v>12.655562623057198</v>
      </c>
      <c r="J68" s="2"/>
      <c r="K68" s="2"/>
      <c r="N68" s="75"/>
    </row>
    <row r="69" spans="2:14" x14ac:dyDescent="0.2">
      <c r="B69" s="74"/>
      <c r="C69" s="6"/>
      <c r="D69" s="2"/>
      <c r="E69" s="2"/>
      <c r="F69" s="276"/>
      <c r="G69" s="2" t="s">
        <v>237</v>
      </c>
      <c r="H69" s="247">
        <f>S_para</f>
        <v>0.48049999999999998</v>
      </c>
      <c r="I69" s="253">
        <f>S_satellite</f>
        <v>0.1</v>
      </c>
      <c r="J69" s="2"/>
      <c r="K69" s="2"/>
      <c r="N69" s="75"/>
    </row>
    <row r="70" spans="2:14" x14ac:dyDescent="0.2">
      <c r="B70" s="74"/>
      <c r="C70" s="226"/>
      <c r="D70" s="2"/>
      <c r="F70" s="276"/>
      <c r="G70" s="2" t="s">
        <v>236</v>
      </c>
      <c r="H70" s="247">
        <f ca="1">V_ouverture</f>
        <v>24.780816753107047</v>
      </c>
      <c r="I70" s="253">
        <f ca="1">V_ouv_sat</f>
        <v>154.59620716798821</v>
      </c>
      <c r="N70" s="75"/>
    </row>
    <row r="71" spans="2:14" x14ac:dyDescent="0.2">
      <c r="B71" s="74"/>
      <c r="C71" s="226"/>
      <c r="F71" s="276"/>
      <c r="G71" s="2" t="s">
        <v>201</v>
      </c>
      <c r="H71" s="247">
        <f ca="1">m_vide</f>
        <v>6.15</v>
      </c>
      <c r="I71" s="253">
        <f>m_satellite</f>
        <v>1</v>
      </c>
      <c r="N71" s="75"/>
    </row>
    <row r="72" spans="2:14" x14ac:dyDescent="0.2">
      <c r="B72" s="74"/>
      <c r="C72" s="226"/>
      <c r="F72" s="276"/>
      <c r="G72" s="2" t="s">
        <v>238</v>
      </c>
      <c r="H72" s="283">
        <f ca="1">1/2*Rho_moyen*S_para*V_ouverture^2</f>
        <v>180.73019513079362</v>
      </c>
      <c r="I72" s="284">
        <f ca="1">1/2*Rho_moyen*S_satellite*V_ouv_sat^2</f>
        <v>1463.8742203320612</v>
      </c>
      <c r="N72" s="75"/>
    </row>
    <row r="73" spans="2:14" x14ac:dyDescent="0.2">
      <c r="B73" s="74"/>
      <c r="D73" s="2"/>
      <c r="F73" s="277"/>
      <c r="G73" s="255" t="s">
        <v>239</v>
      </c>
      <c r="H73" s="256">
        <f ca="1">H72/9.81</f>
        <v>18.423057607624219</v>
      </c>
      <c r="I73" s="257">
        <f ca="1">I72/9.81</f>
        <v>149.22265242936402</v>
      </c>
      <c r="N73" s="75"/>
    </row>
    <row r="74" spans="2:14" ht="13.5" thickBot="1" x14ac:dyDescent="0.25">
      <c r="B74" s="77"/>
      <c r="C74" s="78"/>
      <c r="D74" s="78"/>
      <c r="E74" s="78"/>
      <c r="F74" s="78"/>
      <c r="G74" s="78"/>
      <c r="H74" s="78"/>
      <c r="I74" s="78"/>
      <c r="J74" s="78"/>
      <c r="K74" s="78"/>
      <c r="L74" s="78"/>
      <c r="M74" s="78"/>
      <c r="N74" s="79"/>
    </row>
    <row r="76" spans="2:14" ht="13.5" thickBot="1" x14ac:dyDescent="0.25"/>
    <row r="77" spans="2:14" x14ac:dyDescent="0.2">
      <c r="B77" s="71"/>
      <c r="C77" s="72"/>
      <c r="D77" s="72"/>
      <c r="E77" s="72"/>
      <c r="F77" s="72"/>
      <c r="G77" s="72"/>
      <c r="H77" s="72"/>
      <c r="I77" s="72"/>
      <c r="J77" s="72"/>
      <c r="K77" s="72"/>
      <c r="L77" s="72"/>
      <c r="M77" s="72"/>
      <c r="N77" s="73"/>
    </row>
    <row r="78" spans="2:14" x14ac:dyDescent="0.2">
      <c r="B78" s="74"/>
      <c r="D78" s="2" t="s">
        <v>333</v>
      </c>
      <c r="N78" s="75"/>
    </row>
    <row r="79" spans="2:14" ht="12.75" customHeight="1" x14ac:dyDescent="0.25">
      <c r="B79" s="74"/>
      <c r="E79" s="48"/>
      <c r="F79" s="48"/>
      <c r="G79" s="435" t="s">
        <v>339</v>
      </c>
      <c r="I79" s="448"/>
      <c r="J79" s="48"/>
      <c r="K79" s="48"/>
      <c r="N79" s="75"/>
    </row>
    <row r="80" spans="2:14" x14ac:dyDescent="0.2">
      <c r="B80" s="74"/>
      <c r="C80" s="275" t="s">
        <v>334</v>
      </c>
      <c r="D80" s="243" t="str">
        <f>Nom</f>
        <v>SP02</v>
      </c>
      <c r="E80" s="48"/>
      <c r="F80" s="48"/>
      <c r="G80" s="48"/>
      <c r="H80" s="48"/>
      <c r="I80" s="48"/>
      <c r="J80" s="48"/>
      <c r="K80" s="48"/>
      <c r="N80" s="75"/>
    </row>
    <row r="81" spans="2:14" ht="13.5" thickBot="1" x14ac:dyDescent="0.25">
      <c r="B81" s="74"/>
      <c r="C81" s="276" t="s">
        <v>4</v>
      </c>
      <c r="D81" s="244" t="str">
        <f>Club</f>
        <v>L'AéroIPSA</v>
      </c>
      <c r="E81" s="48"/>
      <c r="F81" s="48"/>
      <c r="G81" s="48"/>
      <c r="H81" s="48"/>
      <c r="I81" s="48"/>
      <c r="J81" s="48"/>
      <c r="K81" s="48"/>
      <c r="N81" s="75"/>
    </row>
    <row r="82" spans="2:14" ht="13.5" thickBot="1" x14ac:dyDescent="0.25">
      <c r="B82" s="74"/>
      <c r="C82" s="432" t="s">
        <v>335</v>
      </c>
      <c r="D82" s="244" t="s">
        <v>14</v>
      </c>
      <c r="E82" s="273" t="s">
        <v>340</v>
      </c>
      <c r="F82" s="441">
        <f>Long_ogive</f>
        <v>275</v>
      </c>
      <c r="G82" s="48"/>
      <c r="H82" s="48"/>
      <c r="I82" s="48"/>
      <c r="J82" s="48"/>
      <c r="K82" s="48"/>
      <c r="N82" s="75"/>
    </row>
    <row r="83" spans="2:14" x14ac:dyDescent="0.2">
      <c r="B83" s="74"/>
      <c r="C83" s="277" t="s">
        <v>336</v>
      </c>
      <c r="D83" s="433">
        <f ca="1">TODAY()</f>
        <v>45862</v>
      </c>
      <c r="E83" s="48"/>
      <c r="F83" s="436"/>
      <c r="G83" s="48"/>
      <c r="H83" s="48"/>
      <c r="I83" s="48"/>
      <c r="J83" s="48"/>
      <c r="K83" s="48"/>
      <c r="N83" s="75"/>
    </row>
    <row r="84" spans="2:14" ht="13.5" thickBot="1" x14ac:dyDescent="0.25">
      <c r="B84" s="74"/>
      <c r="E84" s="48"/>
      <c r="F84" s="436"/>
      <c r="G84" s="48"/>
      <c r="H84" s="48"/>
      <c r="I84" s="48"/>
      <c r="J84" s="440">
        <f>IF(RIGHT(Nb_diam,1)=",", "", X_j)</f>
        <v>1250</v>
      </c>
      <c r="K84" s="48"/>
      <c r="N84" s="75"/>
    </row>
    <row r="85" spans="2:14" ht="13.5" thickBot="1" x14ac:dyDescent="0.25">
      <c r="B85" s="74"/>
      <c r="C85" s="275" t="s">
        <v>337</v>
      </c>
      <c r="D85" s="243" t="str">
        <f>Propu</f>
        <v>Pro54-5G WT</v>
      </c>
      <c r="E85" s="273" t="s">
        <v>341</v>
      </c>
      <c r="F85" s="441">
        <f>D_og</f>
        <v>84</v>
      </c>
      <c r="G85" s="48"/>
      <c r="H85" s="48"/>
      <c r="I85" s="48"/>
      <c r="J85" s="436"/>
      <c r="K85" s="48"/>
      <c r="N85" s="75"/>
    </row>
    <row r="86" spans="2:14" x14ac:dyDescent="0.2">
      <c r="B86" s="74"/>
      <c r="C86" s="277" t="s">
        <v>338</v>
      </c>
      <c r="D86" s="260" t="s">
        <v>14</v>
      </c>
      <c r="E86" s="48"/>
      <c r="F86" s="436"/>
      <c r="G86" s="48"/>
      <c r="H86" s="48"/>
      <c r="I86" s="48"/>
      <c r="J86" s="440">
        <f>IF(RIGHT(Nb_diam,1)=",", "", X_r)</f>
        <v>0</v>
      </c>
      <c r="K86" s="48"/>
      <c r="N86" s="75"/>
    </row>
    <row r="87" spans="2:14" x14ac:dyDescent="0.2">
      <c r="B87" s="74"/>
      <c r="E87" s="48"/>
      <c r="F87" s="436"/>
      <c r="G87" s="48"/>
      <c r="H87" s="48"/>
      <c r="I87" s="48"/>
      <c r="J87" s="436"/>
      <c r="K87" s="48"/>
      <c r="N87" s="75"/>
    </row>
    <row r="88" spans="2:14" x14ac:dyDescent="0.2">
      <c r="B88" s="74"/>
      <c r="E88" s="48"/>
      <c r="F88" s="436"/>
      <c r="G88" s="48"/>
      <c r="H88" s="48"/>
      <c r="I88" s="48"/>
      <c r="J88" s="440">
        <f>IF(RIGHT(Nb_diam,1)=",", "", l_j)</f>
        <v>50</v>
      </c>
      <c r="K88" s="48"/>
      <c r="N88" s="75"/>
    </row>
    <row r="89" spans="2:14" ht="13.5" thickBot="1" x14ac:dyDescent="0.25">
      <c r="B89" s="74"/>
      <c r="E89" s="48"/>
      <c r="F89" s="436"/>
      <c r="G89" s="48"/>
      <c r="H89" s="48"/>
      <c r="I89" s="48"/>
      <c r="J89" s="436"/>
      <c r="K89" s="48"/>
      <c r="N89" s="75"/>
    </row>
    <row r="90" spans="2:14" ht="13.5" thickBot="1" x14ac:dyDescent="0.25">
      <c r="B90" s="74"/>
      <c r="E90" s="434" t="s">
        <v>342</v>
      </c>
      <c r="F90" s="440">
        <f>IF(RIGHT(Nb_diam,1)=",", "", D2j)</f>
        <v>104</v>
      </c>
      <c r="G90" s="48"/>
      <c r="H90" s="48"/>
      <c r="I90" s="48"/>
      <c r="J90" s="441">
        <f>X_ail-m_ail</f>
        <v>1970</v>
      </c>
      <c r="K90" s="2"/>
      <c r="N90" s="75"/>
    </row>
    <row r="91" spans="2:14" x14ac:dyDescent="0.2">
      <c r="B91" s="74"/>
      <c r="E91" s="48"/>
      <c r="F91" s="436"/>
      <c r="G91" s="48"/>
      <c r="H91" s="48"/>
      <c r="I91" s="48"/>
      <c r="J91" s="436"/>
      <c r="K91" s="48"/>
      <c r="N91" s="75"/>
    </row>
    <row r="92" spans="2:14" x14ac:dyDescent="0.2">
      <c r="B92" s="74"/>
      <c r="E92" s="48"/>
      <c r="F92" s="436"/>
      <c r="G92" s="48"/>
      <c r="H92" s="48"/>
      <c r="I92" s="48"/>
      <c r="J92" s="440">
        <f>IF(RIGHT(Nb_diam,1)=",", "", l_r)</f>
        <v>0</v>
      </c>
      <c r="K92" s="48"/>
      <c r="N92" s="75"/>
    </row>
    <row r="93" spans="2:14" x14ac:dyDescent="0.2">
      <c r="B93" s="74"/>
      <c r="E93" s="48"/>
      <c r="F93" s="436"/>
      <c r="G93" s="48"/>
      <c r="H93" s="48"/>
      <c r="I93" s="48"/>
      <c r="J93" s="436"/>
      <c r="K93" s="48"/>
      <c r="N93" s="75"/>
    </row>
    <row r="94" spans="2:14" x14ac:dyDescent="0.2">
      <c r="B94" s="74"/>
      <c r="E94" s="434" t="s">
        <v>343</v>
      </c>
      <c r="F94" s="440">
        <f>IF(RIGHT(Nb_diam,1)=",", "", D2r)</f>
        <v>0</v>
      </c>
      <c r="G94" s="48"/>
      <c r="H94" s="48"/>
      <c r="I94" s="48"/>
      <c r="J94" s="436"/>
      <c r="K94" s="48"/>
      <c r="N94" s="75"/>
    </row>
    <row r="95" spans="2:14" x14ac:dyDescent="0.2">
      <c r="B95" s="74"/>
      <c r="E95" s="48"/>
      <c r="F95" s="436"/>
      <c r="G95" s="48"/>
      <c r="H95" s="48"/>
      <c r="I95" s="48"/>
      <c r="J95" s="436"/>
      <c r="K95" s="48"/>
      <c r="N95" s="75"/>
    </row>
    <row r="96" spans="2:14" ht="13.5" thickBot="1" x14ac:dyDescent="0.25">
      <c r="B96" s="74"/>
      <c r="E96" s="48"/>
      <c r="F96" s="436"/>
      <c r="G96" s="48"/>
      <c r="H96" s="48"/>
      <c r="I96" s="48"/>
      <c r="J96" s="436"/>
      <c r="K96" s="48"/>
      <c r="N96" s="75"/>
    </row>
    <row r="97" spans="2:14" ht="13.5" thickBot="1" x14ac:dyDescent="0.25">
      <c r="B97" s="74"/>
      <c r="E97" s="273" t="s">
        <v>344</v>
      </c>
      <c r="F97" s="441">
        <f>m_ail</f>
        <v>180</v>
      </c>
      <c r="G97" s="48"/>
      <c r="H97" s="48"/>
      <c r="I97" s="48"/>
      <c r="J97" s="441">
        <f>p_ail</f>
        <v>160</v>
      </c>
      <c r="K97" s="2"/>
      <c r="N97" s="75"/>
    </row>
    <row r="98" spans="2:14" x14ac:dyDescent="0.2">
      <c r="B98" s="74"/>
      <c r="E98" s="48"/>
      <c r="F98" s="48"/>
      <c r="G98" s="48"/>
      <c r="H98" s="48"/>
      <c r="I98" s="48"/>
      <c r="J98" s="436"/>
      <c r="K98" s="48"/>
      <c r="N98" s="75"/>
    </row>
    <row r="99" spans="2:14" x14ac:dyDescent="0.2">
      <c r="B99" s="74"/>
      <c r="E99" s="48"/>
      <c r="F99" s="48"/>
      <c r="G99" s="48"/>
      <c r="H99" s="48"/>
      <c r="I99" s="48"/>
      <c r="J99" s="436"/>
      <c r="K99" s="48"/>
      <c r="N99" s="75"/>
    </row>
    <row r="100" spans="2:14" ht="13.5" thickBot="1" x14ac:dyDescent="0.25">
      <c r="B100" s="74"/>
      <c r="D100" s="429" t="s">
        <v>346</v>
      </c>
      <c r="E100" s="246">
        <f>Q_ail</f>
        <v>4</v>
      </c>
      <c r="F100" s="430"/>
      <c r="G100" s="48"/>
      <c r="H100" s="48"/>
      <c r="I100" s="48"/>
      <c r="J100" s="436"/>
      <c r="K100" s="48"/>
      <c r="N100" s="75"/>
    </row>
    <row r="101" spans="2:14" ht="13.5" thickBot="1" x14ac:dyDescent="0.25">
      <c r="B101" s="74"/>
      <c r="D101" s="437" t="s">
        <v>350</v>
      </c>
      <c r="E101" s="6">
        <f ca="1">XpropuRef-Long_propu</f>
        <v>1662</v>
      </c>
      <c r="F101" s="252"/>
      <c r="G101" s="48"/>
      <c r="H101" s="48"/>
      <c r="I101" s="48"/>
      <c r="J101" s="441">
        <f>n_ail</f>
        <v>80</v>
      </c>
      <c r="K101" s="2"/>
      <c r="N101" s="75"/>
    </row>
    <row r="102" spans="2:14" x14ac:dyDescent="0.2">
      <c r="B102" s="74"/>
      <c r="D102" s="437" t="s">
        <v>347</v>
      </c>
      <c r="E102" s="6">
        <f>IF(LEFT(Forme_ogive,4)="Ogiv",1,0)</f>
        <v>0</v>
      </c>
      <c r="F102" s="252" t="s">
        <v>348</v>
      </c>
      <c r="G102" s="48"/>
      <c r="H102" s="48"/>
      <c r="I102" s="48"/>
      <c r="J102" s="436"/>
      <c r="K102" s="48"/>
      <c r="N102" s="75"/>
    </row>
    <row r="103" spans="2:14" x14ac:dyDescent="0.2">
      <c r="B103" s="74"/>
      <c r="D103" s="437"/>
      <c r="E103" s="6">
        <f>IF(LEFT(Forme_ogive,3)="Con",1,0)</f>
        <v>1</v>
      </c>
      <c r="F103" s="252" t="s">
        <v>159</v>
      </c>
      <c r="G103" s="48"/>
      <c r="H103" s="48"/>
      <c r="I103" s="48"/>
      <c r="J103" s="436"/>
      <c r="K103" s="48"/>
      <c r="N103" s="75"/>
    </row>
    <row r="104" spans="2:14" ht="13.5" thickBot="1" x14ac:dyDescent="0.25">
      <c r="B104" s="74"/>
      <c r="D104" s="431"/>
      <c r="E104" s="274">
        <f>IF(LEFT(Forme_ogive,5)="Parab",1,0)</f>
        <v>0</v>
      </c>
      <c r="F104" s="289" t="s">
        <v>349</v>
      </c>
      <c r="G104" s="48"/>
      <c r="H104" s="48"/>
      <c r="I104" s="48"/>
      <c r="J104" s="12" t="s">
        <v>345</v>
      </c>
      <c r="K104" s="48"/>
      <c r="N104" s="75"/>
    </row>
    <row r="105" spans="2:14" ht="13.5" thickBot="1" x14ac:dyDescent="0.25">
      <c r="B105" s="74"/>
      <c r="D105" s="2"/>
      <c r="E105" s="2"/>
      <c r="F105" s="2"/>
      <c r="G105" s="273"/>
      <c r="H105" s="441">
        <f>E_ail</f>
        <v>110</v>
      </c>
      <c r="I105" s="273"/>
      <c r="J105" s="441">
        <f>ep_ail</f>
        <v>4</v>
      </c>
      <c r="K105" s="48"/>
      <c r="N105" s="75"/>
    </row>
    <row r="106" spans="2:14" x14ac:dyDescent="0.2">
      <c r="B106" s="74"/>
      <c r="D106" s="429"/>
      <c r="E106" s="246" t="s">
        <v>354</v>
      </c>
      <c r="F106" s="243" t="s">
        <v>353</v>
      </c>
      <c r="N106" s="75"/>
    </row>
    <row r="107" spans="2:14" x14ac:dyDescent="0.2">
      <c r="B107" s="74"/>
      <c r="D107" s="437" t="s">
        <v>351</v>
      </c>
      <c r="E107" s="6">
        <f>MasseSans</f>
        <v>6.5</v>
      </c>
      <c r="F107" s="244">
        <f ca="1">MassePlein</f>
        <v>8.1319999999999997</v>
      </c>
      <c r="N107" s="75"/>
    </row>
    <row r="108" spans="2:14" x14ac:dyDescent="0.2">
      <c r="B108" s="74"/>
      <c r="D108" s="431" t="s">
        <v>352</v>
      </c>
      <c r="E108" s="274">
        <f>XcgSans</f>
        <v>1150</v>
      </c>
      <c r="F108" s="260">
        <f ca="1">XcgPlein</f>
        <v>1302.9247417609445</v>
      </c>
      <c r="N108" s="75"/>
    </row>
    <row r="109" spans="2:14" x14ac:dyDescent="0.2">
      <c r="B109" s="74"/>
      <c r="N109" s="75"/>
    </row>
    <row r="110" spans="2:14" x14ac:dyDescent="0.2">
      <c r="B110" s="74"/>
      <c r="D110" s="438" t="s">
        <v>355</v>
      </c>
      <c r="E110" s="439">
        <f ca="1">MasseVide</f>
        <v>7.15</v>
      </c>
      <c r="G110" s="429" t="s">
        <v>356</v>
      </c>
      <c r="H110" s="265"/>
      <c r="I110" s="265"/>
      <c r="J110" s="266"/>
      <c r="N110" s="75"/>
    </row>
    <row r="111" spans="2:14" x14ac:dyDescent="0.2">
      <c r="B111" s="74"/>
      <c r="G111" s="276" t="s">
        <v>213</v>
      </c>
      <c r="H111" s="6">
        <f>Beta_rampe</f>
        <v>80</v>
      </c>
      <c r="I111" s="6">
        <v>80</v>
      </c>
      <c r="J111" s="244">
        <v>90</v>
      </c>
      <c r="N111" s="75"/>
    </row>
    <row r="112" spans="2:14" x14ac:dyDescent="0.2">
      <c r="B112" s="74"/>
      <c r="G112" s="278" t="s">
        <v>215</v>
      </c>
      <c r="H112" s="247">
        <f ca="1">Temps_culmi</f>
        <v>16.699999999999971</v>
      </c>
      <c r="I112" s="259"/>
      <c r="J112" s="268"/>
      <c r="N112" s="75"/>
    </row>
    <row r="113" spans="2:14" ht="12.75" customHeight="1" x14ac:dyDescent="0.25">
      <c r="B113" s="74"/>
      <c r="D113" s="435" t="s">
        <v>357</v>
      </c>
      <c r="E113" s="48"/>
      <c r="G113" s="278" t="s">
        <v>216</v>
      </c>
      <c r="H113" s="242">
        <f ca="1">Altitude_culmi</f>
        <v>1568.0396528360352</v>
      </c>
      <c r="I113" s="259"/>
      <c r="J113" s="268"/>
      <c r="N113" s="75"/>
    </row>
    <row r="114" spans="2:14" ht="12.75" customHeight="1" x14ac:dyDescent="0.25">
      <c r="B114" s="74"/>
      <c r="D114" s="48"/>
      <c r="E114" s="48"/>
      <c r="F114" s="435"/>
      <c r="G114" s="278" t="s">
        <v>217</v>
      </c>
      <c r="H114" s="248">
        <f ca="1">Vit_culmi</f>
        <v>24.734293944345122</v>
      </c>
      <c r="I114" s="259"/>
      <c r="J114" s="268"/>
      <c r="N114" s="75"/>
    </row>
    <row r="115" spans="2:14" x14ac:dyDescent="0.2">
      <c r="B115" s="74"/>
      <c r="C115" s="429" t="s">
        <v>358</v>
      </c>
      <c r="D115" s="249"/>
      <c r="E115" s="446">
        <v>0.1</v>
      </c>
      <c r="G115" s="278" t="s">
        <v>133</v>
      </c>
      <c r="H115" s="242">
        <f ca="1">Portee_balistique</f>
        <v>889.84792314375909</v>
      </c>
      <c r="I115" s="259"/>
      <c r="J115" s="268"/>
      <c r="N115" s="75"/>
    </row>
    <row r="116" spans="2:14" ht="12.75" customHeight="1" x14ac:dyDescent="0.2">
      <c r="B116" s="74"/>
      <c r="C116" s="431" t="s">
        <v>359</v>
      </c>
      <c r="D116" s="255"/>
      <c r="E116" s="447">
        <f>E_ail*(m_ail+n_ail)/2</f>
        <v>14300</v>
      </c>
      <c r="G116" s="278" t="s">
        <v>137</v>
      </c>
      <c r="H116" s="248">
        <f ca="1">Vit_max</f>
        <v>230.800705101056</v>
      </c>
      <c r="I116" s="259"/>
      <c r="J116" s="268"/>
      <c r="N116" s="75"/>
    </row>
    <row r="117" spans="2:14" ht="12.75" customHeight="1" x14ac:dyDescent="0.2">
      <c r="B117" s="74"/>
      <c r="D117" s="48"/>
      <c r="E117" s="48"/>
      <c r="F117" s="48"/>
      <c r="G117" s="278" t="s">
        <v>136</v>
      </c>
      <c r="H117" s="242">
        <f ca="1">Acc_max</f>
        <v>157.92847039757427</v>
      </c>
      <c r="I117" s="259"/>
      <c r="J117" s="268"/>
      <c r="N117" s="75"/>
    </row>
    <row r="118" spans="2:14" x14ac:dyDescent="0.2">
      <c r="B118" s="74"/>
      <c r="C118" s="429" t="s">
        <v>360</v>
      </c>
      <c r="D118" s="249"/>
      <c r="E118" s="457"/>
      <c r="F118" s="458">
        <f>J90/100</f>
        <v>19.7</v>
      </c>
      <c r="G118" s="276" t="s">
        <v>5</v>
      </c>
      <c r="H118" s="6">
        <f>Cx</f>
        <v>0.6</v>
      </c>
      <c r="I118" s="259"/>
      <c r="J118" s="268"/>
      <c r="N118" s="75"/>
    </row>
    <row r="119" spans="2:14" x14ac:dyDescent="0.2">
      <c r="B119" s="74"/>
      <c r="C119" s="437" t="s">
        <v>361</v>
      </c>
      <c r="D119" s="2"/>
      <c r="E119" s="459">
        <f ca="1">2*Acc_max*MasseSans</f>
        <v>2053.0701151684657</v>
      </c>
      <c r="F119" s="460">
        <f ca="1">E119/g</f>
        <v>209.28339604163767</v>
      </c>
      <c r="G119" s="269" t="s">
        <v>222</v>
      </c>
      <c r="H119" s="270"/>
      <c r="I119" s="270"/>
      <c r="J119" s="271"/>
      <c r="N119" s="75"/>
    </row>
    <row r="120" spans="2:14" x14ac:dyDescent="0.2">
      <c r="B120" s="74"/>
      <c r="C120" s="437" t="s">
        <v>362</v>
      </c>
      <c r="D120" s="2"/>
      <c r="E120" s="459">
        <f ca="1">2*Acc_max*E115</f>
        <v>31.585694079514855</v>
      </c>
      <c r="F120" s="460">
        <f ca="1">E120/g</f>
        <v>3.2197445544867334</v>
      </c>
      <c r="N120" s="75"/>
    </row>
    <row r="121" spans="2:14" x14ac:dyDescent="0.2">
      <c r="B121" s="74"/>
      <c r="C121" s="431" t="s">
        <v>363</v>
      </c>
      <c r="D121" s="255"/>
      <c r="E121" s="452">
        <f ca="1">0.104*E116/1000000*Vit_max^2</f>
        <v>79.221605454635053</v>
      </c>
      <c r="F121" s="453">
        <f ca="1">E121/g</f>
        <v>8.0755968863032663</v>
      </c>
      <c r="G121" s="48"/>
      <c r="H121" s="48"/>
      <c r="I121" s="48"/>
      <c r="J121" s="48"/>
      <c r="N121" s="75"/>
    </row>
    <row r="122" spans="2:14" ht="12.75" customHeight="1" x14ac:dyDescent="0.2">
      <c r="B122" s="74"/>
      <c r="H122" s="48"/>
      <c r="I122" s="48"/>
      <c r="J122" s="48"/>
      <c r="N122" s="75"/>
    </row>
    <row r="123" spans="2:14" ht="12.75" customHeight="1" x14ac:dyDescent="0.25">
      <c r="B123" s="74"/>
      <c r="G123" s="435"/>
      <c r="H123" s="435"/>
      <c r="I123" s="435"/>
      <c r="J123" s="48"/>
      <c r="N123" s="75"/>
    </row>
    <row r="124" spans="2:14" ht="12.75" customHeight="1" x14ac:dyDescent="0.25">
      <c r="B124" s="74"/>
      <c r="C124" s="48"/>
      <c r="D124" s="435" t="s">
        <v>364</v>
      </c>
      <c r="E124" s="448"/>
      <c r="J124" s="48"/>
      <c r="K124" s="48"/>
      <c r="N124" s="75"/>
    </row>
    <row r="125" spans="2:14" x14ac:dyDescent="0.2">
      <c r="B125" s="74"/>
      <c r="C125" s="445" t="s">
        <v>365</v>
      </c>
      <c r="J125" s="48"/>
      <c r="K125" s="48"/>
      <c r="N125" s="75"/>
    </row>
    <row r="126" spans="2:14" x14ac:dyDescent="0.2">
      <c r="B126" s="74"/>
      <c r="C126" s="429" t="s">
        <v>366</v>
      </c>
      <c r="D126" s="249"/>
      <c r="E126" s="449">
        <v>4</v>
      </c>
      <c r="G126" s="48"/>
      <c r="J126" s="48"/>
      <c r="N126" s="75"/>
    </row>
    <row r="127" spans="2:14" x14ac:dyDescent="0.2">
      <c r="B127" s="74"/>
      <c r="C127" s="431" t="s">
        <v>367</v>
      </c>
      <c r="D127" s="255"/>
      <c r="E127" s="456">
        <f>S_para</f>
        <v>0.48049999999999998</v>
      </c>
      <c r="G127" s="48"/>
      <c r="J127" s="48"/>
      <c r="N127" s="75"/>
    </row>
    <row r="128" spans="2:14" x14ac:dyDescent="0.2">
      <c r="B128" s="74"/>
      <c r="C128" s="681" t="s">
        <v>368</v>
      </c>
      <c r="D128" s="682"/>
      <c r="E128" s="450">
        <f ca="1">0.5*Rho_moyen*S_para*Vit_culmi^2</f>
        <v>180.05223654321208</v>
      </c>
      <c r="F128" s="451">
        <f ca="1">E128/g</f>
        <v>18.353948679226509</v>
      </c>
      <c r="H128" s="48"/>
      <c r="I128" s="48"/>
      <c r="J128" s="48"/>
      <c r="K128" s="48"/>
      <c r="N128" s="75"/>
    </row>
    <row r="129" spans="2:14" x14ac:dyDescent="0.2">
      <c r="B129" s="74"/>
      <c r="C129" s="679" t="s">
        <v>369</v>
      </c>
      <c r="D129" s="680"/>
      <c r="E129" s="452">
        <f ca="1">E128/E126*2</f>
        <v>90.026118271606038</v>
      </c>
      <c r="F129" s="453">
        <f ca="1">E129/g</f>
        <v>9.1769743396132544</v>
      </c>
      <c r="H129" s="48"/>
      <c r="I129" s="48"/>
      <c r="J129" s="48"/>
      <c r="K129" s="48"/>
      <c r="N129" s="75"/>
    </row>
    <row r="130" spans="2:14" x14ac:dyDescent="0.2">
      <c r="B130" s="74"/>
      <c r="C130" s="47"/>
      <c r="D130" s="47"/>
      <c r="E130" s="443"/>
      <c r="F130" s="444"/>
      <c r="H130" s="48"/>
      <c r="I130" s="48"/>
      <c r="J130" s="48"/>
      <c r="K130" s="48"/>
      <c r="N130" s="75"/>
    </row>
    <row r="131" spans="2:14" x14ac:dyDescent="0.2">
      <c r="B131" s="74"/>
      <c r="C131" s="445" t="s">
        <v>370</v>
      </c>
      <c r="D131" s="48"/>
      <c r="E131" s="48"/>
      <c r="F131" s="48"/>
      <c r="G131" s="48"/>
      <c r="H131" s="48"/>
      <c r="I131" s="48"/>
      <c r="J131" s="48"/>
      <c r="K131" s="48"/>
      <c r="N131" s="75"/>
    </row>
    <row r="132" spans="2:14" x14ac:dyDescent="0.2">
      <c r="B132" s="74"/>
      <c r="C132" s="681" t="s">
        <v>371</v>
      </c>
      <c r="D132" s="682"/>
      <c r="E132" s="454">
        <v>1</v>
      </c>
      <c r="F132" s="48"/>
      <c r="G132" s="48"/>
      <c r="H132" s="48"/>
      <c r="I132" s="48"/>
      <c r="J132" s="442"/>
      <c r="K132" s="48"/>
      <c r="N132" s="75"/>
    </row>
    <row r="133" spans="2:14" x14ac:dyDescent="0.2">
      <c r="B133" s="74"/>
      <c r="C133" s="679" t="s">
        <v>372</v>
      </c>
      <c r="D133" s="680"/>
      <c r="E133" s="455">
        <f ca="1">2*E132*Acc_max/g</f>
        <v>32.197445544867335</v>
      </c>
      <c r="F133" s="48"/>
      <c r="G133" s="48"/>
      <c r="H133" s="48"/>
      <c r="I133" s="48"/>
      <c r="J133" s="48"/>
      <c r="K133" s="48"/>
      <c r="N133" s="75"/>
    </row>
    <row r="134" spans="2:14" ht="13.5" thickBot="1" x14ac:dyDescent="0.25">
      <c r="B134" s="77"/>
      <c r="C134" s="461"/>
      <c r="D134" s="461"/>
      <c r="E134" s="461"/>
      <c r="F134" s="461"/>
      <c r="G134" s="461"/>
      <c r="H134" s="461"/>
      <c r="I134" s="461"/>
      <c r="J134" s="461"/>
      <c r="K134" s="461"/>
      <c r="L134" s="78"/>
      <c r="M134" s="78"/>
      <c r="N134" s="79"/>
    </row>
  </sheetData>
  <sheetProtection algorithmName="SHA-512" hashValue="hPW55fXgN2sF0rdmrUjeSRNNiQdOIANll77I7z4pOMGhgAMnv3SeC70tlG1ZvqBw5PTm8+/9RK5zYBPb8YMDZQ==" saltValue="649bwDB7J1RR5Eo9ArOefA==" spinCount="100000" sheet="1" objects="1" scenarios="1"/>
  <mergeCells count="22">
    <mergeCell ref="C133:D133"/>
    <mergeCell ref="C128:D128"/>
    <mergeCell ref="C129:D129"/>
    <mergeCell ref="C132:D132"/>
    <mergeCell ref="H44:I44"/>
    <mergeCell ref="H45:I45"/>
    <mergeCell ref="H46:I46"/>
    <mergeCell ref="E31:G31"/>
    <mergeCell ref="M29:M30"/>
    <mergeCell ref="H30:I30"/>
    <mergeCell ref="L29:L30"/>
    <mergeCell ref="H31:I31"/>
    <mergeCell ref="H11:I11"/>
    <mergeCell ref="H12:I12"/>
    <mergeCell ref="H13:I13"/>
    <mergeCell ref="H29:K29"/>
    <mergeCell ref="C29:C30"/>
    <mergeCell ref="D29:D30"/>
    <mergeCell ref="H17:I17"/>
    <mergeCell ref="H18:I18"/>
    <mergeCell ref="H19:I19"/>
    <mergeCell ref="E29:G30"/>
  </mergeCells>
  <phoneticPr fontId="8" type="noConversion"/>
  <conditionalFormatting sqref="D18:E18">
    <cfRule type="expression" dxfId="2" priority="2" stopIfTrue="1">
      <formula>IF(Propu="Cariacou",0,1)</formula>
    </cfRule>
  </conditionalFormatting>
  <conditionalFormatting sqref="F18:I19">
    <cfRule type="expression" dxfId="1" priority="1" stopIfTrue="1">
      <formula>IF(Propu="Cariacou",1,0)</formula>
    </cfRule>
  </conditionalFormatting>
  <conditionalFormatting sqref="I16 I68:I73">
    <cfRule type="expression" dxfId="0" priority="6" stopIfTrue="1">
      <formula>Nb_sat="0 satellite"</formula>
    </cfRule>
  </conditionalFormatting>
  <pageMargins left="0.39370078740157483" right="0.39370078740157483" top="0.39370078740157483" bottom="0.39370078740157483" header="0" footer="0"/>
  <pageSetup paperSize="9" scale="61" orientation="portrait" r:id="rId1"/>
  <ignoredErrors>
    <ignoredError sqref="H65 H63" unlockedFormula="1"/>
  </ignoredErrors>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8</vt:i4>
      </vt:variant>
      <vt:variant>
        <vt:lpstr>Plages nommées</vt:lpstr>
      </vt:variant>
      <vt:variant>
        <vt:i4>216</vt:i4>
      </vt:variant>
    </vt:vector>
  </HeadingPairs>
  <TitlesOfParts>
    <vt:vector size="224" baseType="lpstr">
      <vt:lpstr>Stabilito</vt:lpstr>
      <vt:lpstr>Trajecto</vt:lpstr>
      <vt:lpstr>Courbes</vt:lpstr>
      <vt:lpstr>Propu</vt:lpstr>
      <vt:lpstr>Calculs</vt:lpstr>
      <vt:lpstr>Abaco</vt:lpstr>
      <vt:lpstr>Info</vt:lpstr>
      <vt:lpstr>Controle</vt:lpstr>
      <vt:lpstr>a_prop</vt:lpstr>
      <vt:lpstr>Acc_max</vt:lpstr>
      <vt:lpstr>acc_x</vt:lpstr>
      <vt:lpstr>acc_xz</vt:lpstr>
      <vt:lpstr>acc_z</vt:lpstr>
      <vt:lpstr>Alt_para</vt:lpstr>
      <vt:lpstr>alt_prop</vt:lpstr>
      <vt:lpstr>Alt_rampe</vt:lpstr>
      <vt:lpstr>Alt_sat</vt:lpstr>
      <vt:lpstr>Altitude_culmi</vt:lpstr>
      <vt:lpstr>b_bal</vt:lpstr>
      <vt:lpstr>b_prop</vt:lpstr>
      <vt:lpstr>Beta</vt:lpstr>
      <vt:lpstr>Beta_rampe</vt:lpstr>
      <vt:lpstr>BetaD</vt:lpstr>
      <vt:lpstr>CdP</vt:lpstr>
      <vt:lpstr>CdP_P</vt:lpstr>
      <vt:lpstr>CdP_t</vt:lpstr>
      <vt:lpstr>Club</vt:lpstr>
      <vt:lpstr>Cn</vt:lpstr>
      <vt:lpstr>Cn0</vt:lpstr>
      <vt:lpstr>Stabilito!Cnai</vt:lpstr>
      <vt:lpstr>Cnai0</vt:lpstr>
      <vt:lpstr>Stabilito!Cnail</vt:lpstr>
      <vt:lpstr>Stabilito!Cnc</vt:lpstr>
      <vt:lpstr>Stabilito!Cni</vt:lpstr>
      <vt:lpstr>Cni0</vt:lpstr>
      <vt:lpstr>Stabilito!Cnj</vt:lpstr>
      <vt:lpstr>Stabilito!Cno</vt:lpstr>
      <vt:lpstr>Stabilito!Cnr</vt:lpstr>
      <vt:lpstr>Combustion</vt:lpstr>
      <vt:lpstr>Stabilito!CritCnmax</vt:lpstr>
      <vt:lpstr>Stabilito!CritCnmin</vt:lpstr>
      <vt:lpstr>Stabilito!CritFinessemax</vt:lpstr>
      <vt:lpstr>Stabilito!CritFinessemin</vt:lpstr>
      <vt:lpstr>Stabilito!CritMsCnmax</vt:lpstr>
      <vt:lpstr>Stabilito!CritMsCnmin</vt:lpstr>
      <vt:lpstr>Stabilito!CritMsmax</vt:lpstr>
      <vt:lpstr>Stabilito!CritMsmin</vt:lpstr>
      <vt:lpstr>Cx</vt:lpstr>
      <vt:lpstr>Cx_para</vt:lpstr>
      <vt:lpstr>Cx_satellite</vt:lpstr>
      <vt:lpstr>D_ail</vt:lpstr>
      <vt:lpstr>Stabilito!D_can</vt:lpstr>
      <vt:lpstr>Stabilito!D_int</vt:lpstr>
      <vt:lpstr>D_og</vt:lpstr>
      <vt:lpstr>D_ref</vt:lpstr>
      <vt:lpstr>D_var</vt:lpstr>
      <vt:lpstr>D1j</vt:lpstr>
      <vt:lpstr>D1r</vt:lpstr>
      <vt:lpstr>D2j</vt:lpstr>
      <vt:lpstr>D2r</vt:lpstr>
      <vt:lpstr>Débit</vt:lpstr>
      <vt:lpstr>Depotage</vt:lpstr>
      <vt:lpstr>Diam_propu</vt:lpstr>
      <vt:lpstr>Dt_para</vt:lpstr>
      <vt:lpstr>Dt_satellite</vt:lpstr>
      <vt:lpstr>Dx_para</vt:lpstr>
      <vt:lpstr>Dx_sat</vt:lpstr>
      <vt:lpstr>E_ail</vt:lpstr>
      <vt:lpstr>E_can</vt:lpstr>
      <vt:lpstr>Stabilito!E_int</vt:lpstr>
      <vt:lpstr>ep_ail</vt:lpstr>
      <vt:lpstr>ep_can</vt:lpstr>
      <vt:lpstr>Stabilito!ep_int</vt:lpstr>
      <vt:lpstr>Event</vt:lpstr>
      <vt:lpstr>Event_para</vt:lpstr>
      <vt:lpstr>Event_sat</vt:lpstr>
      <vt:lpstr>Stabilito!f_ail</vt:lpstr>
      <vt:lpstr>Stabilito!f_can</vt:lpstr>
      <vt:lpstr>Stabilito!f_int</vt:lpstr>
      <vt:lpstr>Finesse</vt:lpstr>
      <vt:lpstr>Forme_ogive</vt:lpstr>
      <vt:lpstr>g</vt:lpstr>
      <vt:lpstr>i_P</vt:lpstr>
      <vt:lpstr>I_total</vt:lpstr>
      <vt:lpstr>ISP</vt:lpstr>
      <vt:lpstr>l_j</vt:lpstr>
      <vt:lpstr>l_r</vt:lpstr>
      <vt:lpstr>L_rampe</vt:lpstr>
      <vt:lpstr>Lang</vt:lpstr>
      <vt:lpstr>Liste_µfu</vt:lpstr>
      <vt:lpstr>Liste_fusex</vt:lpstr>
      <vt:lpstr>Liste_H2O</vt:lpstr>
      <vt:lpstr>Liste_minif</vt:lpstr>
      <vt:lpstr>Liste_minifT</vt:lpstr>
      <vt:lpstr>Liste_propu</vt:lpstr>
      <vt:lpstr>Liste_RC</vt:lpstr>
      <vt:lpstr>Liste_Type_para</vt:lpstr>
      <vt:lpstr>Long_ogive</vt:lpstr>
      <vt:lpstr>Long_propu</vt:lpstr>
      <vt:lpstr>Long_tot</vt:lpstr>
      <vt:lpstr>m</vt:lpstr>
      <vt:lpstr>m_ail</vt:lpstr>
      <vt:lpstr>m_bal</vt:lpstr>
      <vt:lpstr>m_can</vt:lpstr>
      <vt:lpstr>Stabilito!m_int</vt:lpstr>
      <vt:lpstr>m_poudre</vt:lpstr>
      <vt:lpstr>m_prop</vt:lpstr>
      <vt:lpstr>m_satellite</vt:lpstr>
      <vt:lpstr>m_tot</vt:lpstr>
      <vt:lpstr>m_var</vt:lpstr>
      <vt:lpstr>m_vide</vt:lpstr>
      <vt:lpstr>Masse_ail</vt:lpstr>
      <vt:lpstr>MassePlein</vt:lpstr>
      <vt:lpstr>MasseSans</vt:lpstr>
      <vt:lpstr>MasseVide</vt:lpstr>
      <vt:lpstr>Matricule</vt:lpstr>
      <vt:lpstr>Menu_Empennage</vt:lpstr>
      <vt:lpstr>Menu_Lang</vt:lpstr>
      <vt:lpstr>Menu_Ogive</vt:lpstr>
      <vt:lpstr>Menu_sat</vt:lpstr>
      <vt:lpstr>Menu_Transitions</vt:lpstr>
      <vt:lpstr>Menu_Type</vt:lpstr>
      <vt:lpstr>Menu_with_motor</vt:lpstr>
      <vt:lpstr>MpropuPlein</vt:lpstr>
      <vt:lpstr>MpropuVide</vt:lpstr>
      <vt:lpstr>MS_Cn_max</vt:lpstr>
      <vt:lpstr>MS_Cn_min</vt:lpstr>
      <vt:lpstr>MS_max</vt:lpstr>
      <vt:lpstr>MS_min</vt:lpstr>
      <vt:lpstr>n_ail</vt:lpstr>
      <vt:lpstr>n_can</vt:lpstr>
      <vt:lpstr>Stabilito!n_int</vt:lpstr>
      <vt:lpstr>Nb_diam</vt:lpstr>
      <vt:lpstr>Nb_sat</vt:lpstr>
      <vt:lpstr>Nom</vt:lpstr>
      <vt:lpstr>p_ail</vt:lpstr>
      <vt:lpstr>p_can</vt:lpstr>
      <vt:lpstr>Stabilito!p_int</vt:lpstr>
      <vt:lpstr>pas</vt:lpstr>
      <vt:lpstr>Poids</vt:lpstr>
      <vt:lpstr>Portee_balistique</vt:lpstr>
      <vt:lpstr>pos_x</vt:lpstr>
      <vt:lpstr>pos_xz</vt:lpstr>
      <vt:lpstr>pos_z</vt:lpstr>
      <vt:lpstr>pos_z_montant</vt:lpstr>
      <vt:lpstr>Poussee</vt:lpstr>
      <vt:lpstr>Propu</vt:lpstr>
      <vt:lpstr>Q_ail</vt:lpstr>
      <vt:lpstr>Q_can</vt:lpstr>
      <vt:lpstr>Stabilito!Q_int</vt:lpstr>
      <vt:lpstr>Q_var</vt:lpstr>
      <vt:lpstr>R_rampe</vt:lpstr>
      <vt:lpstr>Rho</vt:lpstr>
      <vt:lpstr>Rho_moyen</vt:lpstr>
      <vt:lpstr>S_ail</vt:lpstr>
      <vt:lpstr>S_para</vt:lpstr>
      <vt:lpstr>S_para_croix</vt:lpstr>
      <vt:lpstr>S_para_rond</vt:lpstr>
      <vt:lpstr>S_satellite</vt:lpstr>
      <vt:lpstr>Sref</vt:lpstr>
      <vt:lpstr>sS</vt:lpstr>
      <vt:lpstr>t</vt:lpstr>
      <vt:lpstr>T_balistique</vt:lpstr>
      <vt:lpstr>T_ini</vt:lpstr>
      <vt:lpstr>T_para</vt:lpstr>
      <vt:lpstr>T_satellite</vt:lpstr>
      <vt:lpstr>Temps_culmi</vt:lpstr>
      <vt:lpstr>Temps_fin_propu</vt:lpstr>
      <vt:lpstr>Trainee</vt:lpstr>
      <vt:lpstr>tT_fus</vt:lpstr>
      <vt:lpstr>tT_sat</vt:lpstr>
      <vt:lpstr>Type_fusee</vt:lpstr>
      <vt:lpstr>Abaco!Type_masquage</vt:lpstr>
      <vt:lpstr>Stabilito!Type_masquage</vt:lpstr>
      <vt:lpstr>Type_propu</vt:lpstr>
      <vt:lpstr>V_ini</vt:lpstr>
      <vt:lpstr>V_ouv_sat</vt:lpstr>
      <vt:lpstr>V_ouverture</vt:lpstr>
      <vt:lpstr>V_para</vt:lpstr>
      <vt:lpstr>V_prop</vt:lpstr>
      <vt:lpstr>V_satellite</vt:lpstr>
      <vt:lpstr>V_vent</vt:lpstr>
      <vt:lpstr>V_vent_sat</vt:lpstr>
      <vt:lpstr>Stabilito!Version</vt:lpstr>
      <vt:lpstr>Trajecto!Version</vt:lpstr>
      <vt:lpstr>Vit_culmi</vt:lpstr>
      <vt:lpstr>Vit_max</vt:lpstr>
      <vt:lpstr>vit_x</vt:lpstr>
      <vt:lpstr>vit_xz</vt:lpstr>
      <vt:lpstr>vit_z</vt:lpstr>
      <vt:lpstr>Vsortie_de_rampe</vt:lpstr>
      <vt:lpstr>X_ail</vt:lpstr>
      <vt:lpstr>X_can</vt:lpstr>
      <vt:lpstr>X_culmi</vt:lpstr>
      <vt:lpstr>X_ini</vt:lpstr>
      <vt:lpstr>Stabilito!X_int</vt:lpstr>
      <vt:lpstr>X_j</vt:lpstr>
      <vt:lpstr>X_para</vt:lpstr>
      <vt:lpstr>X_r</vt:lpstr>
      <vt:lpstr>X_satellite</vt:lpstr>
      <vt:lpstr>XcgPlein</vt:lpstr>
      <vt:lpstr>XcgSans</vt:lpstr>
      <vt:lpstr>XcgVide</vt:lpstr>
      <vt:lpstr>Stabilito!XCp</vt:lpstr>
      <vt:lpstr>XCp0</vt:lpstr>
      <vt:lpstr>Stabilito!XCpa</vt:lpstr>
      <vt:lpstr>Stabilito!XCpai</vt:lpstr>
      <vt:lpstr>XCpai0</vt:lpstr>
      <vt:lpstr>Stabilito!XCpc</vt:lpstr>
      <vt:lpstr>Stabilito!XCpi</vt:lpstr>
      <vt:lpstr>XCpi0</vt:lpstr>
      <vt:lpstr>Stabilito!XCpj</vt:lpstr>
      <vt:lpstr>Stabilito!XCpo</vt:lpstr>
      <vt:lpstr>Stabilito!XCpr</vt:lpstr>
      <vt:lpstr>XpropuPlein</vt:lpstr>
      <vt:lpstr>XpropuRef</vt:lpstr>
      <vt:lpstr>XpropuVide</vt:lpstr>
      <vt:lpstr>Z_ini</vt:lpstr>
      <vt:lpstr>Abaco!Zone_d_impression</vt:lpstr>
      <vt:lpstr>Courbes!Zone_d_impression</vt:lpstr>
      <vt:lpstr>Stabilito!Zone_d_impression</vt:lpstr>
      <vt:lpstr>Trajecto!Zone_d_impression</vt:lpstr>
      <vt:lpstr>zZ_fus</vt:lpstr>
      <vt:lpstr>zZ_sat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StabTraj</dc:title>
  <dc:creator>Léo Côme;Sylvain Besson</dc:creator>
  <cp:lastModifiedBy>Alexis Paillard</cp:lastModifiedBy>
  <cp:lastPrinted>2011-11-08T21:12:34Z</cp:lastPrinted>
  <dcterms:created xsi:type="dcterms:W3CDTF">2008-11-03T20:48:06Z</dcterms:created>
  <dcterms:modified xsi:type="dcterms:W3CDTF">2025-07-24T15:21:05Z</dcterms:modified>
</cp:coreProperties>
</file>